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maryroy/Dropbox (Partners HealthCare)/Admin Folder/"/>
    </mc:Choice>
  </mc:AlternateContent>
  <xr:revisionPtr revIDLastSave="0" documentId="13_ncr:1_{42706A27-47E8-F64A-ADDE-5503E2DF11E6}" xr6:coauthVersionLast="45" xr6:coauthVersionMax="46" xr10:uidLastSave="{00000000-0000-0000-0000-000000000000}"/>
  <workbookProtection workbookAlgorithmName="SHA-512" workbookHashValue="yexbl80vTMDzNE73n1rjAZCIFLuHVcDDLHCLS6K6QgNeO6Q1NWtu3naMoP84nBMekmrWBqG8icW+ao/1CKCxaQ==" workbookSaltValue="1bhCv7OWuYsrBUwzDrKqqg==" workbookSpinCount="100000" lockStructure="1"/>
  <bookViews>
    <workbookView xWindow="0" yWindow="460" windowWidth="30600" windowHeight="17300" tabRatio="786" activeTab="1" xr2:uid="{00000000-000D-0000-FFFF-FFFF00000000}"/>
  </bookViews>
  <sheets>
    <sheet name="INSTRUCTIONS" sheetId="1" r:id="rId1"/>
    <sheet name="1. SUMMARY" sheetId="2" r:id="rId2"/>
    <sheet name="2. PERSONNEL" sheetId="5" r:id="rId3"/>
    <sheet name="3. NON-PERSONNEL EXPENSES" sheetId="3" r:id="rId4"/>
    <sheet name="4. SUBAWARDS" sheetId="6" r:id="rId5"/>
    <sheet name="5. CUMULATIVE BUDGET" sheetId="7" r:id="rId6"/>
    <sheet name="6. Modular Budget" sheetId="9" r:id="rId7"/>
    <sheet name="7. Notes Tab" sheetId="8" r:id="rId8"/>
    <sheet name="Sheet1" sheetId="4" state="hidden" r:id="rId9"/>
  </sheets>
  <definedNames>
    <definedName name="benefits" localSheetId="2">Sheet1!$S$8:$AE$15</definedName>
    <definedName name="benefits">Sheet1!$S$8:$AE$15</definedName>
    <definedName name="Fringe_Rate">'2. PERSONNEL'!$G$42:$G$43</definedName>
    <definedName name="Hospital" localSheetId="2">'1. SUMMARY'!$C$14</definedName>
    <definedName name="Hospital" localSheetId="8">'1. SUMMARY'!$C$14</definedName>
    <definedName name="Hospital">'1. SUMMARY'!$C$14</definedName>
    <definedName name="Institution" localSheetId="2">Sheet1!$A$3:$A$16</definedName>
    <definedName name="Institution">Sheet1!$A$3:$A$16</definedName>
    <definedName name="name_1">'2. PERSONNEL'!$AI$9:$AI$34</definedName>
    <definedName name="name_10">'2. PERSONNEL'!$A$266:$F$290</definedName>
    <definedName name="name_2">'2. PERSONNEL'!$A$10:$F$34</definedName>
    <definedName name="name_3">'2. PERSONNEL'!$A$42:$F$66</definedName>
    <definedName name="name_4">'2. PERSONNEL'!$A$74:$F$98</definedName>
    <definedName name="name_5">'2. PERSONNEL'!$A$106:$F$130</definedName>
    <definedName name="name_6">'2. PERSONNEL'!$A$138:$F$162</definedName>
    <definedName name="name_7">'2. PERSONNEL'!$A$170:$F$194</definedName>
    <definedName name="name_8">'2. PERSONNEL'!$A$202:$F$226</definedName>
    <definedName name="name_9">'2. PERSONNEL'!$A$234:$F$258</definedName>
    <definedName name="overhead" localSheetId="8">Sheet1!#REF!</definedName>
    <definedName name="_xlnm.Print_Area" localSheetId="2">'2. PERSONNEL'!$A$1:$J$165</definedName>
    <definedName name="_xlnm.Print_Titles" localSheetId="2">'2. PERSONNEL'!$1:$5</definedName>
    <definedName name="_xlnm.Print_Titles" localSheetId="7">'7. Notes Tab'!$1:$7</definedName>
    <definedName name="rate" localSheetId="2">Sheet1!$S$22:$AJ$26</definedName>
    <definedName name="rate">Sheet1!$S$22:$AJ$26</definedName>
    <definedName name="rate1" localSheetId="2">Sheet1!$S$24:$S$26</definedName>
    <definedName name="rate1">Sheet1!$S$24:$S$26</definedName>
    <definedName name="Role">'2. PERSONNEL'!$B$10:$B$34</definedName>
    <definedName name="staff" localSheetId="2">Sheet1!$S$9:$S$15</definedName>
    <definedName name="staff">Sheet1!$S$9:$S$15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AY68" i="6"/>
  <c r="AX68" i="6"/>
  <c r="AW68" i="6"/>
  <c r="AV68" i="6"/>
  <c r="AU68" i="6"/>
  <c r="AT68" i="6"/>
  <c r="AS68" i="6"/>
  <c r="S11" i="4" l="1"/>
  <c r="T11" i="4"/>
  <c r="U11" i="4"/>
  <c r="V11" i="4"/>
  <c r="W11" i="4"/>
  <c r="X11" i="4"/>
  <c r="Y11" i="4"/>
  <c r="Z11" i="4"/>
  <c r="AA11" i="4"/>
  <c r="AB11" i="4"/>
  <c r="AC11" i="4"/>
  <c r="AD11" i="4"/>
  <c r="AE11" i="4"/>
  <c r="AF11" i="4"/>
  <c r="AG11" i="4"/>
  <c r="AH11" i="4"/>
  <c r="AI11" i="4"/>
  <c r="AJ11" i="4"/>
  <c r="S12" i="4"/>
  <c r="T12" i="4"/>
  <c r="U12" i="4"/>
  <c r="V12" i="4"/>
  <c r="W12" i="4"/>
  <c r="X12" i="4"/>
  <c r="Y12" i="4"/>
  <c r="Z12" i="4"/>
  <c r="AA12" i="4"/>
  <c r="AB12" i="4"/>
  <c r="AC12" i="4"/>
  <c r="AD12" i="4"/>
  <c r="AE12" i="4"/>
  <c r="AF12" i="4"/>
  <c r="AG12" i="4"/>
  <c r="AH12" i="4"/>
  <c r="AI12" i="4"/>
  <c r="AJ12" i="4"/>
  <c r="S13" i="4"/>
  <c r="T13" i="4"/>
  <c r="U13" i="4"/>
  <c r="V13" i="4"/>
  <c r="W13" i="4"/>
  <c r="X13" i="4"/>
  <c r="Y13" i="4"/>
  <c r="Z13" i="4"/>
  <c r="AA13" i="4"/>
  <c r="AB13" i="4"/>
  <c r="AC13" i="4"/>
  <c r="AD13" i="4"/>
  <c r="AE13" i="4"/>
  <c r="AF13" i="4"/>
  <c r="AG13" i="4"/>
  <c r="AH13" i="4"/>
  <c r="AI13" i="4"/>
  <c r="AJ13" i="4"/>
  <c r="S14" i="4"/>
  <c r="B34" i="2" s="1"/>
  <c r="T14" i="4"/>
  <c r="U14" i="4"/>
  <c r="V14" i="4"/>
  <c r="W14" i="4"/>
  <c r="X14" i="4"/>
  <c r="Y14" i="4"/>
  <c r="Z14" i="4"/>
  <c r="AA14" i="4"/>
  <c r="AB14" i="4"/>
  <c r="AC14" i="4"/>
  <c r="AD14" i="4"/>
  <c r="AE14" i="4"/>
  <c r="AF14" i="4"/>
  <c r="AG14" i="4"/>
  <c r="AH14" i="4"/>
  <c r="AI14" i="4"/>
  <c r="AJ14" i="4"/>
  <c r="S15" i="4"/>
  <c r="B35" i="2" s="1"/>
  <c r="T15" i="4"/>
  <c r="U15" i="4"/>
  <c r="V15" i="4"/>
  <c r="W15" i="4"/>
  <c r="X15" i="4"/>
  <c r="Y15" i="4"/>
  <c r="Z15" i="4"/>
  <c r="AA15" i="4"/>
  <c r="AB15" i="4"/>
  <c r="AC15" i="4"/>
  <c r="AD15" i="4"/>
  <c r="AE15" i="4"/>
  <c r="AF15" i="4"/>
  <c r="AG15" i="4"/>
  <c r="AH15" i="4"/>
  <c r="AI15" i="4"/>
  <c r="AJ15" i="4"/>
  <c r="B31" i="2"/>
  <c r="B32" i="2"/>
  <c r="B33" i="2"/>
  <c r="O1" i="1"/>
  <c r="T26" i="4" l="1"/>
  <c r="T25" i="4"/>
  <c r="U24" i="4"/>
  <c r="V24" i="4"/>
  <c r="W24" i="4"/>
  <c r="X24" i="4"/>
  <c r="Y24" i="4"/>
  <c r="Z24" i="4"/>
  <c r="AA24" i="4"/>
  <c r="AB24" i="4"/>
  <c r="AC24" i="4"/>
  <c r="AD24" i="4"/>
  <c r="AE24" i="4"/>
  <c r="AF24" i="4"/>
  <c r="AG24" i="4"/>
  <c r="AH24" i="4"/>
  <c r="AI24" i="4"/>
  <c r="AJ24" i="4"/>
  <c r="T24" i="4"/>
  <c r="T29" i="4"/>
  <c r="T23" i="4"/>
  <c r="U23" i="4"/>
  <c r="V23" i="4"/>
  <c r="W23" i="4"/>
  <c r="X23" i="4"/>
  <c r="Y23" i="4"/>
  <c r="Z23" i="4"/>
  <c r="AA23" i="4"/>
  <c r="AB23" i="4"/>
  <c r="AC23" i="4"/>
  <c r="AD23" i="4"/>
  <c r="AE23" i="4"/>
  <c r="AF23" i="4"/>
  <c r="AG23" i="4"/>
  <c r="AH23" i="4"/>
  <c r="AI23" i="4"/>
  <c r="AJ23" i="4"/>
  <c r="U25" i="4"/>
  <c r="V25" i="4"/>
  <c r="W25" i="4"/>
  <c r="X25" i="4"/>
  <c r="Y25" i="4"/>
  <c r="Z25" i="4"/>
  <c r="AA25" i="4"/>
  <c r="AB25" i="4"/>
  <c r="AC25" i="4"/>
  <c r="AD25" i="4"/>
  <c r="AE25" i="4"/>
  <c r="AF25" i="4"/>
  <c r="AG25" i="4"/>
  <c r="AH25" i="4"/>
  <c r="AI25" i="4"/>
  <c r="AJ25" i="4"/>
  <c r="U26" i="4"/>
  <c r="V26" i="4"/>
  <c r="W26" i="4"/>
  <c r="X26" i="4"/>
  <c r="Y26" i="4"/>
  <c r="Z26" i="4"/>
  <c r="AA26" i="4"/>
  <c r="AB26" i="4"/>
  <c r="AC26" i="4"/>
  <c r="AD26" i="4"/>
  <c r="AE26" i="4"/>
  <c r="AF26" i="4"/>
  <c r="AG26" i="4"/>
  <c r="AH26" i="4"/>
  <c r="AI26" i="4"/>
  <c r="AJ26" i="4"/>
  <c r="U22" i="4"/>
  <c r="V22" i="4"/>
  <c r="W22" i="4"/>
  <c r="X22" i="4"/>
  <c r="Y22" i="4"/>
  <c r="Z22" i="4"/>
  <c r="AA22" i="4"/>
  <c r="AB22" i="4"/>
  <c r="AC22" i="4"/>
  <c r="AD22" i="4"/>
  <c r="AE22" i="4"/>
  <c r="AF22" i="4"/>
  <c r="AG22" i="4"/>
  <c r="AH22" i="4"/>
  <c r="AI22" i="4"/>
  <c r="AJ22" i="4"/>
  <c r="T22" i="4"/>
  <c r="U8" i="4"/>
  <c r="V8" i="4"/>
  <c r="W8" i="4"/>
  <c r="X8" i="4"/>
  <c r="Y8" i="4"/>
  <c r="Z8" i="4"/>
  <c r="AA8" i="4"/>
  <c r="AB8" i="4"/>
  <c r="AC8" i="4"/>
  <c r="AD8" i="4"/>
  <c r="AE8" i="4"/>
  <c r="AF8" i="4"/>
  <c r="AG8" i="4"/>
  <c r="AH8" i="4"/>
  <c r="AI8" i="4"/>
  <c r="AJ8" i="4"/>
  <c r="U9" i="4"/>
  <c r="V9" i="4"/>
  <c r="W9" i="4"/>
  <c r="X9" i="4"/>
  <c r="Y9" i="4"/>
  <c r="Z9" i="4"/>
  <c r="AA9" i="4"/>
  <c r="AB9" i="4"/>
  <c r="AC9" i="4"/>
  <c r="AD9" i="4"/>
  <c r="AE9" i="4"/>
  <c r="AF9" i="4"/>
  <c r="AG9" i="4"/>
  <c r="AH9" i="4"/>
  <c r="AI9" i="4"/>
  <c r="AJ9" i="4"/>
  <c r="T8" i="4"/>
  <c r="T9" i="4"/>
  <c r="T10" i="4"/>
  <c r="U10" i="4"/>
  <c r="V10" i="4"/>
  <c r="W10" i="4"/>
  <c r="X10" i="4"/>
  <c r="Y10" i="4"/>
  <c r="Z10" i="4"/>
  <c r="AA10" i="4"/>
  <c r="AB10" i="4"/>
  <c r="AC10" i="4"/>
  <c r="AD10" i="4"/>
  <c r="AE10" i="4"/>
  <c r="AF10" i="4"/>
  <c r="AG10" i="4"/>
  <c r="AH10" i="4"/>
  <c r="AI10" i="4"/>
  <c r="AJ10" i="4"/>
  <c r="S10" i="4"/>
  <c r="B30" i="2" s="1"/>
  <c r="S25" i="4" l="1"/>
  <c r="C33" i="2"/>
  <c r="D33" i="2"/>
  <c r="E33" i="2"/>
  <c r="F33" i="2"/>
  <c r="G33" i="2"/>
  <c r="H33" i="2"/>
  <c r="I33" i="2"/>
  <c r="J33" i="2"/>
  <c r="K33" i="2"/>
  <c r="L33" i="2"/>
  <c r="M33" i="2"/>
  <c r="N33" i="2"/>
  <c r="O33" i="2"/>
  <c r="C34" i="2"/>
  <c r="D34" i="2"/>
  <c r="E34" i="2"/>
  <c r="F34" i="2"/>
  <c r="G34" i="2"/>
  <c r="H34" i="2"/>
  <c r="I34" i="2"/>
  <c r="J34" i="2"/>
  <c r="K34" i="2"/>
  <c r="L34" i="2"/>
  <c r="M34" i="2"/>
  <c r="N34" i="2"/>
  <c r="O34" i="2"/>
  <c r="C35" i="2"/>
  <c r="D35" i="2"/>
  <c r="E35" i="2"/>
  <c r="F35" i="2"/>
  <c r="G35" i="2"/>
  <c r="H35" i="2"/>
  <c r="I35" i="2"/>
  <c r="J35" i="2"/>
  <c r="K35" i="2"/>
  <c r="L35" i="2"/>
  <c r="M35" i="2"/>
  <c r="N35" i="2"/>
  <c r="O35" i="2"/>
  <c r="C32" i="2"/>
  <c r="D32" i="2"/>
  <c r="E32" i="2"/>
  <c r="F32" i="2"/>
  <c r="G32" i="2"/>
  <c r="H32" i="2"/>
  <c r="I32" i="2"/>
  <c r="J32" i="2"/>
  <c r="K32" i="2"/>
  <c r="L32" i="2"/>
  <c r="M32" i="2"/>
  <c r="N32" i="2"/>
  <c r="O32" i="2"/>
  <c r="C30" i="2"/>
  <c r="D30" i="2"/>
  <c r="E30" i="2"/>
  <c r="F30" i="2"/>
  <c r="G30" i="2"/>
  <c r="H30" i="2"/>
  <c r="I30" i="2"/>
  <c r="J30" i="2"/>
  <c r="K30" i="2"/>
  <c r="L30" i="2"/>
  <c r="M30" i="2"/>
  <c r="N30" i="2"/>
  <c r="O30" i="2"/>
  <c r="C31" i="2"/>
  <c r="D31" i="2"/>
  <c r="E31" i="2"/>
  <c r="F31" i="2"/>
  <c r="G31" i="2"/>
  <c r="H31" i="2"/>
  <c r="I31" i="2"/>
  <c r="J31" i="2"/>
  <c r="K31" i="2"/>
  <c r="L31" i="2"/>
  <c r="M31" i="2"/>
  <c r="N31" i="2"/>
  <c r="O31" i="2"/>
  <c r="Y47" i="4" l="1"/>
  <c r="L40" i="3" l="1"/>
  <c r="L13" i="3"/>
  <c r="L29" i="3"/>
  <c r="L44" i="3"/>
  <c r="L45" i="3"/>
  <c r="F39" i="2"/>
  <c r="I39" i="2"/>
  <c r="J39" i="2"/>
  <c r="C39" i="2"/>
  <c r="E28" i="2"/>
  <c r="F37" i="2"/>
  <c r="G28" i="2"/>
  <c r="I28" i="2"/>
  <c r="N28" i="2"/>
  <c r="D38" i="2"/>
  <c r="E29" i="2"/>
  <c r="F29" i="2"/>
  <c r="G38" i="2"/>
  <c r="H38" i="2"/>
  <c r="L38" i="2"/>
  <c r="C28" i="2"/>
  <c r="Y31" i="7"/>
  <c r="Y103" i="7" s="1"/>
  <c r="R660" i="6"/>
  <c r="AJ660" i="6" s="1"/>
  <c r="S750" i="6"/>
  <c r="AK750" i="6" s="1"/>
  <c r="AG34" i="9"/>
  <c r="V605" i="6"/>
  <c r="AN605" i="6" s="1"/>
  <c r="W590" i="6"/>
  <c r="AO590" i="6" s="1"/>
  <c r="Y635" i="6"/>
  <c r="AQ635" i="6" s="1"/>
  <c r="Z415" i="6"/>
  <c r="AR415" i="6" s="1"/>
  <c r="AI78" i="7"/>
  <c r="AO2" i="9"/>
  <c r="AQ9" i="9"/>
  <c r="AO46" i="7"/>
  <c r="AO115" i="7" s="1"/>
  <c r="R666" i="6"/>
  <c r="AJ666" i="6" s="1"/>
  <c r="S511" i="6"/>
  <c r="AK511" i="6" s="1"/>
  <c r="AG60" i="9"/>
  <c r="V736" i="6"/>
  <c r="AN736" i="6" s="1"/>
  <c r="W656" i="6"/>
  <c r="AO656" i="6" s="1"/>
  <c r="AK16" i="9"/>
  <c r="Y15" i="3"/>
  <c r="AI32" i="7"/>
  <c r="AI104" i="7" s="1"/>
  <c r="AO28" i="9"/>
  <c r="AM54" i="7"/>
  <c r="AM122" i="7" s="1"/>
  <c r="AS60" i="9"/>
  <c r="Q721" i="6"/>
  <c r="AI721" i="6" s="1"/>
  <c r="U32" i="4"/>
  <c r="V32" i="4"/>
  <c r="W32" i="4"/>
  <c r="X32" i="4"/>
  <c r="Y32" i="4"/>
  <c r="Z32" i="4"/>
  <c r="AA32" i="4"/>
  <c r="AB32" i="4"/>
  <c r="AC32" i="4"/>
  <c r="AD32" i="4"/>
  <c r="AE32" i="4"/>
  <c r="AF32" i="4"/>
  <c r="AG32" i="4"/>
  <c r="AH32" i="4"/>
  <c r="AI32" i="4"/>
  <c r="AJ32" i="4"/>
  <c r="U33" i="4"/>
  <c r="V33" i="4"/>
  <c r="W33" i="4"/>
  <c r="X33" i="4"/>
  <c r="Y33" i="4"/>
  <c r="Z33" i="4"/>
  <c r="AA33" i="4"/>
  <c r="AB33" i="4"/>
  <c r="AC33" i="4"/>
  <c r="AD33" i="4"/>
  <c r="AE33" i="4"/>
  <c r="AF33" i="4"/>
  <c r="AG33" i="4"/>
  <c r="AH33" i="4"/>
  <c r="AI33" i="4"/>
  <c r="AJ33" i="4"/>
  <c r="T33" i="4"/>
  <c r="T32" i="4"/>
  <c r="C40" i="2"/>
  <c r="D40" i="2"/>
  <c r="E40" i="2"/>
  <c r="F40" i="2"/>
  <c r="G40" i="2"/>
  <c r="H40" i="2"/>
  <c r="I40" i="2"/>
  <c r="J40" i="2"/>
  <c r="K40" i="2"/>
  <c r="L40" i="2"/>
  <c r="M40" i="2"/>
  <c r="N40" i="2"/>
  <c r="O40" i="2"/>
  <c r="N27" i="7"/>
  <c r="P27" i="7"/>
  <c r="R27" i="7"/>
  <c r="T27" i="7"/>
  <c r="N26" i="7"/>
  <c r="P26" i="7"/>
  <c r="R26" i="7"/>
  <c r="T26" i="7"/>
  <c r="T25" i="7"/>
  <c r="R25" i="7"/>
  <c r="P25" i="7"/>
  <c r="N25" i="7"/>
  <c r="T24" i="7"/>
  <c r="R24" i="7"/>
  <c r="P24" i="7"/>
  <c r="N24" i="7"/>
  <c r="N23" i="7"/>
  <c r="P23" i="7"/>
  <c r="R23" i="7"/>
  <c r="T23" i="7"/>
  <c r="T22" i="7"/>
  <c r="R22" i="7"/>
  <c r="P22" i="7"/>
  <c r="N22" i="7"/>
  <c r="N21" i="7"/>
  <c r="P21" i="7"/>
  <c r="R21" i="7"/>
  <c r="T21" i="7"/>
  <c r="T20" i="7"/>
  <c r="R20" i="7"/>
  <c r="P20" i="7"/>
  <c r="N20" i="7"/>
  <c r="T19" i="7"/>
  <c r="R19" i="7"/>
  <c r="P19" i="7"/>
  <c r="N19" i="7"/>
  <c r="X146" i="7"/>
  <c r="X147" i="7" s="1"/>
  <c r="X148" i="7"/>
  <c r="X145" i="7"/>
  <c r="T28" i="7"/>
  <c r="R28" i="7"/>
  <c r="P28" i="7"/>
  <c r="N28" i="7"/>
  <c r="L28" i="7"/>
  <c r="J28" i="7"/>
  <c r="H28" i="7"/>
  <c r="F28" i="7"/>
  <c r="D28" i="7"/>
  <c r="B28" i="7"/>
  <c r="L27" i="7"/>
  <c r="L26" i="7"/>
  <c r="L25" i="7"/>
  <c r="L24" i="7"/>
  <c r="J24" i="7"/>
  <c r="L23" i="7"/>
  <c r="L22" i="7"/>
  <c r="L21" i="7"/>
  <c r="L20" i="7"/>
  <c r="L19" i="7"/>
  <c r="V12" i="7"/>
  <c r="AG648" i="6"/>
  <c r="AF648" i="6"/>
  <c r="AE648" i="6"/>
  <c r="AG643" i="6"/>
  <c r="AF643" i="6"/>
  <c r="AE643" i="6"/>
  <c r="AD643" i="6"/>
  <c r="AC643" i="6"/>
  <c r="AB643" i="6"/>
  <c r="AA643" i="6"/>
  <c r="AG638" i="6"/>
  <c r="AF638" i="6"/>
  <c r="AE638" i="6"/>
  <c r="AD638" i="6"/>
  <c r="AC638" i="6"/>
  <c r="AB638" i="6"/>
  <c r="AA638" i="6"/>
  <c r="AG633" i="6"/>
  <c r="AF633" i="6"/>
  <c r="AE633" i="6"/>
  <c r="AD633" i="6"/>
  <c r="AC633" i="6"/>
  <c r="AB633" i="6"/>
  <c r="AA633" i="6"/>
  <c r="AG628" i="6"/>
  <c r="AF628" i="6"/>
  <c r="AE628" i="6"/>
  <c r="AD628" i="6"/>
  <c r="AC628" i="6"/>
  <c r="AB628" i="6"/>
  <c r="AA628" i="6"/>
  <c r="K269" i="6"/>
  <c r="T39" i="7" s="1"/>
  <c r="J269" i="6"/>
  <c r="R39" i="7" s="1"/>
  <c r="I269" i="6"/>
  <c r="P39" i="7"/>
  <c r="H269" i="6"/>
  <c r="N39" i="7" s="1"/>
  <c r="G269" i="6"/>
  <c r="F269" i="6"/>
  <c r="E269" i="6"/>
  <c r="H39" i="7" s="1"/>
  <c r="D269" i="6"/>
  <c r="C269" i="6"/>
  <c r="B269" i="6"/>
  <c r="K268" i="6"/>
  <c r="T34" i="7" s="1"/>
  <c r="J268" i="6"/>
  <c r="R34" i="7" s="1"/>
  <c r="I268" i="6"/>
  <c r="P34" i="7"/>
  <c r="H268" i="6"/>
  <c r="N34" i="7" s="1"/>
  <c r="G268" i="6"/>
  <c r="L34" i="7"/>
  <c r="F268" i="6"/>
  <c r="J34" i="7" s="1"/>
  <c r="E268" i="6"/>
  <c r="D268" i="6"/>
  <c r="C268" i="6"/>
  <c r="B268" i="6"/>
  <c r="AG133" i="6"/>
  <c r="AF133" i="6"/>
  <c r="AE133" i="6"/>
  <c r="AD133" i="6"/>
  <c r="AC133" i="6"/>
  <c r="AB133" i="6"/>
  <c r="AA133" i="6"/>
  <c r="AA128" i="6"/>
  <c r="AG123" i="6"/>
  <c r="AF123" i="6"/>
  <c r="AE123" i="6"/>
  <c r="AD123" i="6"/>
  <c r="AC123" i="6"/>
  <c r="AB123" i="6"/>
  <c r="AA123" i="6"/>
  <c r="AG118" i="6"/>
  <c r="AF118" i="6"/>
  <c r="AE118" i="6"/>
  <c r="AD118" i="6"/>
  <c r="AC118" i="6"/>
  <c r="AB118" i="6"/>
  <c r="AA118" i="6"/>
  <c r="AG388" i="6"/>
  <c r="AF388" i="6"/>
  <c r="AE388" i="6"/>
  <c r="AG383" i="6"/>
  <c r="AF383" i="6"/>
  <c r="AE383" i="6"/>
  <c r="AD383" i="6"/>
  <c r="AC383" i="6"/>
  <c r="AB383" i="6"/>
  <c r="AA383" i="6"/>
  <c r="AG378" i="6"/>
  <c r="AF378" i="6"/>
  <c r="AE378" i="6"/>
  <c r="AD378" i="6"/>
  <c r="AC378" i="6"/>
  <c r="AB378" i="6"/>
  <c r="AA378" i="6"/>
  <c r="AG373" i="6"/>
  <c r="AF373" i="6"/>
  <c r="AE373" i="6"/>
  <c r="AD373" i="6"/>
  <c r="AC373" i="6"/>
  <c r="AB373" i="6"/>
  <c r="AA373" i="6"/>
  <c r="AG368" i="6"/>
  <c r="AF368" i="6"/>
  <c r="AE368" i="6"/>
  <c r="AD368" i="6"/>
  <c r="AC368" i="6"/>
  <c r="AB368" i="6"/>
  <c r="AA368" i="6"/>
  <c r="I254" i="6"/>
  <c r="J254" i="6"/>
  <c r="K254" i="6"/>
  <c r="I237" i="6"/>
  <c r="J237" i="6"/>
  <c r="K237" i="6"/>
  <c r="I203" i="6"/>
  <c r="J203" i="6"/>
  <c r="K203" i="6"/>
  <c r="I186" i="6"/>
  <c r="J186" i="6"/>
  <c r="K186" i="6"/>
  <c r="I169" i="6"/>
  <c r="J169" i="6"/>
  <c r="K169" i="6"/>
  <c r="I152" i="6"/>
  <c r="J152" i="6"/>
  <c r="K152" i="6"/>
  <c r="I135" i="6"/>
  <c r="J135" i="6"/>
  <c r="K135" i="6"/>
  <c r="I118" i="6"/>
  <c r="J118" i="6"/>
  <c r="K118" i="6"/>
  <c r="I101" i="6"/>
  <c r="J101" i="6"/>
  <c r="K101" i="6"/>
  <c r="I84" i="6"/>
  <c r="J84" i="6"/>
  <c r="K84" i="6"/>
  <c r="I220" i="6"/>
  <c r="J220" i="6"/>
  <c r="K220" i="6"/>
  <c r="L65" i="6"/>
  <c r="L64" i="6"/>
  <c r="K67" i="6"/>
  <c r="I67" i="6"/>
  <c r="J67" i="6"/>
  <c r="AY733" i="6"/>
  <c r="AX733" i="6"/>
  <c r="AW733" i="6"/>
  <c r="AV733" i="6"/>
  <c r="AU733" i="6"/>
  <c r="AT733" i="6"/>
  <c r="AS733" i="6"/>
  <c r="AY723" i="6"/>
  <c r="AX723" i="6"/>
  <c r="AW723" i="6"/>
  <c r="AV723" i="6"/>
  <c r="AU723" i="6"/>
  <c r="AT723" i="6"/>
  <c r="AS723" i="6"/>
  <c r="AY747" i="6"/>
  <c r="AY748" i="6" s="1"/>
  <c r="AX747" i="6"/>
  <c r="AX748" i="6" s="1"/>
  <c r="AW747" i="6"/>
  <c r="AW748" i="6" s="1"/>
  <c r="AY742" i="6"/>
  <c r="AY743" i="6" s="1"/>
  <c r="AX742" i="6"/>
  <c r="AX743" i="6" s="1"/>
  <c r="AW742" i="6"/>
  <c r="AW743" i="6" s="1"/>
  <c r="AV742" i="6"/>
  <c r="AV743" i="6" s="1"/>
  <c r="AU742" i="6"/>
  <c r="AU743" i="6" s="1"/>
  <c r="AT742" i="6"/>
  <c r="AT743" i="6" s="1"/>
  <c r="AS742" i="6"/>
  <c r="AS743" i="6" s="1"/>
  <c r="AY737" i="6"/>
  <c r="AY738" i="6" s="1"/>
  <c r="AX737" i="6"/>
  <c r="AX738" i="6" s="1"/>
  <c r="AW737" i="6"/>
  <c r="AW738" i="6" s="1"/>
  <c r="AV737" i="6"/>
  <c r="AV738" i="6" s="1"/>
  <c r="AU737" i="6"/>
  <c r="AU738" i="6" s="1"/>
  <c r="AT737" i="6"/>
  <c r="AT738" i="6"/>
  <c r="AS737" i="6"/>
  <c r="AS738" i="6" s="1"/>
  <c r="AY732" i="6"/>
  <c r="AX732" i="6"/>
  <c r="AW732" i="6"/>
  <c r="AV732" i="6"/>
  <c r="AU732" i="6"/>
  <c r="AT732" i="6"/>
  <c r="AS732" i="6"/>
  <c r="AY727" i="6"/>
  <c r="AY728" i="6" s="1"/>
  <c r="AX727" i="6"/>
  <c r="AX728" i="6" s="1"/>
  <c r="AW727" i="6"/>
  <c r="AW728" i="6" s="1"/>
  <c r="AV727" i="6"/>
  <c r="AV728" i="6" s="1"/>
  <c r="AU727" i="6"/>
  <c r="AU728" i="6" s="1"/>
  <c r="AT727" i="6"/>
  <c r="AT728" i="6" s="1"/>
  <c r="AS727" i="6"/>
  <c r="AS728" i="6" s="1"/>
  <c r="AY722" i="6"/>
  <c r="AX722" i="6"/>
  <c r="AW722" i="6"/>
  <c r="AV722" i="6"/>
  <c r="AU722" i="6"/>
  <c r="AT722" i="6"/>
  <c r="AS722" i="6"/>
  <c r="AY683" i="6"/>
  <c r="AX683" i="6"/>
  <c r="AW683" i="6"/>
  <c r="AV683" i="6"/>
  <c r="AU683" i="6"/>
  <c r="AT683" i="6"/>
  <c r="AS683" i="6"/>
  <c r="AY673" i="6"/>
  <c r="AX673" i="6"/>
  <c r="AW673" i="6"/>
  <c r="AV673" i="6"/>
  <c r="AU673" i="6"/>
  <c r="AT673" i="6"/>
  <c r="AS673" i="6"/>
  <c r="AY633" i="6"/>
  <c r="AX633" i="6"/>
  <c r="AW633" i="6"/>
  <c r="AV633" i="6"/>
  <c r="AU633" i="6"/>
  <c r="AT633" i="6"/>
  <c r="AS633" i="6"/>
  <c r="AY697" i="6"/>
  <c r="AY698" i="6" s="1"/>
  <c r="AX697" i="6"/>
  <c r="AX698" i="6" s="1"/>
  <c r="AW697" i="6"/>
  <c r="AW698" i="6" s="1"/>
  <c r="AY692" i="6"/>
  <c r="AY693" i="6" s="1"/>
  <c r="AX692" i="6"/>
  <c r="AX693" i="6" s="1"/>
  <c r="AW692" i="6"/>
  <c r="AW693" i="6" s="1"/>
  <c r="AV692" i="6"/>
  <c r="AV693" i="6" s="1"/>
  <c r="AU692" i="6"/>
  <c r="AU693" i="6" s="1"/>
  <c r="AT692" i="6"/>
  <c r="AT693" i="6" s="1"/>
  <c r="AS692" i="6"/>
  <c r="AS693" i="6" s="1"/>
  <c r="AY687" i="6"/>
  <c r="AY688" i="6" s="1"/>
  <c r="AX687" i="6"/>
  <c r="AX688" i="6" s="1"/>
  <c r="AW687" i="6"/>
  <c r="AW688" i="6" s="1"/>
  <c r="AV687" i="6"/>
  <c r="AV688" i="6" s="1"/>
  <c r="AU687" i="6"/>
  <c r="AU688" i="6" s="1"/>
  <c r="AT687" i="6"/>
  <c r="AT688" i="6" s="1"/>
  <c r="AS687" i="6"/>
  <c r="AS688" i="6" s="1"/>
  <c r="AY682" i="6"/>
  <c r="AX682" i="6"/>
  <c r="AW682" i="6"/>
  <c r="AV682" i="6"/>
  <c r="AU682" i="6"/>
  <c r="AT682" i="6"/>
  <c r="AS682" i="6"/>
  <c r="AY677" i="6"/>
  <c r="AY678" i="6" s="1"/>
  <c r="AX677" i="6"/>
  <c r="AX678" i="6" s="1"/>
  <c r="AW677" i="6"/>
  <c r="AW678" i="6" s="1"/>
  <c r="AV677" i="6"/>
  <c r="AV678" i="6" s="1"/>
  <c r="AU677" i="6"/>
  <c r="AU678" i="6" s="1"/>
  <c r="AT677" i="6"/>
  <c r="AT678" i="6" s="1"/>
  <c r="AS677" i="6"/>
  <c r="AS678" i="6" s="1"/>
  <c r="AY672" i="6"/>
  <c r="AX672" i="6"/>
  <c r="AW672" i="6"/>
  <c r="AV672" i="6"/>
  <c r="AU672" i="6"/>
  <c r="AT672" i="6"/>
  <c r="AS672" i="6"/>
  <c r="AY623" i="6"/>
  <c r="AX623" i="6"/>
  <c r="AW623" i="6"/>
  <c r="AV623" i="6"/>
  <c r="AU623" i="6"/>
  <c r="AT623" i="6"/>
  <c r="AS623" i="6"/>
  <c r="AY647" i="6"/>
  <c r="AY648" i="6" s="1"/>
  <c r="AX647" i="6"/>
  <c r="AX648" i="6" s="1"/>
  <c r="AW647" i="6"/>
  <c r="AW648" i="6" s="1"/>
  <c r="AY642" i="6"/>
  <c r="AY643" i="6" s="1"/>
  <c r="AX642" i="6"/>
  <c r="AX643" i="6" s="1"/>
  <c r="AW642" i="6"/>
  <c r="AW643" i="6" s="1"/>
  <c r="AV642" i="6"/>
  <c r="AV643" i="6" s="1"/>
  <c r="AU642" i="6"/>
  <c r="AU643" i="6" s="1"/>
  <c r="AT642" i="6"/>
  <c r="AT643" i="6" s="1"/>
  <c r="AS642" i="6"/>
  <c r="AS643" i="6" s="1"/>
  <c r="AY637" i="6"/>
  <c r="AY638" i="6" s="1"/>
  <c r="AX637" i="6"/>
  <c r="AX638" i="6" s="1"/>
  <c r="AW637" i="6"/>
  <c r="AW638" i="6" s="1"/>
  <c r="AV637" i="6"/>
  <c r="AV638" i="6" s="1"/>
  <c r="AU637" i="6"/>
  <c r="AU638" i="6" s="1"/>
  <c r="AT637" i="6"/>
  <c r="AT638" i="6" s="1"/>
  <c r="AS637" i="6"/>
  <c r="AS638" i="6" s="1"/>
  <c r="AY632" i="6"/>
  <c r="AX632" i="6"/>
  <c r="AW632" i="6"/>
  <c r="AV632" i="6"/>
  <c r="AU632" i="6"/>
  <c r="AT632" i="6"/>
  <c r="AS632" i="6"/>
  <c r="AY627" i="6"/>
  <c r="AY628" i="6" s="1"/>
  <c r="AX627" i="6"/>
  <c r="AX628" i="6" s="1"/>
  <c r="AW627" i="6"/>
  <c r="AW628" i="6" s="1"/>
  <c r="AV627" i="6"/>
  <c r="AV628" i="6" s="1"/>
  <c r="AU627" i="6"/>
  <c r="AU628" i="6" s="1"/>
  <c r="AT627" i="6"/>
  <c r="AT628" i="6" s="1"/>
  <c r="AS627" i="6"/>
  <c r="AS628" i="6" s="1"/>
  <c r="AY622" i="6"/>
  <c r="AX622" i="6"/>
  <c r="AW622" i="6"/>
  <c r="AV622" i="6"/>
  <c r="AU622" i="6"/>
  <c r="AT622" i="6"/>
  <c r="AS622" i="6"/>
  <c r="AY583" i="6"/>
  <c r="AX583" i="6"/>
  <c r="AW583" i="6"/>
  <c r="AV583" i="6"/>
  <c r="AU583" i="6"/>
  <c r="AT583" i="6"/>
  <c r="AS583" i="6"/>
  <c r="AY573" i="6"/>
  <c r="AX573" i="6"/>
  <c r="AW573" i="6"/>
  <c r="AV573" i="6"/>
  <c r="AU573" i="6"/>
  <c r="AT573" i="6"/>
  <c r="AS573" i="6"/>
  <c r="AY597" i="6"/>
  <c r="AY598" i="6" s="1"/>
  <c r="AX597" i="6"/>
  <c r="AX598" i="6" s="1"/>
  <c r="AW597" i="6"/>
  <c r="AW598" i="6" s="1"/>
  <c r="AY592" i="6"/>
  <c r="AY593" i="6" s="1"/>
  <c r="AX592" i="6"/>
  <c r="AX593" i="6" s="1"/>
  <c r="AW592" i="6"/>
  <c r="AW593" i="6" s="1"/>
  <c r="AV592" i="6"/>
  <c r="AV593" i="6" s="1"/>
  <c r="AU592" i="6"/>
  <c r="AU593" i="6" s="1"/>
  <c r="AT592" i="6"/>
  <c r="AT593" i="6" s="1"/>
  <c r="AS592" i="6"/>
  <c r="AS593" i="6" s="1"/>
  <c r="AY587" i="6"/>
  <c r="AY588" i="6" s="1"/>
  <c r="AX587" i="6"/>
  <c r="AX588" i="6" s="1"/>
  <c r="AW587" i="6"/>
  <c r="AW588" i="6" s="1"/>
  <c r="AV587" i="6"/>
  <c r="AV588" i="6" s="1"/>
  <c r="AU587" i="6"/>
  <c r="AU588" i="6" s="1"/>
  <c r="AT587" i="6"/>
  <c r="AT588" i="6" s="1"/>
  <c r="AS587" i="6"/>
  <c r="AS588" i="6" s="1"/>
  <c r="AY582" i="6"/>
  <c r="AX582" i="6"/>
  <c r="AW582" i="6"/>
  <c r="AV582" i="6"/>
  <c r="AU582" i="6"/>
  <c r="AT582" i="6"/>
  <c r="AS582" i="6"/>
  <c r="AY577" i="6"/>
  <c r="AY578" i="6" s="1"/>
  <c r="AX577" i="6"/>
  <c r="AX578" i="6" s="1"/>
  <c r="AW577" i="6"/>
  <c r="AW578" i="6" s="1"/>
  <c r="AV577" i="6"/>
  <c r="AV578" i="6" s="1"/>
  <c r="AU577" i="6"/>
  <c r="AU578" i="6" s="1"/>
  <c r="AT577" i="6"/>
  <c r="AT578" i="6" s="1"/>
  <c r="AS577" i="6"/>
  <c r="AS578" i="6" s="1"/>
  <c r="AY572" i="6"/>
  <c r="AX572" i="6"/>
  <c r="AW572" i="6"/>
  <c r="AV572" i="6"/>
  <c r="AU572" i="6"/>
  <c r="AT572" i="6"/>
  <c r="AS572" i="6"/>
  <c r="AY533" i="6"/>
  <c r="AX533" i="6"/>
  <c r="AW533" i="6"/>
  <c r="AV533" i="6"/>
  <c r="AU533" i="6"/>
  <c r="AT533" i="6"/>
  <c r="AS533" i="6"/>
  <c r="AY523" i="6"/>
  <c r="AX523" i="6"/>
  <c r="AW523" i="6"/>
  <c r="AV523" i="6"/>
  <c r="AU523" i="6"/>
  <c r="AT523" i="6"/>
  <c r="AS523" i="6"/>
  <c r="AY547" i="6"/>
  <c r="AY548" i="6" s="1"/>
  <c r="AX547" i="6"/>
  <c r="AX548" i="6" s="1"/>
  <c r="AW547" i="6"/>
  <c r="AW548" i="6" s="1"/>
  <c r="AY542" i="6"/>
  <c r="AY543" i="6" s="1"/>
  <c r="AX542" i="6"/>
  <c r="AX543" i="6" s="1"/>
  <c r="AW542" i="6"/>
  <c r="AW543" i="6" s="1"/>
  <c r="AV542" i="6"/>
  <c r="AV543" i="6" s="1"/>
  <c r="AU542" i="6"/>
  <c r="AU543" i="6" s="1"/>
  <c r="AT542" i="6"/>
  <c r="AT543" i="6" s="1"/>
  <c r="AS542" i="6"/>
  <c r="AS543" i="6"/>
  <c r="AY537" i="6"/>
  <c r="AY538" i="6" s="1"/>
  <c r="AX537" i="6"/>
  <c r="AX538" i="6" s="1"/>
  <c r="AW537" i="6"/>
  <c r="AW538" i="6" s="1"/>
  <c r="AV537" i="6"/>
  <c r="AV538" i="6" s="1"/>
  <c r="AU537" i="6"/>
  <c r="AU538" i="6" s="1"/>
  <c r="AT537" i="6"/>
  <c r="AT538" i="6" s="1"/>
  <c r="AS537" i="6"/>
  <c r="AS538" i="6" s="1"/>
  <c r="AY532" i="6"/>
  <c r="AX532" i="6"/>
  <c r="AW532" i="6"/>
  <c r="AV532" i="6"/>
  <c r="AU532" i="6"/>
  <c r="AT532" i="6"/>
  <c r="AS532" i="6"/>
  <c r="AY527" i="6"/>
  <c r="AY528" i="6" s="1"/>
  <c r="AX527" i="6"/>
  <c r="AX528" i="6" s="1"/>
  <c r="AW527" i="6"/>
  <c r="AW528" i="6" s="1"/>
  <c r="AV527" i="6"/>
  <c r="AV528" i="6" s="1"/>
  <c r="AU527" i="6"/>
  <c r="AU528" i="6" s="1"/>
  <c r="AT527" i="6"/>
  <c r="AT528" i="6" s="1"/>
  <c r="AS527" i="6"/>
  <c r="AS528" i="6" s="1"/>
  <c r="AY522" i="6"/>
  <c r="AX522" i="6"/>
  <c r="AW522" i="6"/>
  <c r="AV522" i="6"/>
  <c r="AU522" i="6"/>
  <c r="AT522" i="6"/>
  <c r="AS522" i="6"/>
  <c r="AY483" i="6"/>
  <c r="AX483" i="6"/>
  <c r="AW483" i="6"/>
  <c r="AV483" i="6"/>
  <c r="AU483" i="6"/>
  <c r="AT483" i="6"/>
  <c r="AS483" i="6"/>
  <c r="AY473" i="6"/>
  <c r="AX473" i="6"/>
  <c r="AW473" i="6"/>
  <c r="AV473" i="6"/>
  <c r="AU473" i="6"/>
  <c r="AT473" i="6"/>
  <c r="AS473" i="6"/>
  <c r="AY497" i="6"/>
  <c r="AY498" i="6" s="1"/>
  <c r="AX497" i="6"/>
  <c r="AX498" i="6" s="1"/>
  <c r="AW497" i="6"/>
  <c r="AW498" i="6" s="1"/>
  <c r="AY492" i="6"/>
  <c r="AY493" i="6" s="1"/>
  <c r="AX492" i="6"/>
  <c r="AX493" i="6" s="1"/>
  <c r="AW492" i="6"/>
  <c r="AW493" i="6" s="1"/>
  <c r="AV492" i="6"/>
  <c r="AV493" i="6" s="1"/>
  <c r="AU492" i="6"/>
  <c r="AU493" i="6" s="1"/>
  <c r="AT492" i="6"/>
  <c r="AT493" i="6" s="1"/>
  <c r="AS492" i="6"/>
  <c r="AS493" i="6" s="1"/>
  <c r="AY487" i="6"/>
  <c r="AY488" i="6" s="1"/>
  <c r="AX487" i="6"/>
  <c r="AX488" i="6" s="1"/>
  <c r="AW487" i="6"/>
  <c r="AW488" i="6" s="1"/>
  <c r="AV487" i="6"/>
  <c r="AV488" i="6" s="1"/>
  <c r="AU487" i="6"/>
  <c r="AU488" i="6" s="1"/>
  <c r="AT487" i="6"/>
  <c r="AT488" i="6" s="1"/>
  <c r="AS487" i="6"/>
  <c r="AS488" i="6" s="1"/>
  <c r="AY482" i="6"/>
  <c r="AX482" i="6"/>
  <c r="AW482" i="6"/>
  <c r="AV482" i="6"/>
  <c r="AU482" i="6"/>
  <c r="AT482" i="6"/>
  <c r="AS482" i="6"/>
  <c r="AY477" i="6"/>
  <c r="AY478" i="6" s="1"/>
  <c r="AX477" i="6"/>
  <c r="AX478" i="6" s="1"/>
  <c r="AW477" i="6"/>
  <c r="AW478" i="6" s="1"/>
  <c r="AV477" i="6"/>
  <c r="AV478" i="6" s="1"/>
  <c r="AU477" i="6"/>
  <c r="AU478" i="6" s="1"/>
  <c r="AT477" i="6"/>
  <c r="AT478" i="6" s="1"/>
  <c r="AS477" i="6"/>
  <c r="AS478" i="6" s="1"/>
  <c r="AY472" i="6"/>
  <c r="AX472" i="6"/>
  <c r="AW472" i="6"/>
  <c r="AV472" i="6"/>
  <c r="AU472" i="6"/>
  <c r="AT472" i="6"/>
  <c r="AS472" i="6"/>
  <c r="AY437" i="6"/>
  <c r="AY438" i="6" s="1"/>
  <c r="AY423" i="6"/>
  <c r="AX423" i="6"/>
  <c r="AW423" i="6"/>
  <c r="AV423" i="6"/>
  <c r="AU423" i="6"/>
  <c r="AT423" i="6"/>
  <c r="AS423" i="6"/>
  <c r="AY413" i="6"/>
  <c r="AX413" i="6"/>
  <c r="AW413" i="6"/>
  <c r="AV413" i="6"/>
  <c r="AU413" i="6"/>
  <c r="AT413" i="6"/>
  <c r="AS413" i="6"/>
  <c r="AX437" i="6"/>
  <c r="AX438" i="6" s="1"/>
  <c r="AW437" i="6"/>
  <c r="AW438" i="6" s="1"/>
  <c r="AY432" i="6"/>
  <c r="AY433" i="6" s="1"/>
  <c r="AX432" i="6"/>
  <c r="AX433" i="6" s="1"/>
  <c r="AW432" i="6"/>
  <c r="AW433" i="6" s="1"/>
  <c r="AV432" i="6"/>
  <c r="AV433" i="6" s="1"/>
  <c r="AU432" i="6"/>
  <c r="AU433" i="6" s="1"/>
  <c r="AT432" i="6"/>
  <c r="AT433" i="6" s="1"/>
  <c r="AS432" i="6"/>
  <c r="AS433" i="6" s="1"/>
  <c r="AY427" i="6"/>
  <c r="AY428" i="6" s="1"/>
  <c r="AX427" i="6"/>
  <c r="AX428" i="6" s="1"/>
  <c r="AW427" i="6"/>
  <c r="AW428" i="6" s="1"/>
  <c r="AV427" i="6"/>
  <c r="AV428" i="6" s="1"/>
  <c r="AU427" i="6"/>
  <c r="AU428" i="6" s="1"/>
  <c r="AT427" i="6"/>
  <c r="AT428" i="6" s="1"/>
  <c r="AS427" i="6"/>
  <c r="AS428" i="6" s="1"/>
  <c r="AY422" i="6"/>
  <c r="AX422" i="6"/>
  <c r="AW422" i="6"/>
  <c r="AV422" i="6"/>
  <c r="AU422" i="6"/>
  <c r="AT422" i="6"/>
  <c r="AS422" i="6"/>
  <c r="AY417" i="6"/>
  <c r="AY418" i="6" s="1"/>
  <c r="AX417" i="6"/>
  <c r="AX418" i="6" s="1"/>
  <c r="AW417" i="6"/>
  <c r="AW418" i="6" s="1"/>
  <c r="AV417" i="6"/>
  <c r="AV418" i="6" s="1"/>
  <c r="AU417" i="6"/>
  <c r="AU418" i="6" s="1"/>
  <c r="AT417" i="6"/>
  <c r="AT418" i="6" s="1"/>
  <c r="AS417" i="6"/>
  <c r="AS418" i="6" s="1"/>
  <c r="AY412" i="6"/>
  <c r="AX412" i="6"/>
  <c r="AW412" i="6"/>
  <c r="AV412" i="6"/>
  <c r="AU412" i="6"/>
  <c r="AT412" i="6"/>
  <c r="AS412" i="6"/>
  <c r="AY373" i="6"/>
  <c r="AX373" i="6"/>
  <c r="AW373" i="6"/>
  <c r="AV373" i="6"/>
  <c r="AU373" i="6"/>
  <c r="AT373" i="6"/>
  <c r="AS373" i="6"/>
  <c r="AY363" i="6"/>
  <c r="AX363" i="6"/>
  <c r="AW363" i="6"/>
  <c r="AV363" i="6"/>
  <c r="AU363" i="6"/>
  <c r="AT363" i="6"/>
  <c r="AS363" i="6"/>
  <c r="AY387" i="6"/>
  <c r="AY388" i="6" s="1"/>
  <c r="AX387" i="6"/>
  <c r="AX388" i="6" s="1"/>
  <c r="AW387" i="6"/>
  <c r="AW388" i="6" s="1"/>
  <c r="AY382" i="6"/>
  <c r="AY383" i="6" s="1"/>
  <c r="AX382" i="6"/>
  <c r="AX383" i="6" s="1"/>
  <c r="AW382" i="6"/>
  <c r="AW383" i="6" s="1"/>
  <c r="AV382" i="6"/>
  <c r="AV383" i="6" s="1"/>
  <c r="AU382" i="6"/>
  <c r="AU383" i="6" s="1"/>
  <c r="AT382" i="6"/>
  <c r="AT383" i="6" s="1"/>
  <c r="AS382" i="6"/>
  <c r="AS383" i="6" s="1"/>
  <c r="AY377" i="6"/>
  <c r="AY378" i="6" s="1"/>
  <c r="AX377" i="6"/>
  <c r="AX378" i="6" s="1"/>
  <c r="AW377" i="6"/>
  <c r="AW378" i="6" s="1"/>
  <c r="AV377" i="6"/>
  <c r="AV378" i="6" s="1"/>
  <c r="AU377" i="6"/>
  <c r="AU378" i="6" s="1"/>
  <c r="AT377" i="6"/>
  <c r="AT378" i="6" s="1"/>
  <c r="AS377" i="6"/>
  <c r="AS378" i="6" s="1"/>
  <c r="AY372" i="6"/>
  <c r="AX372" i="6"/>
  <c r="AW372" i="6"/>
  <c r="AV372" i="6"/>
  <c r="AU372" i="6"/>
  <c r="AT372" i="6"/>
  <c r="AS372" i="6"/>
  <c r="AY367" i="6"/>
  <c r="AY368" i="6" s="1"/>
  <c r="AX367" i="6"/>
  <c r="AX368" i="6" s="1"/>
  <c r="AW367" i="6"/>
  <c r="AW368" i="6" s="1"/>
  <c r="AV367" i="6"/>
  <c r="AV368" i="6" s="1"/>
  <c r="AU367" i="6"/>
  <c r="AU368" i="6" s="1"/>
  <c r="AT367" i="6"/>
  <c r="AT368" i="6" s="1"/>
  <c r="AS367" i="6"/>
  <c r="AS368" i="6" s="1"/>
  <c r="AY362" i="6"/>
  <c r="AX362" i="6"/>
  <c r="AW362" i="6"/>
  <c r="AV362" i="6"/>
  <c r="AU362" i="6"/>
  <c r="AT362" i="6"/>
  <c r="AS362" i="6"/>
  <c r="AY323" i="6"/>
  <c r="AX323" i="6"/>
  <c r="AW323" i="6"/>
  <c r="AV323" i="6"/>
  <c r="AU323" i="6"/>
  <c r="AT323" i="6"/>
  <c r="AS323" i="6"/>
  <c r="AY313" i="6"/>
  <c r="AX313" i="6"/>
  <c r="AW313" i="6"/>
  <c r="AV313" i="6"/>
  <c r="AU313" i="6"/>
  <c r="AT313" i="6"/>
  <c r="AS313" i="6"/>
  <c r="AY337" i="6"/>
  <c r="AY338" i="6" s="1"/>
  <c r="AX337" i="6"/>
  <c r="AX338" i="6" s="1"/>
  <c r="AW337" i="6"/>
  <c r="AW338" i="6" s="1"/>
  <c r="AY332" i="6"/>
  <c r="AY333" i="6" s="1"/>
  <c r="AX332" i="6"/>
  <c r="AX333" i="6" s="1"/>
  <c r="AW332" i="6"/>
  <c r="AW333" i="6" s="1"/>
  <c r="AV332" i="6"/>
  <c r="AV333" i="6" s="1"/>
  <c r="AU332" i="6"/>
  <c r="AU333" i="6" s="1"/>
  <c r="AT332" i="6"/>
  <c r="AT333" i="6" s="1"/>
  <c r="AS332" i="6"/>
  <c r="AS333" i="6" s="1"/>
  <c r="AY327" i="6"/>
  <c r="AY328" i="6" s="1"/>
  <c r="AX327" i="6"/>
  <c r="AX328" i="6" s="1"/>
  <c r="AW327" i="6"/>
  <c r="AW328" i="6" s="1"/>
  <c r="AV327" i="6"/>
  <c r="AV328" i="6" s="1"/>
  <c r="AU327" i="6"/>
  <c r="AU328" i="6" s="1"/>
  <c r="AT327" i="6"/>
  <c r="AT328" i="6" s="1"/>
  <c r="AS327" i="6"/>
  <c r="AS328" i="6" s="1"/>
  <c r="AY322" i="6"/>
  <c r="AX322" i="6"/>
  <c r="AW322" i="6"/>
  <c r="AV322" i="6"/>
  <c r="AU322" i="6"/>
  <c r="AT322" i="6"/>
  <c r="AS322" i="6"/>
  <c r="AY317" i="6"/>
  <c r="AY318" i="6" s="1"/>
  <c r="AX317" i="6"/>
  <c r="AX318" i="6" s="1"/>
  <c r="AW317" i="6"/>
  <c r="AW318" i="6" s="1"/>
  <c r="AV317" i="6"/>
  <c r="AV318" i="6" s="1"/>
  <c r="AU317" i="6"/>
  <c r="AU318" i="6" s="1"/>
  <c r="AT317" i="6"/>
  <c r="AT318" i="6" s="1"/>
  <c r="AS317" i="6"/>
  <c r="AS318" i="6" s="1"/>
  <c r="AY312" i="6"/>
  <c r="AX312" i="6"/>
  <c r="AW312" i="6"/>
  <c r="AV312" i="6"/>
  <c r="AU312" i="6"/>
  <c r="AT312" i="6"/>
  <c r="AS312" i="6"/>
  <c r="AY273" i="6"/>
  <c r="AX273" i="6"/>
  <c r="AW273" i="6"/>
  <c r="AV273" i="6"/>
  <c r="AU273" i="6"/>
  <c r="AT273" i="6"/>
  <c r="AS273" i="6"/>
  <c r="AY263" i="6"/>
  <c r="AX263" i="6"/>
  <c r="AW263" i="6"/>
  <c r="AV263" i="6"/>
  <c r="AU263" i="6"/>
  <c r="AT263" i="6"/>
  <c r="AS263" i="6"/>
  <c r="AY287" i="6"/>
  <c r="AY288" i="6" s="1"/>
  <c r="AX287" i="6"/>
  <c r="AX288" i="6" s="1"/>
  <c r="AW287" i="6"/>
  <c r="AW288" i="6" s="1"/>
  <c r="AY282" i="6"/>
  <c r="AY283" i="6" s="1"/>
  <c r="AX282" i="6"/>
  <c r="AX283" i="6" s="1"/>
  <c r="AW282" i="6"/>
  <c r="AW283" i="6" s="1"/>
  <c r="AV282" i="6"/>
  <c r="AV283" i="6" s="1"/>
  <c r="AU282" i="6"/>
  <c r="AU283" i="6" s="1"/>
  <c r="AT282" i="6"/>
  <c r="AT283" i="6" s="1"/>
  <c r="AS282" i="6"/>
  <c r="AS283" i="6" s="1"/>
  <c r="AY277" i="6"/>
  <c r="AY278" i="6" s="1"/>
  <c r="AX277" i="6"/>
  <c r="AX278" i="6" s="1"/>
  <c r="AW277" i="6"/>
  <c r="AW278" i="6" s="1"/>
  <c r="AV277" i="6"/>
  <c r="AV278" i="6" s="1"/>
  <c r="AU277" i="6"/>
  <c r="AU278" i="6" s="1"/>
  <c r="AT277" i="6"/>
  <c r="AT278" i="6" s="1"/>
  <c r="AS277" i="6"/>
  <c r="AS278" i="6" s="1"/>
  <c r="AY272" i="6"/>
  <c r="AX272" i="6"/>
  <c r="AW272" i="6"/>
  <c r="AV272" i="6"/>
  <c r="AU272" i="6"/>
  <c r="AT272" i="6"/>
  <c r="AS272" i="6"/>
  <c r="AY267" i="6"/>
  <c r="AY268" i="6" s="1"/>
  <c r="AX267" i="6"/>
  <c r="AX268" i="6" s="1"/>
  <c r="AW267" i="6"/>
  <c r="AW268" i="6" s="1"/>
  <c r="AV267" i="6"/>
  <c r="AV268" i="6" s="1"/>
  <c r="AU267" i="6"/>
  <c r="AU268" i="6" s="1"/>
  <c r="AT267" i="6"/>
  <c r="AT268" i="6" s="1"/>
  <c r="AS267" i="6"/>
  <c r="AS268" i="6" s="1"/>
  <c r="AY262" i="6"/>
  <c r="AX262" i="6"/>
  <c r="AW262" i="6"/>
  <c r="AV262" i="6"/>
  <c r="AU262" i="6"/>
  <c r="AT262" i="6"/>
  <c r="AS262" i="6"/>
  <c r="AY223" i="6"/>
  <c r="AX223" i="6"/>
  <c r="AW223" i="6"/>
  <c r="AV223" i="6"/>
  <c r="AU223" i="6"/>
  <c r="AT223" i="6"/>
  <c r="AS223" i="6"/>
  <c r="AY213" i="6"/>
  <c r="AX213" i="6"/>
  <c r="AW213" i="6"/>
  <c r="AV213" i="6"/>
  <c r="AU213" i="6"/>
  <c r="AT213" i="6"/>
  <c r="AS213" i="6"/>
  <c r="AY237" i="6"/>
  <c r="AY238" i="6" s="1"/>
  <c r="AX237" i="6"/>
  <c r="AX238" i="6" s="1"/>
  <c r="AW237" i="6"/>
  <c r="AW238" i="6" s="1"/>
  <c r="AY232" i="6"/>
  <c r="AY233" i="6" s="1"/>
  <c r="AX232" i="6"/>
  <c r="AX233" i="6" s="1"/>
  <c r="AW232" i="6"/>
  <c r="AW233" i="6" s="1"/>
  <c r="AV232" i="6"/>
  <c r="AV233" i="6" s="1"/>
  <c r="AU232" i="6"/>
  <c r="AU233" i="6" s="1"/>
  <c r="AT232" i="6"/>
  <c r="AT233" i="6" s="1"/>
  <c r="AS232" i="6"/>
  <c r="AS233" i="6" s="1"/>
  <c r="AY227" i="6"/>
  <c r="AY228" i="6" s="1"/>
  <c r="AX227" i="6"/>
  <c r="AX228" i="6" s="1"/>
  <c r="AW227" i="6"/>
  <c r="AW228" i="6" s="1"/>
  <c r="AV227" i="6"/>
  <c r="AV228" i="6" s="1"/>
  <c r="AU227" i="6"/>
  <c r="AU228" i="6" s="1"/>
  <c r="AT227" i="6"/>
  <c r="AT228" i="6" s="1"/>
  <c r="AS227" i="6"/>
  <c r="AS228" i="6" s="1"/>
  <c r="AY222" i="6"/>
  <c r="AX222" i="6"/>
  <c r="AW222" i="6"/>
  <c r="AV222" i="6"/>
  <c r="AU222" i="6"/>
  <c r="AT222" i="6"/>
  <c r="AS222" i="6"/>
  <c r="AY217" i="6"/>
  <c r="AY218" i="6" s="1"/>
  <c r="AX217" i="6"/>
  <c r="AX218" i="6" s="1"/>
  <c r="AW217" i="6"/>
  <c r="AW218" i="6" s="1"/>
  <c r="AV217" i="6"/>
  <c r="AV218" i="6" s="1"/>
  <c r="AU217" i="6"/>
  <c r="AU218" i="6" s="1"/>
  <c r="AT217" i="6"/>
  <c r="AT218" i="6" s="1"/>
  <c r="AS217" i="6"/>
  <c r="AS218" i="6" s="1"/>
  <c r="AY212" i="6"/>
  <c r="AX212" i="6"/>
  <c r="AW212" i="6"/>
  <c r="AV212" i="6"/>
  <c r="AU212" i="6"/>
  <c r="AT212" i="6"/>
  <c r="AS212" i="6"/>
  <c r="AY173" i="6"/>
  <c r="AX173" i="6"/>
  <c r="AW173" i="6"/>
  <c r="AV173" i="6"/>
  <c r="AU173" i="6"/>
  <c r="AT173" i="6"/>
  <c r="AS173" i="6"/>
  <c r="AY163" i="6"/>
  <c r="AX163" i="6"/>
  <c r="AW163" i="6"/>
  <c r="AV163" i="6"/>
  <c r="AU163" i="6"/>
  <c r="AT163" i="6"/>
  <c r="AS163" i="6"/>
  <c r="AY187" i="6"/>
  <c r="AY188" i="6" s="1"/>
  <c r="AX187" i="6"/>
  <c r="AX188" i="6" s="1"/>
  <c r="AW187" i="6"/>
  <c r="AW188" i="6" s="1"/>
  <c r="AY182" i="6"/>
  <c r="AY183" i="6" s="1"/>
  <c r="AX182" i="6"/>
  <c r="AX183" i="6" s="1"/>
  <c r="AW182" i="6"/>
  <c r="AW183" i="6" s="1"/>
  <c r="AV182" i="6"/>
  <c r="AV183" i="6" s="1"/>
  <c r="AU182" i="6"/>
  <c r="AU183" i="6" s="1"/>
  <c r="AT182" i="6"/>
  <c r="AT183" i="6" s="1"/>
  <c r="AS182" i="6"/>
  <c r="AS183" i="6" s="1"/>
  <c r="AY177" i="6"/>
  <c r="AY178" i="6" s="1"/>
  <c r="AX177" i="6"/>
  <c r="AX178" i="6" s="1"/>
  <c r="AW177" i="6"/>
  <c r="AW178" i="6" s="1"/>
  <c r="AV177" i="6"/>
  <c r="AV178" i="6" s="1"/>
  <c r="AU177" i="6"/>
  <c r="AU178" i="6" s="1"/>
  <c r="AT177" i="6"/>
  <c r="AT178" i="6" s="1"/>
  <c r="AS177" i="6"/>
  <c r="AS178" i="6" s="1"/>
  <c r="AY172" i="6"/>
  <c r="AX172" i="6"/>
  <c r="AW172" i="6"/>
  <c r="AV172" i="6"/>
  <c r="AU172" i="6"/>
  <c r="AT172" i="6"/>
  <c r="AS172" i="6"/>
  <c r="AY167" i="6"/>
  <c r="AY168" i="6" s="1"/>
  <c r="AX167" i="6"/>
  <c r="AX168" i="6" s="1"/>
  <c r="AW167" i="6"/>
  <c r="AW168" i="6" s="1"/>
  <c r="AV167" i="6"/>
  <c r="AV168" i="6" s="1"/>
  <c r="AU167" i="6"/>
  <c r="AU168" i="6" s="1"/>
  <c r="AT167" i="6"/>
  <c r="AT168" i="6" s="1"/>
  <c r="AS167" i="6"/>
  <c r="AS168" i="6" s="1"/>
  <c r="AY162" i="6"/>
  <c r="AX162" i="6"/>
  <c r="AW162" i="6"/>
  <c r="AV162" i="6"/>
  <c r="AU162" i="6"/>
  <c r="AT162" i="6"/>
  <c r="AS162" i="6"/>
  <c r="AY132" i="6"/>
  <c r="AY133" i="6" s="1"/>
  <c r="AX132" i="6"/>
  <c r="AX133" i="6" s="1"/>
  <c r="AW132" i="6"/>
  <c r="AW133" i="6" s="1"/>
  <c r="AV132" i="6"/>
  <c r="AV133" i="6" s="1"/>
  <c r="AU132" i="6"/>
  <c r="AU133" i="6" s="1"/>
  <c r="AT132" i="6"/>
  <c r="AT133" i="6" s="1"/>
  <c r="AS132" i="6"/>
  <c r="AS133" i="6" s="1"/>
  <c r="AY127" i="6"/>
  <c r="AY128" i="6" s="1"/>
  <c r="AX127" i="6"/>
  <c r="AX128" i="6" s="1"/>
  <c r="AW127" i="6"/>
  <c r="AW128" i="6" s="1"/>
  <c r="AV127" i="6"/>
  <c r="AV128" i="6" s="1"/>
  <c r="AU127" i="6"/>
  <c r="AU128" i="6" s="1"/>
  <c r="AT127" i="6"/>
  <c r="AT128" i="6" s="1"/>
  <c r="AS127" i="6"/>
  <c r="AS128" i="6" s="1"/>
  <c r="AY123" i="6"/>
  <c r="AX123" i="6"/>
  <c r="AW123" i="6"/>
  <c r="AV123" i="6"/>
  <c r="AU123" i="6"/>
  <c r="AT123" i="6"/>
  <c r="AS123" i="6"/>
  <c r="AY122" i="6"/>
  <c r="AX122" i="6"/>
  <c r="AW122" i="6"/>
  <c r="AV122" i="6"/>
  <c r="AU122" i="6"/>
  <c r="AT122" i="6"/>
  <c r="AS122" i="6"/>
  <c r="AY117" i="6"/>
  <c r="AY118" i="6" s="1"/>
  <c r="AX117" i="6"/>
  <c r="AX118" i="6" s="1"/>
  <c r="AW117" i="6"/>
  <c r="AW118" i="6" s="1"/>
  <c r="AV117" i="6"/>
  <c r="AV118" i="6" s="1"/>
  <c r="AU117" i="6"/>
  <c r="AU118" i="6" s="1"/>
  <c r="AT117" i="6"/>
  <c r="AT118" i="6" s="1"/>
  <c r="AS117" i="6"/>
  <c r="AS118" i="6" s="1"/>
  <c r="AY67" i="6"/>
  <c r="AX67" i="6"/>
  <c r="AW67" i="6"/>
  <c r="AV67" i="6"/>
  <c r="AU67" i="6"/>
  <c r="AT67" i="6"/>
  <c r="AS67" i="6"/>
  <c r="AY113" i="6"/>
  <c r="AX113" i="6"/>
  <c r="AW113" i="6"/>
  <c r="AV113" i="6"/>
  <c r="AU113" i="6"/>
  <c r="AT113" i="6"/>
  <c r="AS113" i="6"/>
  <c r="AY112" i="6"/>
  <c r="AX112" i="6"/>
  <c r="AW112" i="6"/>
  <c r="AV112" i="6"/>
  <c r="AU112" i="6"/>
  <c r="AT112" i="6"/>
  <c r="AS112" i="6"/>
  <c r="AY91" i="6"/>
  <c r="AX91" i="6"/>
  <c r="AW91" i="6"/>
  <c r="AV91" i="6"/>
  <c r="AU91" i="6"/>
  <c r="AT91" i="6"/>
  <c r="AS91" i="6"/>
  <c r="AR91" i="6"/>
  <c r="AQ91" i="6"/>
  <c r="AP91" i="6"/>
  <c r="AO91" i="6"/>
  <c r="AN91" i="6"/>
  <c r="AM91" i="6"/>
  <c r="AL91" i="6"/>
  <c r="AK91" i="6"/>
  <c r="AJ91" i="6"/>
  <c r="AI91" i="6"/>
  <c r="AY90" i="6"/>
  <c r="AX90" i="6"/>
  <c r="AW90" i="6"/>
  <c r="AV90" i="6"/>
  <c r="AU90" i="6"/>
  <c r="AT90" i="6"/>
  <c r="AS90" i="6"/>
  <c r="AR90" i="6"/>
  <c r="AQ90" i="6"/>
  <c r="AP90" i="6"/>
  <c r="AO90" i="6"/>
  <c r="AN90" i="6"/>
  <c r="AM90" i="6"/>
  <c r="AL90" i="6"/>
  <c r="AK90" i="6"/>
  <c r="AJ90" i="6"/>
  <c r="AI90" i="6"/>
  <c r="AY82" i="6"/>
  <c r="AY83" i="6" s="1"/>
  <c r="AX82" i="6"/>
  <c r="AX83" i="6" s="1"/>
  <c r="AW82" i="6"/>
  <c r="AW83" i="6" s="1"/>
  <c r="AV82" i="6"/>
  <c r="AV83" i="6" s="1"/>
  <c r="AU82" i="6"/>
  <c r="AU83" i="6" s="1"/>
  <c r="AT82" i="6"/>
  <c r="AT83" i="6" s="1"/>
  <c r="AS82" i="6"/>
  <c r="AS83" i="6" s="1"/>
  <c r="AY77" i="6"/>
  <c r="AY78" i="6" s="1"/>
  <c r="AX77" i="6"/>
  <c r="AX78" i="6" s="1"/>
  <c r="AW77" i="6"/>
  <c r="AW78" i="6" s="1"/>
  <c r="AV77" i="6"/>
  <c r="AV78" i="6" s="1"/>
  <c r="AU77" i="6"/>
  <c r="AU78" i="6" s="1"/>
  <c r="AT77" i="6"/>
  <c r="AT78" i="6" s="1"/>
  <c r="AS77" i="6"/>
  <c r="AS78" i="6" s="1"/>
  <c r="AY73" i="6"/>
  <c r="AX73" i="6"/>
  <c r="AW73" i="6"/>
  <c r="AV73" i="6"/>
  <c r="AU73" i="6"/>
  <c r="AT73" i="6"/>
  <c r="AS73" i="6"/>
  <c r="AY72" i="6"/>
  <c r="AX72" i="6"/>
  <c r="AW72" i="6"/>
  <c r="AV72" i="6"/>
  <c r="AU72" i="6"/>
  <c r="AT72" i="6"/>
  <c r="AS72" i="6"/>
  <c r="AY63" i="6"/>
  <c r="AX63" i="6"/>
  <c r="AW63" i="6"/>
  <c r="AV63" i="6"/>
  <c r="AU63" i="6"/>
  <c r="AT63" i="6"/>
  <c r="AS63" i="6"/>
  <c r="AY62" i="6"/>
  <c r="AX62" i="6"/>
  <c r="AW62" i="6"/>
  <c r="AV62" i="6"/>
  <c r="AU62" i="6"/>
  <c r="AT62" i="6"/>
  <c r="AS62" i="6"/>
  <c r="AG748" i="6"/>
  <c r="AF748" i="6"/>
  <c r="AE748" i="6"/>
  <c r="AG743" i="6"/>
  <c r="AF743" i="6"/>
  <c r="AE743" i="6"/>
  <c r="AD743" i="6"/>
  <c r="AC743" i="6"/>
  <c r="AB743" i="6"/>
  <c r="AA743" i="6"/>
  <c r="AG738" i="6"/>
  <c r="AF738" i="6"/>
  <c r="AE738" i="6"/>
  <c r="AD738" i="6"/>
  <c r="AC738" i="6"/>
  <c r="AB738" i="6"/>
  <c r="AA738" i="6"/>
  <c r="AG733" i="6"/>
  <c r="AF733" i="6"/>
  <c r="AE733" i="6"/>
  <c r="AD733" i="6"/>
  <c r="AC733" i="6"/>
  <c r="AB733" i="6"/>
  <c r="AA733" i="6"/>
  <c r="AG728" i="6"/>
  <c r="AF728" i="6"/>
  <c r="AE728" i="6"/>
  <c r="AD728" i="6"/>
  <c r="AC728" i="6"/>
  <c r="AB728" i="6"/>
  <c r="AA728" i="6"/>
  <c r="AG723" i="6"/>
  <c r="AF723" i="6"/>
  <c r="AE723" i="6"/>
  <c r="AD723" i="6"/>
  <c r="AC723" i="6"/>
  <c r="AB723" i="6"/>
  <c r="AA723" i="6"/>
  <c r="AG698" i="6"/>
  <c r="AF698" i="6"/>
  <c r="AE698" i="6"/>
  <c r="AG693" i="6"/>
  <c r="AF693" i="6"/>
  <c r="AE693" i="6"/>
  <c r="AD693" i="6"/>
  <c r="AC693" i="6"/>
  <c r="AB693" i="6"/>
  <c r="AA693" i="6"/>
  <c r="AG688" i="6"/>
  <c r="AF688" i="6"/>
  <c r="AE688" i="6"/>
  <c r="AD688" i="6"/>
  <c r="AC688" i="6"/>
  <c r="AB688" i="6"/>
  <c r="AA688" i="6"/>
  <c r="AG683" i="6"/>
  <c r="AF683" i="6"/>
  <c r="AE683" i="6"/>
  <c r="AD683" i="6"/>
  <c r="AC683" i="6"/>
  <c r="AB683" i="6"/>
  <c r="AA683" i="6"/>
  <c r="AG678" i="6"/>
  <c r="AF678" i="6"/>
  <c r="AE678" i="6"/>
  <c r="AD678" i="6"/>
  <c r="AC678" i="6"/>
  <c r="AB678" i="6"/>
  <c r="AA678" i="6"/>
  <c r="AG673" i="6"/>
  <c r="AF673" i="6"/>
  <c r="AE673" i="6"/>
  <c r="AD673" i="6"/>
  <c r="AC673" i="6"/>
  <c r="AB673" i="6"/>
  <c r="AA673" i="6"/>
  <c r="AG623" i="6"/>
  <c r="AF623" i="6"/>
  <c r="AE623" i="6"/>
  <c r="AD623" i="6"/>
  <c r="AC623" i="6"/>
  <c r="AB623" i="6"/>
  <c r="AA623" i="6"/>
  <c r="AG598" i="6"/>
  <c r="AF598" i="6"/>
  <c r="AE598" i="6"/>
  <c r="AG593" i="6"/>
  <c r="AF593" i="6"/>
  <c r="AE593" i="6"/>
  <c r="AD593" i="6"/>
  <c r="AC593" i="6"/>
  <c r="AB593" i="6"/>
  <c r="AA593" i="6"/>
  <c r="AG588" i="6"/>
  <c r="AF588" i="6"/>
  <c r="AE588" i="6"/>
  <c r="AD588" i="6"/>
  <c r="AC588" i="6"/>
  <c r="AB588" i="6"/>
  <c r="AA588" i="6"/>
  <c r="AG583" i="6"/>
  <c r="AF583" i="6"/>
  <c r="AE583" i="6"/>
  <c r="AD583" i="6"/>
  <c r="AC583" i="6"/>
  <c r="AB583" i="6"/>
  <c r="AA583" i="6"/>
  <c r="AG578" i="6"/>
  <c r="AF578" i="6"/>
  <c r="AE578" i="6"/>
  <c r="AD578" i="6"/>
  <c r="AC578" i="6"/>
  <c r="AB578" i="6"/>
  <c r="AA578" i="6"/>
  <c r="AG573" i="6"/>
  <c r="AF573" i="6"/>
  <c r="AE573" i="6"/>
  <c r="AD573" i="6"/>
  <c r="AC573" i="6"/>
  <c r="AB573" i="6"/>
  <c r="AA573" i="6"/>
  <c r="AG523" i="6"/>
  <c r="AG548" i="6"/>
  <c r="AF548" i="6"/>
  <c r="AE548" i="6"/>
  <c r="AG543" i="6"/>
  <c r="AF543" i="6"/>
  <c r="AE543" i="6"/>
  <c r="AD543" i="6"/>
  <c r="AC543" i="6"/>
  <c r="AB543" i="6"/>
  <c r="AA543" i="6"/>
  <c r="AG538" i="6"/>
  <c r="AF538" i="6"/>
  <c r="AE538" i="6"/>
  <c r="AD538" i="6"/>
  <c r="AC538" i="6"/>
  <c r="AB538" i="6"/>
  <c r="AA538" i="6"/>
  <c r="AG533" i="6"/>
  <c r="AF533" i="6"/>
  <c r="AE533" i="6"/>
  <c r="AD533" i="6"/>
  <c r="AC533" i="6"/>
  <c r="AB533" i="6"/>
  <c r="AA533" i="6"/>
  <c r="AG528" i="6"/>
  <c r="AF528" i="6"/>
  <c r="AE528" i="6"/>
  <c r="AD528" i="6"/>
  <c r="AC528" i="6"/>
  <c r="AB528" i="6"/>
  <c r="AA528" i="6"/>
  <c r="AF523" i="6"/>
  <c r="AE523" i="6"/>
  <c r="AD523" i="6"/>
  <c r="AC523" i="6"/>
  <c r="AB523" i="6"/>
  <c r="AA523" i="6"/>
  <c r="AG498" i="6"/>
  <c r="AF498" i="6"/>
  <c r="AE498" i="6"/>
  <c r="AG493" i="6"/>
  <c r="AF493" i="6"/>
  <c r="AE493" i="6"/>
  <c r="AD493" i="6"/>
  <c r="AC493" i="6"/>
  <c r="AB493" i="6"/>
  <c r="AA493" i="6"/>
  <c r="AG488" i="6"/>
  <c r="AF488" i="6"/>
  <c r="AE488" i="6"/>
  <c r="AD488" i="6"/>
  <c r="AC488" i="6"/>
  <c r="AB488" i="6"/>
  <c r="AA488" i="6"/>
  <c r="AG483" i="6"/>
  <c r="AF483" i="6"/>
  <c r="AE483" i="6"/>
  <c r="AD483" i="6"/>
  <c r="AC483" i="6"/>
  <c r="AB483" i="6"/>
  <c r="AA483" i="6"/>
  <c r="AG478" i="6"/>
  <c r="AF478" i="6"/>
  <c r="AE478" i="6"/>
  <c r="AD478" i="6"/>
  <c r="AC478" i="6"/>
  <c r="AB478" i="6"/>
  <c r="AA478" i="6"/>
  <c r="AG473" i="6"/>
  <c r="AF473" i="6"/>
  <c r="AE473" i="6"/>
  <c r="AD473" i="6"/>
  <c r="AC473" i="6"/>
  <c r="AB473" i="6"/>
  <c r="AA473" i="6"/>
  <c r="AG438" i="6"/>
  <c r="AE438" i="6"/>
  <c r="AF438" i="6"/>
  <c r="AG433" i="6"/>
  <c r="AA433" i="6"/>
  <c r="AB433" i="6"/>
  <c r="AC433" i="6"/>
  <c r="AD433" i="6"/>
  <c r="AE433" i="6"/>
  <c r="AF433" i="6"/>
  <c r="AG428" i="6"/>
  <c r="AA428" i="6"/>
  <c r="AB428" i="6"/>
  <c r="AC428" i="6"/>
  <c r="AD428" i="6"/>
  <c r="AE428" i="6"/>
  <c r="AF428" i="6"/>
  <c r="AA423" i="6"/>
  <c r="AB423" i="6"/>
  <c r="AC423" i="6"/>
  <c r="AD423" i="6"/>
  <c r="AE423" i="6"/>
  <c r="AF423" i="6"/>
  <c r="AG423" i="6"/>
  <c r="AG418" i="6"/>
  <c r="AA418" i="6"/>
  <c r="AB418" i="6"/>
  <c r="AC418" i="6"/>
  <c r="AD418" i="6"/>
  <c r="AE418" i="6"/>
  <c r="AF418" i="6"/>
  <c r="AA413" i="6"/>
  <c r="AB413" i="6"/>
  <c r="AC413" i="6"/>
  <c r="AD413" i="6"/>
  <c r="AE413" i="6"/>
  <c r="AF413" i="6"/>
  <c r="AG413" i="6"/>
  <c r="AG338" i="6"/>
  <c r="AF338" i="6"/>
  <c r="AE338" i="6"/>
  <c r="AG333" i="6"/>
  <c r="AF333" i="6"/>
  <c r="AE333" i="6"/>
  <c r="AD333" i="6"/>
  <c r="AC333" i="6"/>
  <c r="AB333" i="6"/>
  <c r="AA333" i="6"/>
  <c r="AG328" i="6"/>
  <c r="AF328" i="6"/>
  <c r="AE328" i="6"/>
  <c r="AD328" i="6"/>
  <c r="AC328" i="6"/>
  <c r="AB328" i="6"/>
  <c r="AA328" i="6"/>
  <c r="AG323" i="6"/>
  <c r="AF323" i="6"/>
  <c r="AE323" i="6"/>
  <c r="AD323" i="6"/>
  <c r="AC323" i="6"/>
  <c r="AB323" i="6"/>
  <c r="AA323" i="6"/>
  <c r="AG318" i="6"/>
  <c r="AF318" i="6"/>
  <c r="AE318" i="6"/>
  <c r="AD318" i="6"/>
  <c r="AC318" i="6"/>
  <c r="AB318" i="6"/>
  <c r="AA318" i="6"/>
  <c r="AG313" i="6"/>
  <c r="AF313" i="6"/>
  <c r="AE313" i="6"/>
  <c r="AD313" i="6"/>
  <c r="AC313" i="6"/>
  <c r="AB313" i="6"/>
  <c r="AA313" i="6"/>
  <c r="AG363" i="6"/>
  <c r="AA73" i="6"/>
  <c r="AB73" i="6"/>
  <c r="AC73" i="6"/>
  <c r="AD73" i="6"/>
  <c r="AE73" i="6"/>
  <c r="AF73" i="6"/>
  <c r="AG73" i="6"/>
  <c r="AA78" i="6"/>
  <c r="AB78" i="6"/>
  <c r="AC78" i="6"/>
  <c r="AD78" i="6"/>
  <c r="AE78" i="6"/>
  <c r="AF78" i="6"/>
  <c r="AG78" i="6"/>
  <c r="AA83" i="6"/>
  <c r="AB83" i="6"/>
  <c r="AC83" i="6"/>
  <c r="AD83" i="6"/>
  <c r="AE83" i="6"/>
  <c r="AF83" i="6"/>
  <c r="AG83" i="6"/>
  <c r="AG213" i="6"/>
  <c r="AG188" i="6"/>
  <c r="AG183" i="6"/>
  <c r="AA183" i="6"/>
  <c r="AB183" i="6"/>
  <c r="AC183" i="6"/>
  <c r="AD183" i="6"/>
  <c r="AE183" i="6"/>
  <c r="AF183" i="6"/>
  <c r="AG178" i="6"/>
  <c r="AA178" i="6"/>
  <c r="AB178" i="6"/>
  <c r="AC178" i="6"/>
  <c r="AD178" i="6"/>
  <c r="AE178" i="6"/>
  <c r="AF178" i="6"/>
  <c r="AG228" i="6"/>
  <c r="AA228" i="6"/>
  <c r="AB228" i="6"/>
  <c r="AC228" i="6"/>
  <c r="AD228" i="6"/>
  <c r="AE228" i="6"/>
  <c r="AF228" i="6"/>
  <c r="AG278" i="6"/>
  <c r="AA278" i="6"/>
  <c r="AB278" i="6"/>
  <c r="AC278" i="6"/>
  <c r="AD278" i="6"/>
  <c r="AE278" i="6"/>
  <c r="AF278" i="6"/>
  <c r="AA363" i="6"/>
  <c r="AB363" i="6"/>
  <c r="AC363" i="6"/>
  <c r="AD363" i="6"/>
  <c r="AE363" i="6"/>
  <c r="AF363" i="6"/>
  <c r="AF288" i="6"/>
  <c r="AE288" i="6"/>
  <c r="AG288" i="6"/>
  <c r="AG283" i="6"/>
  <c r="AA283" i="6"/>
  <c r="AB283" i="6"/>
  <c r="AC283" i="6"/>
  <c r="AD283" i="6"/>
  <c r="AE283" i="6"/>
  <c r="AF283" i="6"/>
  <c r="AG273" i="6"/>
  <c r="AA273" i="6"/>
  <c r="AB273" i="6"/>
  <c r="AC273" i="6"/>
  <c r="AD273" i="6"/>
  <c r="AE273" i="6"/>
  <c r="AF273" i="6"/>
  <c r="AG268" i="6"/>
  <c r="AA268" i="6"/>
  <c r="AB268" i="6"/>
  <c r="AC268" i="6"/>
  <c r="AD268" i="6"/>
  <c r="AE268" i="6"/>
  <c r="AF268" i="6"/>
  <c r="AA263" i="6"/>
  <c r="AB263" i="6"/>
  <c r="AC263" i="6"/>
  <c r="AD263" i="6"/>
  <c r="AE263" i="6"/>
  <c r="AF263" i="6"/>
  <c r="AG263" i="6"/>
  <c r="AG238" i="6"/>
  <c r="AE238" i="6"/>
  <c r="AF238" i="6"/>
  <c r="AA233" i="6"/>
  <c r="AB233" i="6"/>
  <c r="AC233" i="6"/>
  <c r="AD233" i="6"/>
  <c r="AE233" i="6"/>
  <c r="AF233" i="6"/>
  <c r="AG233" i="6"/>
  <c r="AA223" i="6"/>
  <c r="AB223" i="6"/>
  <c r="AC223" i="6"/>
  <c r="AD223" i="6"/>
  <c r="AE223" i="6"/>
  <c r="AF223" i="6"/>
  <c r="AG223" i="6"/>
  <c r="AA218" i="6"/>
  <c r="AB218" i="6"/>
  <c r="AC218" i="6"/>
  <c r="AD218" i="6"/>
  <c r="AE218" i="6"/>
  <c r="AF218" i="6"/>
  <c r="AG218" i="6"/>
  <c r="AA213" i="6"/>
  <c r="AB213" i="6"/>
  <c r="AC213" i="6"/>
  <c r="AD213" i="6"/>
  <c r="AE213" i="6"/>
  <c r="AF213" i="6"/>
  <c r="AE188" i="6"/>
  <c r="AF188" i="6"/>
  <c r="AA68" i="6"/>
  <c r="AB68" i="6"/>
  <c r="AC68" i="6"/>
  <c r="AD68" i="6"/>
  <c r="AE68" i="6"/>
  <c r="AF68" i="6"/>
  <c r="AG68" i="6"/>
  <c r="H152" i="6"/>
  <c r="L252" i="6"/>
  <c r="L251" i="6"/>
  <c r="L235" i="6"/>
  <c r="L234" i="6"/>
  <c r="L218" i="6"/>
  <c r="L217" i="6"/>
  <c r="L201" i="6"/>
  <c r="L200" i="6"/>
  <c r="L184" i="6"/>
  <c r="L183" i="6"/>
  <c r="L167" i="6"/>
  <c r="L166" i="6"/>
  <c r="L150" i="6"/>
  <c r="L149" i="6"/>
  <c r="L133" i="6"/>
  <c r="L132" i="6"/>
  <c r="L116" i="6"/>
  <c r="L115" i="6"/>
  <c r="L99" i="6"/>
  <c r="L98" i="6"/>
  <c r="L82" i="6"/>
  <c r="L81" i="6"/>
  <c r="L47" i="6"/>
  <c r="H264" i="6"/>
  <c r="I264" i="6"/>
  <c r="J264" i="6"/>
  <c r="K264" i="6"/>
  <c r="G264" i="6"/>
  <c r="I50" i="6"/>
  <c r="J50" i="6"/>
  <c r="K50" i="6"/>
  <c r="L48" i="6"/>
  <c r="L30" i="6"/>
  <c r="L31" i="6"/>
  <c r="I33" i="6"/>
  <c r="J33" i="6"/>
  <c r="K33" i="6"/>
  <c r="I16" i="6"/>
  <c r="J16" i="6"/>
  <c r="K16" i="6"/>
  <c r="L14" i="6"/>
  <c r="L13" i="6"/>
  <c r="L41" i="3"/>
  <c r="L14" i="3"/>
  <c r="L15" i="3"/>
  <c r="L16" i="3"/>
  <c r="L17" i="3"/>
  <c r="L18" i="3"/>
  <c r="L19" i="3"/>
  <c r="L20" i="3"/>
  <c r="L21" i="3"/>
  <c r="L22" i="3"/>
  <c r="L23" i="3"/>
  <c r="L24" i="3"/>
  <c r="L25" i="3"/>
  <c r="L26" i="3"/>
  <c r="L27" i="3"/>
  <c r="L28" i="3"/>
  <c r="L30" i="3"/>
  <c r="L31" i="3"/>
  <c r="L32" i="3"/>
  <c r="L33" i="3"/>
  <c r="L34" i="3"/>
  <c r="L35" i="3"/>
  <c r="L36" i="3"/>
  <c r="L37" i="3"/>
  <c r="L38" i="3"/>
  <c r="L39" i="3"/>
  <c r="AS35" i="9"/>
  <c r="AO20" i="7"/>
  <c r="AO92" i="7" s="1"/>
  <c r="AS15" i="9"/>
  <c r="AK60" i="7"/>
  <c r="AK127" i="7" s="1"/>
  <c r="AC70" i="5"/>
  <c r="Y3" i="5"/>
  <c r="A22" i="9"/>
  <c r="B13" i="9"/>
  <c r="B14" i="9" s="1"/>
  <c r="C13" i="9" s="1"/>
  <c r="A8" i="9"/>
  <c r="A7" i="9"/>
  <c r="A6" i="9"/>
  <c r="M1" i="9"/>
  <c r="Q18" i="9"/>
  <c r="Q19" i="9" s="1"/>
  <c r="Q20" i="9" s="1"/>
  <c r="Z17" i="9"/>
  <c r="Z18" i="9" s="1"/>
  <c r="Z19" i="9" s="1"/>
  <c r="Z20" i="9" s="1"/>
  <c r="Z21" i="9" s="1"/>
  <c r="Z22" i="9" s="1"/>
  <c r="Z23" i="9" s="1"/>
  <c r="Z24" i="9" s="1"/>
  <c r="Y17" i="9"/>
  <c r="Y18" i="9" s="1"/>
  <c r="Y19" i="9" s="1"/>
  <c r="Y20" i="9" s="1"/>
  <c r="Y21" i="9" s="1"/>
  <c r="Y22" i="9" s="1"/>
  <c r="Y23" i="9" s="1"/>
  <c r="Y24" i="9" s="1"/>
  <c r="X17" i="9"/>
  <c r="X18" i="9" s="1"/>
  <c r="X19" i="9" s="1"/>
  <c r="X20" i="9" s="1"/>
  <c r="X21" i="9" s="1"/>
  <c r="X22" i="9" s="1"/>
  <c r="X23" i="9" s="1"/>
  <c r="X24" i="9" s="1"/>
  <c r="W17" i="9"/>
  <c r="W18" i="9" s="1"/>
  <c r="W19" i="9" s="1"/>
  <c r="W20" i="9" s="1"/>
  <c r="W21" i="9" s="1"/>
  <c r="V17" i="9"/>
  <c r="V18" i="9" s="1"/>
  <c r="V19" i="9" s="1"/>
  <c r="V20" i="9" s="1"/>
  <c r="V21" i="9" s="1"/>
  <c r="V22" i="9" s="1"/>
  <c r="V23" i="9" s="1"/>
  <c r="A7" i="8"/>
  <c r="A6" i="8"/>
  <c r="A5" i="8"/>
  <c r="B1" i="8"/>
  <c r="V24" i="9"/>
  <c r="W22" i="9"/>
  <c r="W23" i="9" s="1"/>
  <c r="W24" i="9" s="1"/>
  <c r="Q21" i="9"/>
  <c r="Q22" i="9" s="1"/>
  <c r="Q23" i="9" s="1"/>
  <c r="Q24" i="9" s="1"/>
  <c r="Q25" i="9" s="1"/>
  <c r="A1" i="6"/>
  <c r="A2" i="6"/>
  <c r="A3" i="6"/>
  <c r="B10" i="6"/>
  <c r="BM2" i="6" s="1"/>
  <c r="B16" i="6"/>
  <c r="C16" i="6"/>
  <c r="D16" i="6"/>
  <c r="E16" i="6"/>
  <c r="F16" i="6"/>
  <c r="G16" i="6"/>
  <c r="H16" i="6"/>
  <c r="B11" i="6"/>
  <c r="J27" i="7"/>
  <c r="H27" i="7"/>
  <c r="F27" i="7"/>
  <c r="D27" i="7"/>
  <c r="B27" i="7"/>
  <c r="J26" i="7"/>
  <c r="H26" i="7"/>
  <c r="F26" i="7"/>
  <c r="D26" i="7"/>
  <c r="B26" i="7"/>
  <c r="J25" i="7"/>
  <c r="H25" i="7"/>
  <c r="F25" i="7"/>
  <c r="D25" i="7"/>
  <c r="B25" i="7"/>
  <c r="H24" i="7"/>
  <c r="F24" i="7"/>
  <c r="D24" i="7"/>
  <c r="B24" i="7"/>
  <c r="J23" i="7"/>
  <c r="H23" i="7"/>
  <c r="B23" i="7"/>
  <c r="D23" i="7"/>
  <c r="F23" i="7"/>
  <c r="J22" i="7"/>
  <c r="H22" i="7"/>
  <c r="F22" i="7"/>
  <c r="D22" i="7"/>
  <c r="B22" i="7"/>
  <c r="J21" i="7"/>
  <c r="H21" i="7"/>
  <c r="F21" i="7"/>
  <c r="D21" i="7"/>
  <c r="B21" i="7"/>
  <c r="J20" i="7"/>
  <c r="H20" i="7"/>
  <c r="F20" i="7"/>
  <c r="D20" i="7"/>
  <c r="B20" i="7"/>
  <c r="A20" i="7"/>
  <c r="B11" i="7"/>
  <c r="V11" i="7" s="1"/>
  <c r="A8" i="7"/>
  <c r="A7" i="7"/>
  <c r="A6" i="7"/>
  <c r="W1" i="7"/>
  <c r="A29" i="7"/>
  <c r="A28" i="7"/>
  <c r="N43" i="3"/>
  <c r="C42" i="3" s="1"/>
  <c r="P1" i="2"/>
  <c r="C22" i="2"/>
  <c r="C23" i="2" s="1"/>
  <c r="D22" i="2" s="1"/>
  <c r="B265" i="6"/>
  <c r="B266" i="6" s="1"/>
  <c r="C265" i="6" s="1"/>
  <c r="B248" i="6"/>
  <c r="B249" i="6" s="1"/>
  <c r="C248" i="6" s="1"/>
  <c r="B231" i="6"/>
  <c r="B232" i="6" s="1"/>
  <c r="C231" i="6" s="1"/>
  <c r="B214" i="6"/>
  <c r="B215" i="6" s="1"/>
  <c r="C214" i="6" s="1"/>
  <c r="C215" i="6" s="1"/>
  <c r="B197" i="6"/>
  <c r="B198" i="6" s="1"/>
  <c r="C197" i="6" s="1"/>
  <c r="B180" i="6"/>
  <c r="B181" i="6" s="1"/>
  <c r="C180" i="6" s="1"/>
  <c r="B163" i="6"/>
  <c r="B164" i="6" s="1"/>
  <c r="C163" i="6" s="1"/>
  <c r="B146" i="6"/>
  <c r="B147" i="6" s="1"/>
  <c r="C146" i="6" s="1"/>
  <c r="B129" i="6"/>
  <c r="B130" i="6" s="1"/>
  <c r="C129" i="6" s="1"/>
  <c r="B112" i="6"/>
  <c r="B113" i="6" s="1"/>
  <c r="C112" i="6" s="1"/>
  <c r="B95" i="6"/>
  <c r="B96" i="6" s="1"/>
  <c r="C95" i="6" s="1"/>
  <c r="B78" i="6"/>
  <c r="B79" i="6" s="1"/>
  <c r="C78" i="6" s="1"/>
  <c r="B61" i="6"/>
  <c r="B62" i="6" s="1"/>
  <c r="C61" i="6" s="1"/>
  <c r="B44" i="6"/>
  <c r="B45" i="6" s="1"/>
  <c r="C44" i="6" s="1"/>
  <c r="C45" i="6" s="1"/>
  <c r="B27" i="6"/>
  <c r="M1" i="6"/>
  <c r="J39" i="7"/>
  <c r="H34" i="7"/>
  <c r="F34" i="7"/>
  <c r="D34" i="7"/>
  <c r="H254" i="6"/>
  <c r="G254" i="6"/>
  <c r="F254" i="6"/>
  <c r="E254" i="6"/>
  <c r="D254" i="6"/>
  <c r="C254" i="6"/>
  <c r="B254" i="6"/>
  <c r="H237" i="6"/>
  <c r="H271" i="6" s="1"/>
  <c r="H46" i="3" s="1"/>
  <c r="G237" i="6"/>
  <c r="F237" i="6"/>
  <c r="E237" i="6"/>
  <c r="D237" i="6"/>
  <c r="C237" i="6"/>
  <c r="B237" i="6"/>
  <c r="L237" i="6" s="1"/>
  <c r="H220" i="6"/>
  <c r="G220" i="6"/>
  <c r="F220" i="6"/>
  <c r="E220" i="6"/>
  <c r="D220" i="6"/>
  <c r="C220" i="6"/>
  <c r="B220" i="6"/>
  <c r="L220" i="6" s="1"/>
  <c r="H203" i="6"/>
  <c r="G203" i="6"/>
  <c r="F203" i="6"/>
  <c r="E203" i="6"/>
  <c r="D203" i="6"/>
  <c r="C203" i="6"/>
  <c r="B203" i="6"/>
  <c r="H186" i="6"/>
  <c r="G186" i="6"/>
  <c r="F186" i="6"/>
  <c r="E186" i="6"/>
  <c r="D186" i="6"/>
  <c r="C186" i="6"/>
  <c r="B186" i="6"/>
  <c r="H169" i="6"/>
  <c r="G169" i="6"/>
  <c r="F169" i="6"/>
  <c r="E169" i="6"/>
  <c r="D169" i="6"/>
  <c r="C169" i="6"/>
  <c r="B169" i="6"/>
  <c r="G152" i="6"/>
  <c r="F152" i="6"/>
  <c r="E152" i="6"/>
  <c r="D152" i="6"/>
  <c r="C152" i="6"/>
  <c r="B152" i="6"/>
  <c r="H135" i="6"/>
  <c r="G135" i="6"/>
  <c r="F135" i="6"/>
  <c r="E135" i="6"/>
  <c r="D135" i="6"/>
  <c r="C135" i="6"/>
  <c r="B135" i="6"/>
  <c r="H118" i="6"/>
  <c r="G118" i="6"/>
  <c r="F118" i="6"/>
  <c r="E118" i="6"/>
  <c r="D118" i="6"/>
  <c r="C118" i="6"/>
  <c r="B118" i="6"/>
  <c r="H101" i="6"/>
  <c r="G101" i="6"/>
  <c r="F101" i="6"/>
  <c r="E101" i="6"/>
  <c r="D101" i="6"/>
  <c r="C101" i="6"/>
  <c r="B101" i="6"/>
  <c r="H84" i="6"/>
  <c r="G84" i="6"/>
  <c r="F84" i="6"/>
  <c r="E84" i="6"/>
  <c r="D84" i="6"/>
  <c r="C84" i="6"/>
  <c r="B84" i="6"/>
  <c r="H67" i="6"/>
  <c r="G67" i="6"/>
  <c r="F67" i="6"/>
  <c r="E67" i="6"/>
  <c r="D67" i="6"/>
  <c r="C67" i="6"/>
  <c r="B67" i="6"/>
  <c r="H50" i="6"/>
  <c r="G50" i="6"/>
  <c r="F50" i="6"/>
  <c r="E50" i="6"/>
  <c r="D50" i="6"/>
  <c r="C50" i="6"/>
  <c r="B50" i="6"/>
  <c r="H33" i="6"/>
  <c r="G33" i="6"/>
  <c r="F33" i="6"/>
  <c r="E33" i="6"/>
  <c r="D33" i="6"/>
  <c r="C33" i="6"/>
  <c r="B33" i="6"/>
  <c r="D39" i="7"/>
  <c r="B39" i="7"/>
  <c r="B18" i="9"/>
  <c r="F39" i="7"/>
  <c r="B28" i="6"/>
  <c r="C27" i="6" s="1"/>
  <c r="A42" i="3"/>
  <c r="B10" i="3"/>
  <c r="B11" i="3" s="1"/>
  <c r="C10" i="3" s="1"/>
  <c r="C11" i="3" s="1"/>
  <c r="A3" i="3"/>
  <c r="A2" i="3"/>
  <c r="M1" i="3"/>
  <c r="A1" i="3"/>
  <c r="A3" i="5"/>
  <c r="A2" i="5"/>
  <c r="A10" i="5"/>
  <c r="B55" i="5" s="1"/>
  <c r="F7" i="5"/>
  <c r="H7" i="5" s="1"/>
  <c r="F39" i="5" s="1"/>
  <c r="F66" i="5" s="1"/>
  <c r="J1" i="5"/>
  <c r="A1" i="5"/>
  <c r="AC25" i="7"/>
  <c r="AC97" i="7" s="1"/>
  <c r="AK59" i="9"/>
  <c r="AK21" i="9"/>
  <c r="AG42" i="9"/>
  <c r="AG28" i="9"/>
  <c r="AK60" i="9"/>
  <c r="AG14" i="7"/>
  <c r="AG86" i="7" s="1"/>
  <c r="AN3" i="9"/>
  <c r="Y78" i="7"/>
  <c r="Q650" i="6"/>
  <c r="AI650" i="6" s="1"/>
  <c r="Q560" i="6"/>
  <c r="AI560" i="6" s="1"/>
  <c r="Q545" i="6"/>
  <c r="AI545" i="6" s="1"/>
  <c r="Q340" i="6"/>
  <c r="AI340" i="6" s="1"/>
  <c r="Q705" i="6"/>
  <c r="AI705" i="6" s="1"/>
  <c r="Q570" i="6"/>
  <c r="AI570" i="6" s="1"/>
  <c r="Q725" i="6"/>
  <c r="AI725" i="6" s="1"/>
  <c r="Q585" i="6"/>
  <c r="AI585" i="6" s="1"/>
  <c r="Q490" i="6"/>
  <c r="AI490" i="6" s="1"/>
  <c r="Q195" i="6"/>
  <c r="AI195" i="6" s="1"/>
  <c r="Q100" i="6"/>
  <c r="AI100" i="6" s="1"/>
  <c r="Q35" i="6"/>
  <c r="AI35" i="6" s="1"/>
  <c r="Y535" i="6"/>
  <c r="AQ535" i="6" s="1"/>
  <c r="Y430" i="6"/>
  <c r="AQ430" i="6" s="1"/>
  <c r="Y300" i="6"/>
  <c r="AQ300" i="6" s="1"/>
  <c r="Y680" i="6"/>
  <c r="AQ680" i="6" s="1"/>
  <c r="Y440" i="6"/>
  <c r="AQ440" i="6" s="1"/>
  <c r="Y435" i="6"/>
  <c r="AQ435" i="6" s="1"/>
  <c r="Y605" i="6"/>
  <c r="AQ605" i="6" s="1"/>
  <c r="Y415" i="6"/>
  <c r="AQ415" i="6" s="1"/>
  <c r="Y745" i="6"/>
  <c r="AQ745" i="6" s="1"/>
  <c r="Y195" i="6"/>
  <c r="AQ195" i="6" s="1"/>
  <c r="Y150" i="6"/>
  <c r="AQ150" i="6" s="1"/>
  <c r="Y95" i="6"/>
  <c r="AQ95" i="6" s="1"/>
  <c r="U606" i="6"/>
  <c r="AM606" i="6" s="1"/>
  <c r="U581" i="6"/>
  <c r="AM581" i="6" s="1"/>
  <c r="U511" i="6"/>
  <c r="AM511" i="6" s="1"/>
  <c r="U446" i="6"/>
  <c r="AM446" i="6" s="1"/>
  <c r="U441" i="6"/>
  <c r="AM441" i="6" s="1"/>
  <c r="U746" i="6"/>
  <c r="AM746" i="6" s="1"/>
  <c r="U391" i="6"/>
  <c r="AM391" i="6" s="1"/>
  <c r="U301" i="6"/>
  <c r="AM301" i="6" s="1"/>
  <c r="U531" i="6"/>
  <c r="AM531" i="6" s="1"/>
  <c r="U691" i="6"/>
  <c r="AM691" i="6" s="1"/>
  <c r="U636" i="6"/>
  <c r="AM636" i="6" s="1"/>
  <c r="U566" i="6"/>
  <c r="AM566" i="6" s="1"/>
  <c r="U416" i="6"/>
  <c r="AM416" i="6" s="1"/>
  <c r="U336" i="6"/>
  <c r="AM336" i="6" s="1"/>
  <c r="U661" i="6"/>
  <c r="AM661" i="6" s="1"/>
  <c r="U206" i="6"/>
  <c r="AM206" i="6" s="1"/>
  <c r="U191" i="6"/>
  <c r="AM191" i="6" s="1"/>
  <c r="U146" i="6"/>
  <c r="AM146" i="6" s="1"/>
  <c r="U96" i="6"/>
  <c r="AM96" i="6" s="1"/>
  <c r="Y616" i="6"/>
  <c r="AQ616" i="6" s="1"/>
  <c r="Y606" i="6"/>
  <c r="AQ606" i="6" s="1"/>
  <c r="Y501" i="6"/>
  <c r="AQ501" i="6" s="1"/>
  <c r="Y486" i="6"/>
  <c r="AQ486" i="6" s="1"/>
  <c r="Y456" i="6"/>
  <c r="AQ456" i="6" s="1"/>
  <c r="Y756" i="6"/>
  <c r="AQ756" i="6" s="1"/>
  <c r="Y751" i="6"/>
  <c r="AQ751" i="6" s="1"/>
  <c r="Y341" i="6"/>
  <c r="AQ341" i="6" s="1"/>
  <c r="Y636" i="6"/>
  <c r="AQ636" i="6" s="1"/>
  <c r="Y716" i="6"/>
  <c r="AQ716" i="6" s="1"/>
  <c r="Y651" i="6"/>
  <c r="AQ651" i="6" s="1"/>
  <c r="Y521" i="6"/>
  <c r="AQ521" i="6" s="1"/>
  <c r="Y411" i="6"/>
  <c r="AQ411" i="6" s="1"/>
  <c r="Y301" i="6"/>
  <c r="AQ301" i="6" s="1"/>
  <c r="Y566" i="6"/>
  <c r="AQ566" i="6" s="1"/>
  <c r="Y356" i="6"/>
  <c r="AQ356" i="6" s="1"/>
  <c r="Y196" i="6"/>
  <c r="AQ196" i="6" s="1"/>
  <c r="Y186" i="6"/>
  <c r="AQ186" i="6" s="1"/>
  <c r="Y101" i="6"/>
  <c r="AQ101" i="6" s="1"/>
  <c r="Y46" i="6"/>
  <c r="AQ46" i="6" s="1"/>
  <c r="U635" i="6"/>
  <c r="AM635" i="6" s="1"/>
  <c r="U625" i="6"/>
  <c r="AM625" i="6" s="1"/>
  <c r="U550" i="6"/>
  <c r="AM550" i="6" s="1"/>
  <c r="U410" i="6"/>
  <c r="AM410" i="6" s="1"/>
  <c r="U395" i="6"/>
  <c r="AM395" i="6" s="1"/>
  <c r="U345" i="6"/>
  <c r="AM345" i="6" s="1"/>
  <c r="U305" i="6"/>
  <c r="AM305" i="6" s="1"/>
  <c r="U710" i="6"/>
  <c r="AM710" i="6" s="1"/>
  <c r="U690" i="6"/>
  <c r="AM690" i="6" s="1"/>
  <c r="U615" i="6"/>
  <c r="AM615" i="6" s="1"/>
  <c r="U575" i="6"/>
  <c r="AM575" i="6" s="1"/>
  <c r="U495" i="6"/>
  <c r="AM495" i="6" s="1"/>
  <c r="U720" i="6"/>
  <c r="AM720" i="6" s="1"/>
  <c r="U765" i="6"/>
  <c r="AM765" i="6" s="1"/>
  <c r="U500" i="6"/>
  <c r="AM500" i="6" s="1"/>
  <c r="U610" i="6"/>
  <c r="AM610" i="6" s="1"/>
  <c r="U590" i="6"/>
  <c r="AM590" i="6" s="1"/>
  <c r="U505" i="6"/>
  <c r="AM505" i="6" s="1"/>
  <c r="U260" i="6"/>
  <c r="AM260" i="6" s="1"/>
  <c r="U255" i="6"/>
  <c r="AM255" i="6" s="1"/>
  <c r="U250" i="6"/>
  <c r="AM250" i="6" s="1"/>
  <c r="U140" i="6"/>
  <c r="AM140" i="6" s="1"/>
  <c r="U95" i="6"/>
  <c r="AM95" i="6" s="1"/>
  <c r="U50" i="6"/>
  <c r="AM50" i="6" s="1"/>
  <c r="T445" i="6"/>
  <c r="AL445" i="6" s="1"/>
  <c r="X260" i="6"/>
  <c r="AP260" i="6" s="1"/>
  <c r="T346" i="6"/>
  <c r="AL346" i="6" s="1"/>
  <c r="X676" i="6"/>
  <c r="AP676" i="6" s="1"/>
  <c r="X536" i="6"/>
  <c r="AP536" i="6" s="1"/>
  <c r="X726" i="6"/>
  <c r="AP726" i="6" s="1"/>
  <c r="X261" i="6"/>
  <c r="AP261" i="6" s="1"/>
  <c r="X231" i="5"/>
  <c r="AC15" i="9"/>
  <c r="AG15" i="9"/>
  <c r="AG27" i="9"/>
  <c r="Q380" i="6"/>
  <c r="AI380" i="6" s="1"/>
  <c r="Q315" i="6"/>
  <c r="AI315" i="6" s="1"/>
  <c r="Q365" i="6"/>
  <c r="AI365" i="6" s="1"/>
  <c r="Q275" i="6"/>
  <c r="AI275" i="6" s="1"/>
  <c r="Q75" i="6"/>
  <c r="AI75" i="6" s="1"/>
  <c r="Q370" i="6"/>
  <c r="AI370" i="6" s="1"/>
  <c r="Q170" i="6"/>
  <c r="AI170" i="6" s="1"/>
  <c r="Q375" i="6"/>
  <c r="AI375" i="6" s="1"/>
  <c r="Q110" i="6"/>
  <c r="AI110" i="6" s="1"/>
  <c r="Q175" i="6"/>
  <c r="AI175" i="6" s="1"/>
  <c r="Q125" i="6"/>
  <c r="AI125" i="6" s="1"/>
  <c r="Y80" i="6"/>
  <c r="AQ80" i="6" s="1"/>
  <c r="Y60" i="6"/>
  <c r="AQ60" i="6" s="1"/>
  <c r="Y265" i="6"/>
  <c r="AQ265" i="6" s="1"/>
  <c r="Y20" i="6"/>
  <c r="AQ20" i="6" s="1"/>
  <c r="Y380" i="6"/>
  <c r="AQ380" i="6" s="1"/>
  <c r="Y320" i="6"/>
  <c r="AQ320" i="6" s="1"/>
  <c r="Y275" i="6"/>
  <c r="AQ275" i="6" s="1"/>
  <c r="Y210" i="6"/>
  <c r="AQ210" i="6" s="1"/>
  <c r="Y120" i="6"/>
  <c r="AQ120" i="6" s="1"/>
  <c r="Y165" i="6"/>
  <c r="AQ165" i="6" s="1"/>
  <c r="Y115" i="6"/>
  <c r="AQ115" i="6" s="1"/>
  <c r="U310" i="6"/>
  <c r="AM310" i="6" s="1"/>
  <c r="U130" i="6"/>
  <c r="AM130" i="6" s="1"/>
  <c r="U380" i="6"/>
  <c r="AM380" i="6" s="1"/>
  <c r="U360" i="6"/>
  <c r="AM360" i="6" s="1"/>
  <c r="U115" i="6"/>
  <c r="AM115" i="6" s="1"/>
  <c r="U70" i="6"/>
  <c r="AM70" i="6" s="1"/>
  <c r="U5" i="6"/>
  <c r="AM5" i="6" s="1"/>
  <c r="U75" i="6"/>
  <c r="AM75" i="6" s="1"/>
  <c r="U30" i="6"/>
  <c r="AM30" i="6" s="1"/>
  <c r="U215" i="6"/>
  <c r="AM215" i="6" s="1"/>
  <c r="U15" i="6"/>
  <c r="AM15" i="6" s="1"/>
  <c r="U235" i="6"/>
  <c r="AM235" i="6" s="1"/>
  <c r="U80" i="6"/>
  <c r="AM80" i="6" s="1"/>
  <c r="U276" i="6"/>
  <c r="AM276" i="6" s="1"/>
  <c r="U211" i="6"/>
  <c r="AM211" i="6" s="1"/>
  <c r="U166" i="6"/>
  <c r="AM166" i="6" s="1"/>
  <c r="U371" i="6"/>
  <c r="AM371" i="6" s="1"/>
  <c r="U326" i="6"/>
  <c r="AM326" i="6" s="1"/>
  <c r="U216" i="6"/>
  <c r="AM216" i="6" s="1"/>
  <c r="U81" i="6"/>
  <c r="AM81" i="6" s="1"/>
  <c r="U16" i="6"/>
  <c r="AM16" i="6" s="1"/>
  <c r="U331" i="6"/>
  <c r="AM331" i="6" s="1"/>
  <c r="U221" i="6"/>
  <c r="AM221" i="6" s="1"/>
  <c r="U131" i="6"/>
  <c r="AM131" i="6" s="1"/>
  <c r="U66" i="6"/>
  <c r="AM66" i="6" s="1"/>
  <c r="U271" i="6"/>
  <c r="AM271" i="6" s="1"/>
  <c r="U116" i="6"/>
  <c r="AM116" i="6" s="1"/>
  <c r="U226" i="6"/>
  <c r="AM226" i="6" s="1"/>
  <c r="U176" i="6"/>
  <c r="AM176" i="6" s="1"/>
  <c r="U111" i="6"/>
  <c r="AM111" i="6" s="1"/>
  <c r="Y381" i="6"/>
  <c r="AQ381" i="6" s="1"/>
  <c r="Y226" i="6"/>
  <c r="AQ226" i="6" s="1"/>
  <c r="Y181" i="6"/>
  <c r="AQ181" i="6" s="1"/>
  <c r="Y116" i="6"/>
  <c r="AQ116" i="6" s="1"/>
  <c r="Y321" i="6"/>
  <c r="AQ321" i="6" s="1"/>
  <c r="Y276" i="6"/>
  <c r="AQ276" i="6" s="1"/>
  <c r="Y166" i="6"/>
  <c r="AQ166" i="6" s="1"/>
  <c r="Y76" i="6"/>
  <c r="AQ76" i="6" s="1"/>
  <c r="Y326" i="6"/>
  <c r="AQ326" i="6" s="1"/>
  <c r="Y376" i="6"/>
  <c r="AQ376" i="6" s="1"/>
  <c r="Y61" i="6"/>
  <c r="AQ61" i="6" s="1"/>
  <c r="Y331" i="6"/>
  <c r="AQ331" i="6" s="1"/>
  <c r="Y266" i="6"/>
  <c r="AQ266" i="6" s="1"/>
  <c r="Y6" i="6"/>
  <c r="AQ6" i="6" s="1"/>
  <c r="Y236" i="6"/>
  <c r="AQ236" i="6" s="1"/>
  <c r="Y66" i="6"/>
  <c r="AQ66" i="6" s="1"/>
  <c r="Y281" i="6"/>
  <c r="AQ281" i="6" s="1"/>
  <c r="T310" i="6"/>
  <c r="AL310" i="6" s="1"/>
  <c r="T170" i="6"/>
  <c r="AL170" i="6" s="1"/>
  <c r="T20" i="6"/>
  <c r="AL20" i="6" s="1"/>
  <c r="X280" i="6"/>
  <c r="AP280" i="6" s="1"/>
  <c r="X160" i="6"/>
  <c r="AP160" i="6" s="1"/>
  <c r="X15" i="6"/>
  <c r="AP15" i="6" s="1"/>
  <c r="T321" i="6"/>
  <c r="AL321" i="6" s="1"/>
  <c r="T171" i="6"/>
  <c r="AL171" i="6" s="1"/>
  <c r="T61" i="6"/>
  <c r="AL61" i="6" s="1"/>
  <c r="X131" i="6"/>
  <c r="AP131" i="6" s="1"/>
  <c r="X226" i="6"/>
  <c r="AP226" i="6" s="1"/>
  <c r="X166" i="6"/>
  <c r="AP166" i="6" s="1"/>
  <c r="X81" i="6"/>
  <c r="AP81" i="6" s="1"/>
  <c r="D10" i="3"/>
  <c r="A41" i="3"/>
  <c r="A40" i="3"/>
  <c r="F19" i="7"/>
  <c r="J19" i="7"/>
  <c r="H19" i="7"/>
  <c r="D19" i="7"/>
  <c r="B19" i="7"/>
  <c r="G295" i="5"/>
  <c r="G263" i="5"/>
  <c r="G231" i="5"/>
  <c r="G199" i="5"/>
  <c r="G167" i="5"/>
  <c r="G135" i="5"/>
  <c r="G103" i="5"/>
  <c r="G71" i="5"/>
  <c r="A66" i="5"/>
  <c r="A65" i="5"/>
  <c r="A97" i="5" s="1"/>
  <c r="A64" i="5"/>
  <c r="C64" i="5" s="1"/>
  <c r="A63" i="5"/>
  <c r="A95" i="5" s="1"/>
  <c r="A62" i="5"/>
  <c r="A61" i="5"/>
  <c r="A60" i="5"/>
  <c r="D60" i="5" s="1"/>
  <c r="A59" i="5"/>
  <c r="A58" i="5"/>
  <c r="A57" i="5"/>
  <c r="B57" i="5" s="1"/>
  <c r="A56" i="5"/>
  <c r="A55" i="5"/>
  <c r="A87" i="5" s="1"/>
  <c r="C87" i="5"/>
  <c r="A54" i="5"/>
  <c r="A53" i="5"/>
  <c r="A52" i="5"/>
  <c r="D52" i="5" s="1"/>
  <c r="C52" i="5"/>
  <c r="A51" i="5"/>
  <c r="A50" i="5"/>
  <c r="A49" i="5"/>
  <c r="A81" i="5" s="1"/>
  <c r="A48" i="5"/>
  <c r="A47" i="5"/>
  <c r="A79" i="5" s="1"/>
  <c r="A46" i="5"/>
  <c r="A45" i="5"/>
  <c r="A77" i="5" s="1"/>
  <c r="A44" i="5"/>
  <c r="C44" i="5" s="1"/>
  <c r="A43" i="5"/>
  <c r="G39" i="5"/>
  <c r="AI34" i="5"/>
  <c r="AI33" i="5"/>
  <c r="AI32" i="5"/>
  <c r="AI31" i="5"/>
  <c r="AI30" i="5"/>
  <c r="AI29" i="5"/>
  <c r="AI28" i="5"/>
  <c r="AI27" i="5"/>
  <c r="AI26" i="5"/>
  <c r="AI25" i="5"/>
  <c r="AI24" i="5"/>
  <c r="AI23" i="5"/>
  <c r="AI22" i="5"/>
  <c r="AI21" i="5"/>
  <c r="AI20" i="5"/>
  <c r="AI19" i="5"/>
  <c r="AI18" i="5"/>
  <c r="AI17" i="5"/>
  <c r="AI16" i="5"/>
  <c r="AI15" i="5"/>
  <c r="AI14" i="5"/>
  <c r="AI13" i="5"/>
  <c r="AI12" i="5"/>
  <c r="AI11" i="5"/>
  <c r="AI10" i="5"/>
  <c r="G7" i="5"/>
  <c r="B47" i="5"/>
  <c r="B63" i="5"/>
  <c r="A84" i="5"/>
  <c r="C84" i="5" s="1"/>
  <c r="A96" i="5"/>
  <c r="A78" i="5"/>
  <c r="C66" i="5"/>
  <c r="A98" i="5"/>
  <c r="A89" i="5"/>
  <c r="A82" i="5"/>
  <c r="D82" i="5" s="1"/>
  <c r="A119" i="5"/>
  <c r="D95" i="5"/>
  <c r="B65" i="5"/>
  <c r="A116" i="5"/>
  <c r="B84" i="5"/>
  <c r="D98" i="5"/>
  <c r="A151" i="5"/>
  <c r="A148" i="5"/>
  <c r="A180" i="5" s="1"/>
  <c r="P14" i="3"/>
  <c r="U199" i="5"/>
  <c r="U167" i="5"/>
  <c r="U231" i="5"/>
  <c r="U3" i="5"/>
  <c r="U103" i="5"/>
  <c r="Q167" i="5"/>
  <c r="Q199" i="5"/>
  <c r="Q103" i="5"/>
  <c r="Q71" i="5"/>
  <c r="U38" i="5"/>
  <c r="U294" i="5"/>
  <c r="U198" i="5"/>
  <c r="U134" i="5"/>
  <c r="Q166" i="5"/>
  <c r="Q294" i="5"/>
  <c r="Q2" i="5"/>
  <c r="Q134" i="5"/>
  <c r="Q70" i="5"/>
  <c r="M294" i="5"/>
  <c r="M198" i="5"/>
  <c r="M134" i="5"/>
  <c r="T199" i="5"/>
  <c r="P167" i="5"/>
  <c r="T198" i="5"/>
  <c r="P70" i="5"/>
  <c r="B41" i="2"/>
  <c r="B40" i="2"/>
  <c r="B39" i="2"/>
  <c r="D20" i="2"/>
  <c r="C148" i="5"/>
  <c r="A109" i="5"/>
  <c r="B77" i="5"/>
  <c r="B116" i="5"/>
  <c r="D116" i="5"/>
  <c r="A183" i="5"/>
  <c r="A215" i="5" s="1"/>
  <c r="A121" i="5"/>
  <c r="C51" i="5"/>
  <c r="A83" i="5"/>
  <c r="B83" i="5" s="1"/>
  <c r="B43" i="5"/>
  <c r="A75" i="5"/>
  <c r="A91" i="5"/>
  <c r="C79" i="5"/>
  <c r="D79" i="5"/>
  <c r="C95" i="5"/>
  <c r="A127" i="5"/>
  <c r="C97" i="5"/>
  <c r="A129" i="5"/>
  <c r="B97" i="5"/>
  <c r="C60" i="5"/>
  <c r="B60" i="5"/>
  <c r="C164" i="6"/>
  <c r="D163" i="6" s="1"/>
  <c r="C266" i="6"/>
  <c r="E271" i="6"/>
  <c r="B271" i="6"/>
  <c r="V24" i="7"/>
  <c r="I271" i="6"/>
  <c r="I46" i="3" s="1"/>
  <c r="J271" i="6"/>
  <c r="J46" i="3" s="1"/>
  <c r="X149" i="7"/>
  <c r="X150" i="7"/>
  <c r="X152" i="7" s="1"/>
  <c r="X154" i="7" s="1"/>
  <c r="X155" i="7" s="1"/>
  <c r="AC39" i="5"/>
  <c r="AC167" i="5"/>
  <c r="AK40" i="7"/>
  <c r="AK110" i="7" s="1"/>
  <c r="AK61" i="7"/>
  <c r="AK128" i="7" s="1"/>
  <c r="AK32" i="7"/>
  <c r="AK104" i="7" s="1"/>
  <c r="AS34" i="9"/>
  <c r="AS2" i="9"/>
  <c r="AO67" i="7"/>
  <c r="AO133" i="7" s="1"/>
  <c r="AC198" i="5"/>
  <c r="AC38" i="5"/>
  <c r="AO27" i="9"/>
  <c r="Y230" i="5"/>
  <c r="N38" i="2"/>
  <c r="N29" i="2"/>
  <c r="Y167" i="5"/>
  <c r="Y102" i="5"/>
  <c r="AC295" i="5"/>
  <c r="AK6" i="7"/>
  <c r="AO47" i="9"/>
  <c r="AO34" i="9"/>
  <c r="AS9" i="9"/>
  <c r="AK47" i="7"/>
  <c r="AK116" i="7" s="1"/>
  <c r="AO54" i="9"/>
  <c r="AS16" i="9"/>
  <c r="AS48" i="9"/>
  <c r="B46" i="3"/>
  <c r="D129" i="5"/>
  <c r="C129" i="5"/>
  <c r="A161" i="5"/>
  <c r="B91" i="5"/>
  <c r="C91" i="5"/>
  <c r="A123" i="5"/>
  <c r="C83" i="5"/>
  <c r="A115" i="5"/>
  <c r="C75" i="5"/>
  <c r="A107" i="5"/>
  <c r="C121" i="5"/>
  <c r="D121" i="5"/>
  <c r="C127" i="5"/>
  <c r="A159" i="5"/>
  <c r="B127" i="5"/>
  <c r="B161" i="5"/>
  <c r="A193" i="5"/>
  <c r="C161" i="5"/>
  <c r="D161" i="5"/>
  <c r="D159" i="5"/>
  <c r="D115" i="5"/>
  <c r="X153" i="7"/>
  <c r="A139" i="5"/>
  <c r="A171" i="5" s="1"/>
  <c r="D171" i="5" s="1"/>
  <c r="D123" i="5"/>
  <c r="A155" i="5"/>
  <c r="D193" i="5"/>
  <c r="D155" i="5"/>
  <c r="C171" i="5"/>
  <c r="B171" i="5"/>
  <c r="A203" i="5"/>
  <c r="C203" i="5"/>
  <c r="D214" i="6" l="1"/>
  <c r="D215" i="6" s="1"/>
  <c r="B203" i="5"/>
  <c r="C139" i="5"/>
  <c r="C107" i="5"/>
  <c r="C159" i="5"/>
  <c r="B193" i="5"/>
  <c r="D127" i="5"/>
  <c r="D83" i="5"/>
  <c r="B129" i="5"/>
  <c r="D97" i="5"/>
  <c r="C62" i="5"/>
  <c r="C49" i="5"/>
  <c r="D51" i="5"/>
  <c r="B54" i="5"/>
  <c r="C116" i="5"/>
  <c r="D148" i="5"/>
  <c r="D87" i="5"/>
  <c r="C65" i="5"/>
  <c r="D57" i="5"/>
  <c r="D63" i="5"/>
  <c r="B59" i="5"/>
  <c r="D56" i="5"/>
  <c r="D59" i="5"/>
  <c r="D91" i="5"/>
  <c r="B89" i="5"/>
  <c r="B51" i="5"/>
  <c r="C54" i="5"/>
  <c r="D77" i="5"/>
  <c r="B148" i="5"/>
  <c r="B87" i="5"/>
  <c r="B45" i="5"/>
  <c r="B78" i="5"/>
  <c r="C63" i="5"/>
  <c r="C43" i="5"/>
  <c r="A247" i="5"/>
  <c r="C215" i="5"/>
  <c r="C109" i="5"/>
  <c r="A141" i="5"/>
  <c r="D164" i="6"/>
  <c r="E163" i="6" s="1"/>
  <c r="B46" i="5"/>
  <c r="D46" i="5"/>
  <c r="D50" i="5"/>
  <c r="B50" i="5"/>
  <c r="C50" i="5"/>
  <c r="A85" i="5"/>
  <c r="C53" i="5"/>
  <c r="B53" i="5"/>
  <c r="L16" i="6"/>
  <c r="D183" i="5"/>
  <c r="C183" i="5"/>
  <c r="B183" i="5"/>
  <c r="B81" i="5"/>
  <c r="C81" i="5"/>
  <c r="A235" i="5"/>
  <c r="B159" i="5"/>
  <c r="A191" i="5"/>
  <c r="D81" i="5"/>
  <c r="D203" i="5"/>
  <c r="B155" i="5"/>
  <c r="A187" i="5"/>
  <c r="B109" i="5"/>
  <c r="A113" i="5"/>
  <c r="C115" i="5"/>
  <c r="A147" i="5"/>
  <c r="E46" i="3"/>
  <c r="D53" i="5"/>
  <c r="D89" i="5"/>
  <c r="C89" i="5"/>
  <c r="A111" i="5"/>
  <c r="B79" i="5"/>
  <c r="F55" i="5"/>
  <c r="F271" i="6"/>
  <c r="F46" i="3" s="1"/>
  <c r="G271" i="6"/>
  <c r="G46" i="3" s="1"/>
  <c r="B12" i="7"/>
  <c r="D11" i="7" s="1"/>
  <c r="K271" i="6"/>
  <c r="K46" i="3" s="1"/>
  <c r="B34" i="7"/>
  <c r="V34" i="7" s="1"/>
  <c r="L268" i="6"/>
  <c r="C193" i="5"/>
  <c r="A225" i="5"/>
  <c r="D119" i="5"/>
  <c r="B119" i="5"/>
  <c r="B62" i="5"/>
  <c r="A94" i="5"/>
  <c r="C155" i="5"/>
  <c r="X156" i="7"/>
  <c r="B115" i="5"/>
  <c r="D109" i="5"/>
  <c r="D107" i="5"/>
  <c r="B107" i="5"/>
  <c r="D75" i="5"/>
  <c r="B75" i="5"/>
  <c r="A153" i="5"/>
  <c r="B121" i="5"/>
  <c r="D48" i="5"/>
  <c r="A80" i="5"/>
  <c r="B48" i="5"/>
  <c r="C48" i="5"/>
  <c r="L186" i="6"/>
  <c r="D271" i="6"/>
  <c r="D46" i="3" s="1"/>
  <c r="D49" i="5"/>
  <c r="B49" i="5"/>
  <c r="L169" i="6"/>
  <c r="L67" i="6"/>
  <c r="C271" i="6"/>
  <c r="C46" i="3" s="1"/>
  <c r="C48" i="3" s="1"/>
  <c r="L152" i="6"/>
  <c r="A92" i="5"/>
  <c r="L50" i="6"/>
  <c r="L118" i="6"/>
  <c r="L135" i="6"/>
  <c r="L203" i="6"/>
  <c r="L254" i="6"/>
  <c r="I41" i="2"/>
  <c r="AO7" i="7"/>
  <c r="AC5" i="6"/>
  <c r="AC155" i="6" s="1"/>
  <c r="AU155" i="6" s="1"/>
  <c r="AC2" i="5"/>
  <c r="Y231" i="5"/>
  <c r="AK78" i="7"/>
  <c r="AO39" i="7"/>
  <c r="AO109" i="7" s="1"/>
  <c r="Y263" i="5"/>
  <c r="AO48" i="9"/>
  <c r="F38" i="2"/>
  <c r="M2" i="5"/>
  <c r="M102" i="5"/>
  <c r="Q230" i="5"/>
  <c r="U2" i="5"/>
  <c r="Q39" i="5"/>
  <c r="Q3" i="5"/>
  <c r="U135" i="5"/>
  <c r="T14" i="3"/>
  <c r="Y31" i="6"/>
  <c r="AQ31" i="6" s="1"/>
  <c r="Y131" i="6"/>
  <c r="AQ131" i="6" s="1"/>
  <c r="Y216" i="6"/>
  <c r="AQ216" i="6" s="1"/>
  <c r="Y121" i="6"/>
  <c r="AQ121" i="6" s="1"/>
  <c r="Y26" i="6"/>
  <c r="AQ26" i="6" s="1"/>
  <c r="Y361" i="6"/>
  <c r="AQ361" i="6" s="1"/>
  <c r="U26" i="6"/>
  <c r="AM26" i="6" s="1"/>
  <c r="U311" i="6"/>
  <c r="AM311" i="6" s="1"/>
  <c r="U316" i="6"/>
  <c r="AM316" i="6" s="1"/>
  <c r="U171" i="6"/>
  <c r="AM171" i="6" s="1"/>
  <c r="U11" i="6"/>
  <c r="AM11" i="6" s="1"/>
  <c r="U366" i="6"/>
  <c r="AM366" i="6" s="1"/>
  <c r="U60" i="6"/>
  <c r="AM60" i="6" s="1"/>
  <c r="U320" i="6"/>
  <c r="AM320" i="6" s="1"/>
  <c r="U270" i="6"/>
  <c r="AM270" i="6" s="1"/>
  <c r="U175" i="6"/>
  <c r="AM175" i="6" s="1"/>
  <c r="Y30" i="6"/>
  <c r="AQ30" i="6" s="1"/>
  <c r="Y160" i="6"/>
  <c r="AQ160" i="6" s="1"/>
  <c r="Y175" i="6"/>
  <c r="AQ175" i="6" s="1"/>
  <c r="Y215" i="6"/>
  <c r="AQ215" i="6" s="1"/>
  <c r="Q20" i="6"/>
  <c r="AI20" i="6" s="1"/>
  <c r="Q30" i="6"/>
  <c r="AI30" i="6" s="1"/>
  <c r="Q160" i="6"/>
  <c r="AI160" i="6" s="1"/>
  <c r="AG2" i="9"/>
  <c r="U40" i="6"/>
  <c r="AM40" i="6" s="1"/>
  <c r="U190" i="6"/>
  <c r="AM190" i="6" s="1"/>
  <c r="U750" i="6"/>
  <c r="AM750" i="6" s="1"/>
  <c r="U450" i="6"/>
  <c r="AM450" i="6" s="1"/>
  <c r="U740" i="6"/>
  <c r="AM740" i="6" s="1"/>
  <c r="U680" i="6"/>
  <c r="AM680" i="6" s="1"/>
  <c r="U340" i="6"/>
  <c r="AM340" i="6" s="1"/>
  <c r="U525" i="6"/>
  <c r="AM525" i="6" s="1"/>
  <c r="Y41" i="6"/>
  <c r="AQ41" i="6" s="1"/>
  <c r="Y241" i="6"/>
  <c r="AQ241" i="6" s="1"/>
  <c r="Y626" i="6"/>
  <c r="AQ626" i="6" s="1"/>
  <c r="Y641" i="6"/>
  <c r="AQ641" i="6" s="1"/>
  <c r="Y396" i="6"/>
  <c r="AQ396" i="6" s="1"/>
  <c r="Y726" i="6"/>
  <c r="AQ726" i="6" s="1"/>
  <c r="Y576" i="6"/>
  <c r="AQ576" i="6" s="1"/>
  <c r="U101" i="6"/>
  <c r="AM101" i="6" s="1"/>
  <c r="U551" i="6"/>
  <c r="AM551" i="6" s="1"/>
  <c r="U526" i="6"/>
  <c r="AM526" i="6" s="1"/>
  <c r="U296" i="6"/>
  <c r="AM296" i="6" s="1"/>
  <c r="U761" i="6"/>
  <c r="AM761" i="6" s="1"/>
  <c r="U491" i="6"/>
  <c r="AM491" i="6" s="1"/>
  <c r="Y50" i="6"/>
  <c r="AQ50" i="6" s="1"/>
  <c r="Y245" i="6"/>
  <c r="AQ245" i="6" s="1"/>
  <c r="Y750" i="6"/>
  <c r="AQ750" i="6" s="1"/>
  <c r="Y710" i="6"/>
  <c r="AQ710" i="6" s="1"/>
  <c r="Q765" i="6"/>
  <c r="AI765" i="6" s="1"/>
  <c r="Q415" i="6"/>
  <c r="AI415" i="6" s="1"/>
  <c r="Q345" i="6"/>
  <c r="AI345" i="6" s="1"/>
  <c r="AC199" i="5"/>
  <c r="AS42" i="9"/>
  <c r="AO79" i="7"/>
  <c r="AC231" i="5"/>
  <c r="AK28" i="9"/>
  <c r="Y591" i="6"/>
  <c r="AQ591" i="6" s="1"/>
  <c r="Y496" i="6"/>
  <c r="AQ496" i="6" s="1"/>
  <c r="Y421" i="6"/>
  <c r="AQ421" i="6" s="1"/>
  <c r="Y721" i="6"/>
  <c r="AQ721" i="6" s="1"/>
  <c r="Y306" i="6"/>
  <c r="AQ306" i="6" s="1"/>
  <c r="Y696" i="6"/>
  <c r="AQ696" i="6" s="1"/>
  <c r="Y541" i="6"/>
  <c r="AQ541" i="6" s="1"/>
  <c r="Y691" i="6"/>
  <c r="AQ691" i="6" s="1"/>
  <c r="Y546" i="6"/>
  <c r="AQ546" i="6" s="1"/>
  <c r="Y261" i="6"/>
  <c r="AQ261" i="6" s="1"/>
  <c r="Y106" i="6"/>
  <c r="AQ106" i="6" s="1"/>
  <c r="AC14" i="7"/>
  <c r="AC86" i="7" s="1"/>
  <c r="U611" i="6"/>
  <c r="AM611" i="6" s="1"/>
  <c r="U516" i="6"/>
  <c r="AM516" i="6" s="1"/>
  <c r="U476" i="6"/>
  <c r="AM476" i="6" s="1"/>
  <c r="U731" i="6"/>
  <c r="AM731" i="6" s="1"/>
  <c r="U346" i="6"/>
  <c r="AM346" i="6" s="1"/>
  <c r="U406" i="6"/>
  <c r="AM406" i="6" s="1"/>
  <c r="U646" i="6"/>
  <c r="AM646" i="6" s="1"/>
  <c r="U426" i="6"/>
  <c r="AM426" i="6" s="1"/>
  <c r="U291" i="6"/>
  <c r="AM291" i="6" s="1"/>
  <c r="U186" i="6"/>
  <c r="AM186" i="6" s="1"/>
  <c r="U156" i="6"/>
  <c r="AM156" i="6" s="1"/>
  <c r="U86" i="6"/>
  <c r="AM86" i="6" s="1"/>
  <c r="Y134" i="5"/>
  <c r="Y38" i="5"/>
  <c r="AG6" i="7"/>
  <c r="Y620" i="6"/>
  <c r="AQ620" i="6" s="1"/>
  <c r="Y350" i="6"/>
  <c r="AQ350" i="6" s="1"/>
  <c r="Y715" i="6"/>
  <c r="AQ715" i="6" s="1"/>
  <c r="Y505" i="6"/>
  <c r="AQ505" i="6" s="1"/>
  <c r="Y500" i="6"/>
  <c r="AQ500" i="6" s="1"/>
  <c r="Y255" i="6"/>
  <c r="AQ255" i="6" s="1"/>
  <c r="Y140" i="6"/>
  <c r="AQ140" i="6" s="1"/>
  <c r="Y235" i="6"/>
  <c r="AQ235" i="6" s="1"/>
  <c r="Y15" i="6"/>
  <c r="AQ15" i="6" s="1"/>
  <c r="Y110" i="6"/>
  <c r="AQ110" i="6" s="1"/>
  <c r="Y360" i="6"/>
  <c r="AQ360" i="6" s="1"/>
  <c r="Y25" i="6"/>
  <c r="AQ25" i="6" s="1"/>
  <c r="Y230" i="6"/>
  <c r="AQ230" i="6" s="1"/>
  <c r="Y270" i="6"/>
  <c r="AQ270" i="6" s="1"/>
  <c r="AC13" i="7"/>
  <c r="AC85" i="7" s="1"/>
  <c r="U660" i="6"/>
  <c r="AM660" i="6" s="1"/>
  <c r="U555" i="6"/>
  <c r="AM555" i="6" s="1"/>
  <c r="U430" i="6"/>
  <c r="AM430" i="6" s="1"/>
  <c r="U385" i="6"/>
  <c r="AM385" i="6" s="1"/>
  <c r="U295" i="6"/>
  <c r="AM295" i="6" s="1"/>
  <c r="U685" i="6"/>
  <c r="AM685" i="6" s="1"/>
  <c r="U595" i="6"/>
  <c r="AM595" i="6" s="1"/>
  <c r="U760" i="6"/>
  <c r="AM760" i="6" s="1"/>
  <c r="U755" i="6"/>
  <c r="AM755" i="6" s="1"/>
  <c r="U435" i="6"/>
  <c r="AM435" i="6" s="1"/>
  <c r="U510" i="6"/>
  <c r="AM510" i="6" s="1"/>
  <c r="U285" i="6"/>
  <c r="AM285" i="6" s="1"/>
  <c r="U245" i="6"/>
  <c r="AM245" i="6" s="1"/>
  <c r="U145" i="6"/>
  <c r="AM145" i="6" s="1"/>
  <c r="U45" i="6"/>
  <c r="AM45" i="6" s="1"/>
  <c r="AC6" i="7"/>
  <c r="U265" i="6"/>
  <c r="AM265" i="6" s="1"/>
  <c r="U20" i="6"/>
  <c r="AM20" i="6" s="1"/>
  <c r="U225" i="6"/>
  <c r="AM225" i="6" s="1"/>
  <c r="U25" i="6"/>
  <c r="AM25" i="6" s="1"/>
  <c r="U165" i="6"/>
  <c r="AM165" i="6" s="1"/>
  <c r="U280" i="6"/>
  <c r="AM280" i="6" s="1"/>
  <c r="U170" i="6"/>
  <c r="AM170" i="6" s="1"/>
  <c r="AC59" i="9"/>
  <c r="Q655" i="6"/>
  <c r="AI655" i="6" s="1"/>
  <c r="Q525" i="6"/>
  <c r="AI525" i="6" s="1"/>
  <c r="Q710" i="6"/>
  <c r="AI710" i="6" s="1"/>
  <c r="Q510" i="6"/>
  <c r="AI510" i="6" s="1"/>
  <c r="Q730" i="6"/>
  <c r="AI730" i="6" s="1"/>
  <c r="Q190" i="6"/>
  <c r="AI190" i="6" s="1"/>
  <c r="Q95" i="6"/>
  <c r="AI95" i="6" s="1"/>
  <c r="AC2" i="9"/>
  <c r="Q360" i="6"/>
  <c r="AI360" i="6" s="1"/>
  <c r="Q70" i="6"/>
  <c r="AI70" i="6" s="1"/>
  <c r="Q120" i="6"/>
  <c r="AI120" i="6" s="1"/>
  <c r="Q325" i="6"/>
  <c r="AI325" i="6" s="1"/>
  <c r="Q220" i="6"/>
  <c r="AI220" i="6" s="1"/>
  <c r="Q15" i="6"/>
  <c r="AI15" i="6" s="1"/>
  <c r="J28" i="2"/>
  <c r="J37" i="2"/>
  <c r="AC6" i="6"/>
  <c r="AC181" i="6" s="1"/>
  <c r="AU181" i="6" s="1"/>
  <c r="AS21" i="9"/>
  <c r="AK67" i="7"/>
  <c r="AK133" i="7" s="1"/>
  <c r="Y262" i="5"/>
  <c r="N37" i="2"/>
  <c r="Y2" i="5"/>
  <c r="AC102" i="5"/>
  <c r="AO31" i="7"/>
  <c r="AO103" i="7" s="1"/>
  <c r="AB15" i="3"/>
  <c r="AK68" i="7"/>
  <c r="AK134" i="7" s="1"/>
  <c r="AS28" i="9"/>
  <c r="M70" i="5"/>
  <c r="M38" i="5"/>
  <c r="Q198" i="5"/>
  <c r="Q102" i="5"/>
  <c r="U70" i="5"/>
  <c r="U102" i="5"/>
  <c r="Q231" i="5"/>
  <c r="Q263" i="5"/>
  <c r="U39" i="5"/>
  <c r="T15" i="3"/>
  <c r="Y171" i="6"/>
  <c r="AQ171" i="6" s="1"/>
  <c r="Y221" i="6"/>
  <c r="AQ221" i="6" s="1"/>
  <c r="Y176" i="6"/>
  <c r="AQ176" i="6" s="1"/>
  <c r="Y126" i="6"/>
  <c r="AQ126" i="6" s="1"/>
  <c r="Y371" i="6"/>
  <c r="AQ371" i="6" s="1"/>
  <c r="Y231" i="6"/>
  <c r="AQ231" i="6" s="1"/>
  <c r="Y71" i="6"/>
  <c r="AQ71" i="6" s="1"/>
  <c r="Y271" i="6"/>
  <c r="AQ271" i="6" s="1"/>
  <c r="U161" i="6"/>
  <c r="AM161" i="6" s="1"/>
  <c r="U6" i="6"/>
  <c r="AM6" i="6" s="1"/>
  <c r="U21" i="6"/>
  <c r="AM21" i="6" s="1"/>
  <c r="U381" i="6"/>
  <c r="AM381" i="6" s="1"/>
  <c r="U61" i="6"/>
  <c r="AM61" i="6" s="1"/>
  <c r="U236" i="6"/>
  <c r="AM236" i="6" s="1"/>
  <c r="U121" i="6"/>
  <c r="AM121" i="6" s="1"/>
  <c r="U321" i="6"/>
  <c r="AM321" i="6" s="1"/>
  <c r="U120" i="6"/>
  <c r="AM120" i="6" s="1"/>
  <c r="U325" i="6"/>
  <c r="AM325" i="6" s="1"/>
  <c r="U365" i="6"/>
  <c r="AM365" i="6" s="1"/>
  <c r="U180" i="6"/>
  <c r="AM180" i="6" s="1"/>
  <c r="U110" i="6"/>
  <c r="AM110" i="6" s="1"/>
  <c r="U330" i="6"/>
  <c r="AM330" i="6" s="1"/>
  <c r="Y75" i="6"/>
  <c r="AQ75" i="6" s="1"/>
  <c r="Y70" i="6"/>
  <c r="AQ70" i="6" s="1"/>
  <c r="Y10" i="6"/>
  <c r="AQ10" i="6" s="1"/>
  <c r="Y310" i="6"/>
  <c r="AQ310" i="6" s="1"/>
  <c r="Y325" i="6"/>
  <c r="AQ325" i="6" s="1"/>
  <c r="Q265" i="6"/>
  <c r="AI265" i="6" s="1"/>
  <c r="Q310" i="6"/>
  <c r="AI310" i="6" s="1"/>
  <c r="Q230" i="6"/>
  <c r="AI230" i="6" s="1"/>
  <c r="Q180" i="6"/>
  <c r="AI180" i="6" s="1"/>
  <c r="AC7" i="7"/>
  <c r="AC21" i="9"/>
  <c r="U105" i="6"/>
  <c r="AM105" i="6" s="1"/>
  <c r="U200" i="6"/>
  <c r="AM200" i="6" s="1"/>
  <c r="U470" i="6"/>
  <c r="AM470" i="6" s="1"/>
  <c r="U600" i="6"/>
  <c r="AM600" i="6" s="1"/>
  <c r="U735" i="6"/>
  <c r="AM735" i="6" s="1"/>
  <c r="U475" i="6"/>
  <c r="AM475" i="6" s="1"/>
  <c r="U695" i="6"/>
  <c r="AM695" i="6" s="1"/>
  <c r="U715" i="6"/>
  <c r="AM715" i="6" s="1"/>
  <c r="U390" i="6"/>
  <c r="AM390" i="6" s="1"/>
  <c r="U545" i="6"/>
  <c r="AM545" i="6" s="1"/>
  <c r="U645" i="6"/>
  <c r="AM645" i="6" s="1"/>
  <c r="Y141" i="6"/>
  <c r="AQ141" i="6" s="1"/>
  <c r="Y251" i="6"/>
  <c r="AQ251" i="6" s="1"/>
  <c r="Y671" i="6"/>
  <c r="AQ671" i="6" s="1"/>
  <c r="Y631" i="6"/>
  <c r="AQ631" i="6" s="1"/>
  <c r="Y336" i="6"/>
  <c r="AQ336" i="6" s="1"/>
  <c r="Y386" i="6"/>
  <c r="AQ386" i="6" s="1"/>
  <c r="Y451" i="6"/>
  <c r="AQ451" i="6" s="1"/>
  <c r="Y571" i="6"/>
  <c r="AQ571" i="6" s="1"/>
  <c r="U36" i="6"/>
  <c r="AM36" i="6" s="1"/>
  <c r="U251" i="6"/>
  <c r="AM251" i="6" s="1"/>
  <c r="U631" i="6"/>
  <c r="AM631" i="6" s="1"/>
  <c r="U306" i="6"/>
  <c r="AM306" i="6" s="1"/>
  <c r="U681" i="6"/>
  <c r="AM681" i="6" s="1"/>
  <c r="U621" i="6"/>
  <c r="AM621" i="6" s="1"/>
  <c r="U721" i="6"/>
  <c r="AM721" i="6" s="1"/>
  <c r="U481" i="6"/>
  <c r="AM481" i="6" s="1"/>
  <c r="U591" i="6"/>
  <c r="AM591" i="6" s="1"/>
  <c r="Y135" i="6"/>
  <c r="AQ135" i="6" s="1"/>
  <c r="Y200" i="6"/>
  <c r="AQ200" i="6" s="1"/>
  <c r="Y475" i="6"/>
  <c r="AQ475" i="6" s="1"/>
  <c r="Y590" i="6"/>
  <c r="AQ590" i="6" s="1"/>
  <c r="Y405" i="6"/>
  <c r="AQ405" i="6" s="1"/>
  <c r="Y640" i="6"/>
  <c r="AQ640" i="6" s="1"/>
  <c r="Q250" i="6"/>
  <c r="AI250" i="6" s="1"/>
  <c r="Q740" i="6"/>
  <c r="AI740" i="6" s="1"/>
  <c r="Q680" i="6"/>
  <c r="AI680" i="6" s="1"/>
  <c r="Q400" i="6"/>
  <c r="AI400" i="6" s="1"/>
  <c r="Q660" i="6"/>
  <c r="AI660" i="6" s="1"/>
  <c r="AG47" i="7"/>
  <c r="AG116" i="7" s="1"/>
  <c r="AC61" i="7"/>
  <c r="AC128" i="7" s="1"/>
  <c r="AG31" i="7"/>
  <c r="AG103" i="7" s="1"/>
  <c r="AC60" i="7"/>
  <c r="AC127" i="7" s="1"/>
  <c r="AK53" i="7"/>
  <c r="AK121" i="7" s="1"/>
  <c r="AK54" i="7"/>
  <c r="AK122" i="7" s="1"/>
  <c r="AB231" i="5"/>
  <c r="AN40" i="7"/>
  <c r="AN110" i="7" s="1"/>
  <c r="AB6" i="6"/>
  <c r="AB716" i="6" s="1"/>
  <c r="AT716" i="6" s="1"/>
  <c r="X295" i="5"/>
  <c r="X167" i="5"/>
  <c r="X39" i="5"/>
  <c r="X263" i="5"/>
  <c r="X103" i="5"/>
  <c r="X199" i="5"/>
  <c r="X135" i="5"/>
  <c r="X3" i="5"/>
  <c r="X71" i="5"/>
  <c r="X701" i="6"/>
  <c r="AP701" i="6" s="1"/>
  <c r="X671" i="6"/>
  <c r="AP671" i="6" s="1"/>
  <c r="X601" i="6"/>
  <c r="AP601" i="6" s="1"/>
  <c r="X511" i="6"/>
  <c r="AP511" i="6" s="1"/>
  <c r="X581" i="6"/>
  <c r="AP581" i="6" s="1"/>
  <c r="X761" i="6"/>
  <c r="AP761" i="6" s="1"/>
  <c r="X721" i="6"/>
  <c r="AP721" i="6" s="1"/>
  <c r="X636" i="6"/>
  <c r="AP636" i="6" s="1"/>
  <c r="X546" i="6"/>
  <c r="AP546" i="6" s="1"/>
  <c r="X456" i="6"/>
  <c r="AP456" i="6" s="1"/>
  <c r="X291" i="6"/>
  <c r="AP291" i="6" s="1"/>
  <c r="X451" i="6"/>
  <c r="AP451" i="6" s="1"/>
  <c r="X491" i="6"/>
  <c r="AP491" i="6" s="1"/>
  <c r="X406" i="6"/>
  <c r="AP406" i="6" s="1"/>
  <c r="X286" i="6"/>
  <c r="AP286" i="6" s="1"/>
  <c r="X736" i="6"/>
  <c r="AP736" i="6" s="1"/>
  <c r="X641" i="6"/>
  <c r="AP641" i="6" s="1"/>
  <c r="X551" i="6"/>
  <c r="AP551" i="6" s="1"/>
  <c r="X496" i="6"/>
  <c r="AP496" i="6" s="1"/>
  <c r="X391" i="6"/>
  <c r="AP391" i="6" s="1"/>
  <c r="X256" i="6"/>
  <c r="AP256" i="6" s="1"/>
  <c r="X186" i="6"/>
  <c r="AP186" i="6" s="1"/>
  <c r="X191" i="6"/>
  <c r="AP191" i="6" s="1"/>
  <c r="X146" i="6"/>
  <c r="AP146" i="6" s="1"/>
  <c r="X101" i="6"/>
  <c r="AP101" i="6" s="1"/>
  <c r="X46" i="6"/>
  <c r="AP46" i="6" s="1"/>
  <c r="AJ54" i="9"/>
  <c r="X716" i="6"/>
  <c r="AP716" i="6" s="1"/>
  <c r="X436" i="6"/>
  <c r="AP436" i="6" s="1"/>
  <c r="X586" i="6"/>
  <c r="AP586" i="6" s="1"/>
  <c r="X596" i="6"/>
  <c r="AP596" i="6" s="1"/>
  <c r="X751" i="6"/>
  <c r="AP751" i="6" s="1"/>
  <c r="X656" i="6"/>
  <c r="AP656" i="6" s="1"/>
  <c r="X556" i="6"/>
  <c r="AP556" i="6" s="1"/>
  <c r="X401" i="6"/>
  <c r="AP401" i="6" s="1"/>
  <c r="X301" i="6"/>
  <c r="AP301" i="6" s="1"/>
  <c r="X306" i="6"/>
  <c r="AP306" i="6" s="1"/>
  <c r="X386" i="6"/>
  <c r="AP386" i="6" s="1"/>
  <c r="X756" i="6"/>
  <c r="AP756" i="6" s="1"/>
  <c r="X651" i="6"/>
  <c r="AP651" i="6" s="1"/>
  <c r="X541" i="6"/>
  <c r="AP541" i="6" s="1"/>
  <c r="X446" i="6"/>
  <c r="AP446" i="6" s="1"/>
  <c r="X351" i="6"/>
  <c r="AP351" i="6" s="1"/>
  <c r="X206" i="6"/>
  <c r="AP206" i="6" s="1"/>
  <c r="X156" i="6"/>
  <c r="AP156" i="6" s="1"/>
  <c r="X106" i="6"/>
  <c r="AP106" i="6" s="1"/>
  <c r="X41" i="6"/>
  <c r="AP41" i="6" s="1"/>
  <c r="X331" i="6"/>
  <c r="AP331" i="6" s="1"/>
  <c r="X176" i="6"/>
  <c r="AP176" i="6" s="1"/>
  <c r="X31" i="6"/>
  <c r="AP31" i="6" s="1"/>
  <c r="X361" i="6"/>
  <c r="AP361" i="6" s="1"/>
  <c r="X181" i="6"/>
  <c r="AP181" i="6" s="1"/>
  <c r="X26" i="6"/>
  <c r="AP26" i="6" s="1"/>
  <c r="X281" i="6"/>
  <c r="AP281" i="6" s="1"/>
  <c r="X216" i="6"/>
  <c r="AP216" i="6" s="1"/>
  <c r="X171" i="6"/>
  <c r="AP171" i="6" s="1"/>
  <c r="X236" i="6"/>
  <c r="AP236" i="6" s="1"/>
  <c r="T3" i="5"/>
  <c r="T231" i="5"/>
  <c r="W15" i="3"/>
  <c r="X416" i="6"/>
  <c r="AP416" i="6" s="1"/>
  <c r="X611" i="6"/>
  <c r="AP611" i="6" s="1"/>
  <c r="X506" i="6"/>
  <c r="AP506" i="6" s="1"/>
  <c r="X646" i="6"/>
  <c r="AP646" i="6" s="1"/>
  <c r="X526" i="6"/>
  <c r="AP526" i="6" s="1"/>
  <c r="X431" i="6"/>
  <c r="AP431" i="6" s="1"/>
  <c r="X471" i="6"/>
  <c r="AP471" i="6" s="1"/>
  <c r="X296" i="6"/>
  <c r="AP296" i="6" s="1"/>
  <c r="X661" i="6"/>
  <c r="AP661" i="6" s="1"/>
  <c r="X531" i="6"/>
  <c r="AP531" i="6" s="1"/>
  <c r="X346" i="6"/>
  <c r="AP346" i="6" s="1"/>
  <c r="X241" i="6"/>
  <c r="AP241" i="6" s="1"/>
  <c r="X151" i="6"/>
  <c r="AP151" i="6" s="1"/>
  <c r="X86" i="6"/>
  <c r="AP86" i="6" s="1"/>
  <c r="X266" i="6"/>
  <c r="AP266" i="6" s="1"/>
  <c r="X66" i="6"/>
  <c r="AP66" i="6" s="1"/>
  <c r="X316" i="6"/>
  <c r="AP316" i="6" s="1"/>
  <c r="X116" i="6"/>
  <c r="AP116" i="6" s="1"/>
  <c r="X371" i="6"/>
  <c r="AP371" i="6" s="1"/>
  <c r="X126" i="6"/>
  <c r="AP126" i="6" s="1"/>
  <c r="X276" i="6"/>
  <c r="AP276" i="6" s="1"/>
  <c r="X11" i="6"/>
  <c r="AP11" i="6" s="1"/>
  <c r="T71" i="5"/>
  <c r="T39" i="5"/>
  <c r="X696" i="6"/>
  <c r="AP696" i="6" s="1"/>
  <c r="X616" i="6"/>
  <c r="AP616" i="6" s="1"/>
  <c r="X606" i="6"/>
  <c r="AP606" i="6" s="1"/>
  <c r="X741" i="6"/>
  <c r="AP741" i="6" s="1"/>
  <c r="X626" i="6"/>
  <c r="AP626" i="6" s="1"/>
  <c r="X486" i="6"/>
  <c r="AP486" i="6" s="1"/>
  <c r="X501" i="6"/>
  <c r="AP501" i="6" s="1"/>
  <c r="X441" i="6"/>
  <c r="AP441" i="6" s="1"/>
  <c r="X766" i="6"/>
  <c r="AP766" i="6" s="1"/>
  <c r="X631" i="6"/>
  <c r="AP631" i="6" s="1"/>
  <c r="X521" i="6"/>
  <c r="AP521" i="6" s="1"/>
  <c r="X481" i="6"/>
  <c r="AP481" i="6" s="1"/>
  <c r="X196" i="6"/>
  <c r="AP196" i="6" s="1"/>
  <c r="X141" i="6"/>
  <c r="AP141" i="6" s="1"/>
  <c r="X51" i="6"/>
  <c r="AP51" i="6" s="1"/>
  <c r="X221" i="6"/>
  <c r="AP221" i="6" s="1"/>
  <c r="X21" i="6"/>
  <c r="AP21" i="6" s="1"/>
  <c r="X271" i="6"/>
  <c r="AP271" i="6" s="1"/>
  <c r="X71" i="6"/>
  <c r="AP71" i="6" s="1"/>
  <c r="X231" i="6"/>
  <c r="AP231" i="6" s="1"/>
  <c r="X61" i="6"/>
  <c r="AP61" i="6" s="1"/>
  <c r="X121" i="6"/>
  <c r="AP121" i="6" s="1"/>
  <c r="T263" i="5"/>
  <c r="T167" i="5"/>
  <c r="X681" i="6"/>
  <c r="AP681" i="6" s="1"/>
  <c r="X591" i="6"/>
  <c r="AP591" i="6" s="1"/>
  <c r="X576" i="6"/>
  <c r="AP576" i="6" s="1"/>
  <c r="X731" i="6"/>
  <c r="AP731" i="6" s="1"/>
  <c r="X566" i="6"/>
  <c r="AP566" i="6" s="1"/>
  <c r="X356" i="6"/>
  <c r="AP356" i="6" s="1"/>
  <c r="X426" i="6"/>
  <c r="AP426" i="6" s="1"/>
  <c r="X421" i="6"/>
  <c r="AP421" i="6" s="1"/>
  <c r="X746" i="6"/>
  <c r="AP746" i="6" s="1"/>
  <c r="X621" i="6"/>
  <c r="AP621" i="6" s="1"/>
  <c r="X476" i="6"/>
  <c r="AP476" i="6" s="1"/>
  <c r="X251" i="6"/>
  <c r="AP251" i="6" s="1"/>
  <c r="X201" i="6"/>
  <c r="AP201" i="6" s="1"/>
  <c r="X136" i="6"/>
  <c r="AP136" i="6" s="1"/>
  <c r="X36" i="6"/>
  <c r="AP36" i="6" s="1"/>
  <c r="T711" i="6"/>
  <c r="AL711" i="6" s="1"/>
  <c r="T581" i="6"/>
  <c r="AL581" i="6" s="1"/>
  <c r="T641" i="6"/>
  <c r="AL641" i="6" s="1"/>
  <c r="T491" i="6"/>
  <c r="AL491" i="6" s="1"/>
  <c r="T286" i="6"/>
  <c r="AL286" i="6" s="1"/>
  <c r="T476" i="6"/>
  <c r="AL476" i="6" s="1"/>
  <c r="T751" i="6"/>
  <c r="AL751" i="6" s="1"/>
  <c r="T626" i="6"/>
  <c r="AL626" i="6" s="1"/>
  <c r="T456" i="6"/>
  <c r="AL456" i="6" s="1"/>
  <c r="T241" i="6"/>
  <c r="AL241" i="6" s="1"/>
  <c r="T151" i="6"/>
  <c r="AL151" i="6" s="1"/>
  <c r="T51" i="6"/>
  <c r="AL51" i="6" s="1"/>
  <c r="T316" i="6"/>
  <c r="AL316" i="6" s="1"/>
  <c r="T161" i="6"/>
  <c r="AL161" i="6" s="1"/>
  <c r="T6" i="6"/>
  <c r="AL6" i="6" s="1"/>
  <c r="T231" i="6"/>
  <c r="AL231" i="6" s="1"/>
  <c r="T76" i="6"/>
  <c r="AL76" i="6" s="1"/>
  <c r="T331" i="6"/>
  <c r="AL331" i="6" s="1"/>
  <c r="T506" i="6"/>
  <c r="AL506" i="6" s="1"/>
  <c r="T551" i="6"/>
  <c r="AL551" i="6" s="1"/>
  <c r="T386" i="6"/>
  <c r="AL386" i="6" s="1"/>
  <c r="T446" i="6"/>
  <c r="AL446" i="6" s="1"/>
  <c r="T666" i="6"/>
  <c r="AL666" i="6" s="1"/>
  <c r="T501" i="6"/>
  <c r="AL501" i="6" s="1"/>
  <c r="T186" i="6"/>
  <c r="AL186" i="6" s="1"/>
  <c r="T106" i="6"/>
  <c r="AL106" i="6" s="1"/>
  <c r="T381" i="6"/>
  <c r="AL381" i="6" s="1"/>
  <c r="T181" i="6"/>
  <c r="AL181" i="6" s="1"/>
  <c r="T366" i="6"/>
  <c r="AL366" i="6" s="1"/>
  <c r="T166" i="6"/>
  <c r="AL166" i="6" s="1"/>
  <c r="T326" i="6"/>
  <c r="AL326" i="6" s="1"/>
  <c r="T81" i="6"/>
  <c r="AL81" i="6" s="1"/>
  <c r="T31" i="6"/>
  <c r="AL31" i="6" s="1"/>
  <c r="T111" i="6"/>
  <c r="AL111" i="6" s="1"/>
  <c r="T376" i="6"/>
  <c r="AL376" i="6" s="1"/>
  <c r="P199" i="5"/>
  <c r="P263" i="5"/>
  <c r="P231" i="5"/>
  <c r="T611" i="6"/>
  <c r="AL611" i="6" s="1"/>
  <c r="T541" i="6"/>
  <c r="AL541" i="6" s="1"/>
  <c r="T396" i="6"/>
  <c r="AL396" i="6" s="1"/>
  <c r="T741" i="6"/>
  <c r="AL741" i="6" s="1"/>
  <c r="T401" i="6"/>
  <c r="AL401" i="6" s="1"/>
  <c r="T196" i="6"/>
  <c r="AL196" i="6" s="1"/>
  <c r="T361" i="6"/>
  <c r="AL361" i="6" s="1"/>
  <c r="T71" i="6"/>
  <c r="AL71" i="6" s="1"/>
  <c r="T211" i="6"/>
  <c r="AL211" i="6" s="1"/>
  <c r="T311" i="6"/>
  <c r="AL311" i="6" s="1"/>
  <c r="T131" i="6"/>
  <c r="AL131" i="6" s="1"/>
  <c r="T266" i="6"/>
  <c r="AL266" i="6" s="1"/>
  <c r="T176" i="6"/>
  <c r="AL176" i="6" s="1"/>
  <c r="S15" i="3"/>
  <c r="P71" i="5"/>
  <c r="P295" i="5"/>
  <c r="T511" i="6"/>
  <c r="AL511" i="6" s="1"/>
  <c r="T471" i="6"/>
  <c r="AL471" i="6" s="1"/>
  <c r="T351" i="6"/>
  <c r="AL351" i="6" s="1"/>
  <c r="T656" i="6"/>
  <c r="AL656" i="6" s="1"/>
  <c r="T291" i="6"/>
  <c r="AL291" i="6" s="1"/>
  <c r="T146" i="6"/>
  <c r="AL146" i="6" s="1"/>
  <c r="AB7" i="7"/>
  <c r="T271" i="6"/>
  <c r="AL271" i="6" s="1"/>
  <c r="T26" i="6"/>
  <c r="AL26" i="6" s="1"/>
  <c r="T121" i="6"/>
  <c r="AL121" i="6" s="1"/>
  <c r="T236" i="6"/>
  <c r="AL236" i="6" s="1"/>
  <c r="T66" i="6"/>
  <c r="AL66" i="6" s="1"/>
  <c r="T216" i="6"/>
  <c r="AL216" i="6" s="1"/>
  <c r="T126" i="6"/>
  <c r="AL126" i="6" s="1"/>
  <c r="P3" i="5"/>
  <c r="P103" i="5"/>
  <c r="AF48" i="9"/>
  <c r="T691" i="6"/>
  <c r="AL691" i="6" s="1"/>
  <c r="T736" i="6"/>
  <c r="AL736" i="6" s="1"/>
  <c r="T406" i="6"/>
  <c r="AL406" i="6" s="1"/>
  <c r="T391" i="6"/>
  <c r="AL391" i="6" s="1"/>
  <c r="T566" i="6"/>
  <c r="AL566" i="6" s="1"/>
  <c r="T256" i="6"/>
  <c r="AL256" i="6" s="1"/>
  <c r="T101" i="6"/>
  <c r="AL101" i="6" s="1"/>
  <c r="AN67" i="7"/>
  <c r="AN133" i="7" s="1"/>
  <c r="AR21" i="9"/>
  <c r="AB70" i="5"/>
  <c r="AN53" i="9"/>
  <c r="X198" i="5"/>
  <c r="X262" i="5"/>
  <c r="X294" i="5"/>
  <c r="X38" i="5"/>
  <c r="X2" i="5"/>
  <c r="X134" i="5"/>
  <c r="X230" i="5"/>
  <c r="X102" i="5"/>
  <c r="X166" i="5"/>
  <c r="W14" i="3"/>
  <c r="X640" i="6"/>
  <c r="AP640" i="6" s="1"/>
  <c r="X560" i="6"/>
  <c r="AP560" i="6" s="1"/>
  <c r="X515" i="6"/>
  <c r="AP515" i="6" s="1"/>
  <c r="X430" i="6"/>
  <c r="AP430" i="6" s="1"/>
  <c r="X615" i="6"/>
  <c r="AP615" i="6" s="1"/>
  <c r="X150" i="6"/>
  <c r="AP150" i="6" s="1"/>
  <c r="AJ15" i="9"/>
  <c r="X365" i="6"/>
  <c r="AP365" i="6" s="1"/>
  <c r="X320" i="6"/>
  <c r="AP320" i="6" s="1"/>
  <c r="X275" i="6"/>
  <c r="AP275" i="6" s="1"/>
  <c r="X230" i="6"/>
  <c r="AP230" i="6" s="1"/>
  <c r="X210" i="6"/>
  <c r="AP210" i="6" s="1"/>
  <c r="X165" i="6"/>
  <c r="AP165" i="6" s="1"/>
  <c r="X120" i="6"/>
  <c r="AP120" i="6" s="1"/>
  <c r="X75" i="6"/>
  <c r="AP75" i="6" s="1"/>
  <c r="X30" i="6"/>
  <c r="AP30" i="6" s="1"/>
  <c r="X5" i="6"/>
  <c r="AP5" i="6" s="1"/>
  <c r="AF31" i="7"/>
  <c r="AF103" i="7" s="1"/>
  <c r="X750" i="6"/>
  <c r="AP750" i="6" s="1"/>
  <c r="X540" i="6"/>
  <c r="AP540" i="6" s="1"/>
  <c r="X295" i="6"/>
  <c r="AP295" i="6" s="1"/>
  <c r="X345" i="6"/>
  <c r="AP345" i="6" s="1"/>
  <c r="X195" i="6"/>
  <c r="AP195" i="6" s="1"/>
  <c r="X35" i="6"/>
  <c r="AP35" i="6" s="1"/>
  <c r="AJ27" i="9"/>
  <c r="X360" i="6"/>
  <c r="AP360" i="6" s="1"/>
  <c r="X310" i="6"/>
  <c r="AP310" i="6" s="1"/>
  <c r="X235" i="6"/>
  <c r="AP235" i="6" s="1"/>
  <c r="X180" i="6"/>
  <c r="AP180" i="6" s="1"/>
  <c r="X130" i="6"/>
  <c r="AP130" i="6" s="1"/>
  <c r="X80" i="6"/>
  <c r="AP80" i="6" s="1"/>
  <c r="X25" i="6"/>
  <c r="AP25" i="6" s="1"/>
  <c r="T294" i="5"/>
  <c r="X285" i="6"/>
  <c r="AP285" i="6" s="1"/>
  <c r="X455" i="6"/>
  <c r="AP455" i="6" s="1"/>
  <c r="X695" i="6"/>
  <c r="AP695" i="6" s="1"/>
  <c r="X135" i="6"/>
  <c r="AP135" i="6" s="1"/>
  <c r="AJ9" i="9"/>
  <c r="X380" i="6"/>
  <c r="AP380" i="6" s="1"/>
  <c r="X325" i="6"/>
  <c r="AP325" i="6" s="1"/>
  <c r="X265" i="6"/>
  <c r="AP265" i="6" s="1"/>
  <c r="X175" i="6"/>
  <c r="AP175" i="6" s="1"/>
  <c r="X115" i="6"/>
  <c r="AP115" i="6" s="1"/>
  <c r="X60" i="6"/>
  <c r="AP60" i="6" s="1"/>
  <c r="T134" i="5"/>
  <c r="T38" i="5"/>
  <c r="X565" i="6"/>
  <c r="AP565" i="6" s="1"/>
  <c r="X400" i="6"/>
  <c r="AP400" i="6" s="1"/>
  <c r="X475" i="6"/>
  <c r="AP475" i="6" s="1"/>
  <c r="X95" i="6"/>
  <c r="AP95" i="6" s="1"/>
  <c r="X375" i="6"/>
  <c r="AP375" i="6" s="1"/>
  <c r="X315" i="6"/>
  <c r="AP315" i="6" s="1"/>
  <c r="X225" i="6"/>
  <c r="AP225" i="6" s="1"/>
  <c r="X170" i="6"/>
  <c r="AP170" i="6" s="1"/>
  <c r="X110" i="6"/>
  <c r="AP110" i="6" s="1"/>
  <c r="X20" i="6"/>
  <c r="AP20" i="6" s="1"/>
  <c r="T102" i="5"/>
  <c r="T230" i="5"/>
  <c r="X520" i="6"/>
  <c r="AP520" i="6" s="1"/>
  <c r="X600" i="6"/>
  <c r="AP600" i="6" s="1"/>
  <c r="X415" i="6"/>
  <c r="AP415" i="6" s="1"/>
  <c r="T655" i="6"/>
  <c r="AL655" i="6" s="1"/>
  <c r="T590" i="6"/>
  <c r="AL590" i="6" s="1"/>
  <c r="T505" i="6"/>
  <c r="AL505" i="6" s="1"/>
  <c r="AF2" i="9"/>
  <c r="T380" i="6"/>
  <c r="AL380" i="6" s="1"/>
  <c r="T360" i="6"/>
  <c r="AL360" i="6" s="1"/>
  <c r="T315" i="6"/>
  <c r="AL315" i="6" s="1"/>
  <c r="T270" i="6"/>
  <c r="AL270" i="6" s="1"/>
  <c r="T225" i="6"/>
  <c r="AL225" i="6" s="1"/>
  <c r="T180" i="6"/>
  <c r="AL180" i="6" s="1"/>
  <c r="T160" i="6"/>
  <c r="AL160" i="6" s="1"/>
  <c r="T115" i="6"/>
  <c r="AL115" i="6" s="1"/>
  <c r="T70" i="6"/>
  <c r="AL70" i="6" s="1"/>
  <c r="T25" i="6"/>
  <c r="AL25" i="6" s="1"/>
  <c r="T5" i="6"/>
  <c r="AL5" i="6" s="1"/>
  <c r="T685" i="6"/>
  <c r="AL685" i="6" s="1"/>
  <c r="T670" i="6"/>
  <c r="AL670" i="6" s="1"/>
  <c r="AF27" i="9"/>
  <c r="T370" i="6"/>
  <c r="AL370" i="6" s="1"/>
  <c r="T320" i="6"/>
  <c r="AL320" i="6" s="1"/>
  <c r="T265" i="6"/>
  <c r="AL265" i="6" s="1"/>
  <c r="T215" i="6"/>
  <c r="AL215" i="6" s="1"/>
  <c r="T165" i="6"/>
  <c r="AL165" i="6" s="1"/>
  <c r="T110" i="6"/>
  <c r="AL110" i="6" s="1"/>
  <c r="T60" i="6"/>
  <c r="AL60" i="6" s="1"/>
  <c r="T10" i="6"/>
  <c r="AL10" i="6" s="1"/>
  <c r="T545" i="6"/>
  <c r="AL545" i="6" s="1"/>
  <c r="T260" i="6"/>
  <c r="AL260" i="6" s="1"/>
  <c r="AF15" i="9"/>
  <c r="T330" i="6"/>
  <c r="AL330" i="6" s="1"/>
  <c r="T275" i="6"/>
  <c r="AL275" i="6" s="1"/>
  <c r="T210" i="6"/>
  <c r="AL210" i="6" s="1"/>
  <c r="T125" i="6"/>
  <c r="AL125" i="6" s="1"/>
  <c r="T65" i="6"/>
  <c r="AL65" i="6" s="1"/>
  <c r="P166" i="5"/>
  <c r="P2" i="5"/>
  <c r="P102" i="5"/>
  <c r="T390" i="6"/>
  <c r="AL390" i="6" s="1"/>
  <c r="T105" i="6"/>
  <c r="AL105" i="6" s="1"/>
  <c r="AF9" i="9"/>
  <c r="T325" i="6"/>
  <c r="AL325" i="6" s="1"/>
  <c r="T235" i="6"/>
  <c r="AL235" i="6" s="1"/>
  <c r="T175" i="6"/>
  <c r="AL175" i="6" s="1"/>
  <c r="T120" i="6"/>
  <c r="AL120" i="6" s="1"/>
  <c r="T30" i="6"/>
  <c r="AL30" i="6" s="1"/>
  <c r="P230" i="5"/>
  <c r="P294" i="5"/>
  <c r="T755" i="6"/>
  <c r="AL755" i="6" s="1"/>
  <c r="T615" i="6"/>
  <c r="AL615" i="6" s="1"/>
  <c r="T50" i="6"/>
  <c r="AL50" i="6" s="1"/>
  <c r="AB6" i="7"/>
  <c r="T375" i="6"/>
  <c r="AL375" i="6" s="1"/>
  <c r="P198" i="5"/>
  <c r="P262" i="5"/>
  <c r="T166" i="5"/>
  <c r="P135" i="5"/>
  <c r="T135" i="5"/>
  <c r="S14" i="3"/>
  <c r="X326" i="6"/>
  <c r="AP326" i="6" s="1"/>
  <c r="X321" i="6"/>
  <c r="AP321" i="6" s="1"/>
  <c r="X381" i="6"/>
  <c r="AP381" i="6" s="1"/>
  <c r="X311" i="6"/>
  <c r="AP311" i="6" s="1"/>
  <c r="T281" i="6"/>
  <c r="AL281" i="6" s="1"/>
  <c r="T371" i="6"/>
  <c r="AL371" i="6" s="1"/>
  <c r="T116" i="6"/>
  <c r="AL116" i="6" s="1"/>
  <c r="X65" i="6"/>
  <c r="AP65" i="6" s="1"/>
  <c r="X215" i="6"/>
  <c r="AP215" i="6" s="1"/>
  <c r="X330" i="6"/>
  <c r="AP330" i="6" s="1"/>
  <c r="T75" i="6"/>
  <c r="AL75" i="6" s="1"/>
  <c r="T220" i="6"/>
  <c r="AL220" i="6" s="1"/>
  <c r="T365" i="6"/>
  <c r="AL365" i="6" s="1"/>
  <c r="X70" i="5"/>
  <c r="X246" i="6"/>
  <c r="AP246" i="6" s="1"/>
  <c r="X341" i="6"/>
  <c r="AP341" i="6" s="1"/>
  <c r="X666" i="6"/>
  <c r="AP666" i="6" s="1"/>
  <c r="T46" i="6"/>
  <c r="AL46" i="6" s="1"/>
  <c r="T546" i="6"/>
  <c r="AL546" i="6" s="1"/>
  <c r="X510" i="6"/>
  <c r="AP510" i="6" s="1"/>
  <c r="T425" i="6"/>
  <c r="AL425" i="6" s="1"/>
  <c r="P134" i="5"/>
  <c r="T2" i="5"/>
  <c r="T262" i="5"/>
  <c r="T295" i="5"/>
  <c r="X16" i="6"/>
  <c r="AP16" i="6" s="1"/>
  <c r="X366" i="6"/>
  <c r="AP366" i="6" s="1"/>
  <c r="X6" i="6"/>
  <c r="AP6" i="6" s="1"/>
  <c r="X376" i="6"/>
  <c r="AP376" i="6" s="1"/>
  <c r="T21" i="6"/>
  <c r="AL21" i="6" s="1"/>
  <c r="T11" i="6"/>
  <c r="AL11" i="6" s="1"/>
  <c r="T226" i="6"/>
  <c r="AL226" i="6" s="1"/>
  <c r="X70" i="6"/>
  <c r="AP70" i="6" s="1"/>
  <c r="X220" i="6"/>
  <c r="AP220" i="6" s="1"/>
  <c r="X370" i="6"/>
  <c r="AP370" i="6" s="1"/>
  <c r="T80" i="6"/>
  <c r="AL80" i="6" s="1"/>
  <c r="T230" i="6"/>
  <c r="AL230" i="6" s="1"/>
  <c r="AJ21" i="9"/>
  <c r="AA15" i="3"/>
  <c r="X411" i="6"/>
  <c r="AP411" i="6" s="1"/>
  <c r="X396" i="6"/>
  <c r="AP396" i="6" s="1"/>
  <c r="X571" i="6"/>
  <c r="AP571" i="6" s="1"/>
  <c r="T191" i="6"/>
  <c r="AL191" i="6" s="1"/>
  <c r="T631" i="6"/>
  <c r="AL631" i="6" s="1"/>
  <c r="X680" i="6"/>
  <c r="AP680" i="6" s="1"/>
  <c r="E38" i="2"/>
  <c r="P38" i="5"/>
  <c r="T70" i="5"/>
  <c r="P39" i="5"/>
  <c r="T103" i="5"/>
  <c r="X211" i="6"/>
  <c r="AP211" i="6" s="1"/>
  <c r="X76" i="6"/>
  <c r="AP76" i="6" s="1"/>
  <c r="X161" i="6"/>
  <c r="AP161" i="6" s="1"/>
  <c r="X111" i="6"/>
  <c r="AP111" i="6" s="1"/>
  <c r="T16" i="6"/>
  <c r="AL16" i="6" s="1"/>
  <c r="T221" i="6"/>
  <c r="AL221" i="6" s="1"/>
  <c r="T276" i="6"/>
  <c r="AL276" i="6" s="1"/>
  <c r="X10" i="6"/>
  <c r="AP10" i="6" s="1"/>
  <c r="X125" i="6"/>
  <c r="AP125" i="6" s="1"/>
  <c r="X270" i="6"/>
  <c r="AP270" i="6" s="1"/>
  <c r="T15" i="6"/>
  <c r="AL15" i="6" s="1"/>
  <c r="T130" i="6"/>
  <c r="AL130" i="6" s="1"/>
  <c r="T280" i="6"/>
  <c r="AL280" i="6" s="1"/>
  <c r="AF21" i="9"/>
  <c r="X96" i="6"/>
  <c r="AP96" i="6" s="1"/>
  <c r="X561" i="6"/>
  <c r="AP561" i="6" s="1"/>
  <c r="X336" i="6"/>
  <c r="AP336" i="6" s="1"/>
  <c r="X516" i="6"/>
  <c r="AP516" i="6" s="1"/>
  <c r="T526" i="6"/>
  <c r="AL526" i="6" s="1"/>
  <c r="T671" i="6"/>
  <c r="AL671" i="6" s="1"/>
  <c r="X730" i="6"/>
  <c r="AP730" i="6" s="1"/>
  <c r="AF26" i="7"/>
  <c r="AF98" i="7" s="1"/>
  <c r="AK35" i="9"/>
  <c r="AG68" i="7"/>
  <c r="AG134" i="7" s="1"/>
  <c r="Y611" i="6"/>
  <c r="AQ611" i="6" s="1"/>
  <c r="Y586" i="6"/>
  <c r="AQ586" i="6" s="1"/>
  <c r="Y506" i="6"/>
  <c r="AQ506" i="6" s="1"/>
  <c r="Y481" i="6"/>
  <c r="AQ481" i="6" s="1"/>
  <c r="Y446" i="6"/>
  <c r="AQ446" i="6" s="1"/>
  <c r="Y761" i="6"/>
  <c r="AQ761" i="6" s="1"/>
  <c r="Y736" i="6"/>
  <c r="AQ736" i="6" s="1"/>
  <c r="Y296" i="6"/>
  <c r="AQ296" i="6" s="1"/>
  <c r="Y681" i="6"/>
  <c r="AQ681" i="6" s="1"/>
  <c r="Y291" i="6"/>
  <c r="AQ291" i="6" s="1"/>
  <c r="Y676" i="6"/>
  <c r="AQ676" i="6" s="1"/>
  <c r="Y561" i="6"/>
  <c r="AQ561" i="6" s="1"/>
  <c r="Y431" i="6"/>
  <c r="AQ431" i="6" s="1"/>
  <c r="Y351" i="6"/>
  <c r="AQ351" i="6" s="1"/>
  <c r="Y646" i="6"/>
  <c r="AQ646" i="6" s="1"/>
  <c r="Y536" i="6"/>
  <c r="AQ536" i="6" s="1"/>
  <c r="Y206" i="6"/>
  <c r="AQ206" i="6" s="1"/>
  <c r="Y246" i="6"/>
  <c r="AQ246" i="6" s="1"/>
  <c r="Y146" i="6"/>
  <c r="AQ146" i="6" s="1"/>
  <c r="Y96" i="6"/>
  <c r="AQ96" i="6" s="1"/>
  <c r="AG10" i="9"/>
  <c r="AC26" i="7"/>
  <c r="AC98" i="7" s="1"/>
  <c r="U601" i="6"/>
  <c r="AM601" i="6" s="1"/>
  <c r="U571" i="6"/>
  <c r="AM571" i="6" s="1"/>
  <c r="U496" i="6"/>
  <c r="AM496" i="6" s="1"/>
  <c r="U471" i="6"/>
  <c r="AM471" i="6" s="1"/>
  <c r="U751" i="6"/>
  <c r="AM751" i="6" s="1"/>
  <c r="U726" i="6"/>
  <c r="AM726" i="6" s="1"/>
  <c r="U431" i="6"/>
  <c r="AM431" i="6" s="1"/>
  <c r="U686" i="6"/>
  <c r="AM686" i="6" s="1"/>
  <c r="U521" i="6"/>
  <c r="AM521" i="6" s="1"/>
  <c r="U711" i="6"/>
  <c r="AM711" i="6" s="1"/>
  <c r="U656" i="6"/>
  <c r="AM656" i="6" s="1"/>
  <c r="U556" i="6"/>
  <c r="AM556" i="6" s="1"/>
  <c r="U396" i="6"/>
  <c r="AM396" i="6" s="1"/>
  <c r="U356" i="6"/>
  <c r="AM356" i="6" s="1"/>
  <c r="U676" i="6"/>
  <c r="AM676" i="6" s="1"/>
  <c r="U541" i="6"/>
  <c r="AM541" i="6" s="1"/>
  <c r="U196" i="6"/>
  <c r="AM196" i="6" s="1"/>
  <c r="U246" i="6"/>
  <c r="AM246" i="6" s="1"/>
  <c r="U136" i="6"/>
  <c r="AM136" i="6" s="1"/>
  <c r="U46" i="6"/>
  <c r="AM46" i="6" s="1"/>
  <c r="AG5" i="6"/>
  <c r="AG75" i="6" s="1"/>
  <c r="AY75" i="6" s="1"/>
  <c r="AO53" i="7"/>
  <c r="AO121" i="7" s="1"/>
  <c r="AK53" i="9"/>
  <c r="AG19" i="7"/>
  <c r="AG91" i="7" s="1"/>
  <c r="Y660" i="6"/>
  <c r="AQ660" i="6" s="1"/>
  <c r="Y555" i="6"/>
  <c r="AQ555" i="6" s="1"/>
  <c r="Y410" i="6"/>
  <c r="AQ410" i="6" s="1"/>
  <c r="Y340" i="6"/>
  <c r="AQ340" i="6" s="1"/>
  <c r="Y685" i="6"/>
  <c r="AQ685" i="6" s="1"/>
  <c r="Y580" i="6"/>
  <c r="AQ580" i="6" s="1"/>
  <c r="Y425" i="6"/>
  <c r="AQ425" i="6" s="1"/>
  <c r="Y495" i="6"/>
  <c r="AQ495" i="6" s="1"/>
  <c r="Y515" i="6"/>
  <c r="AQ515" i="6" s="1"/>
  <c r="Y725" i="6"/>
  <c r="AQ725" i="6" s="1"/>
  <c r="Y250" i="6"/>
  <c r="AQ250" i="6" s="1"/>
  <c r="Y155" i="6"/>
  <c r="AQ155" i="6" s="1"/>
  <c r="Y85" i="6"/>
  <c r="AQ85" i="6" s="1"/>
  <c r="Y40" i="6"/>
  <c r="AQ40" i="6" s="1"/>
  <c r="AG59" i="9"/>
  <c r="AC19" i="7"/>
  <c r="AC91" i="7" s="1"/>
  <c r="U665" i="6"/>
  <c r="AM665" i="6" s="1"/>
  <c r="U640" i="6"/>
  <c r="AM640" i="6" s="1"/>
  <c r="U565" i="6"/>
  <c r="AM565" i="6" s="1"/>
  <c r="U535" i="6"/>
  <c r="AM535" i="6" s="1"/>
  <c r="AC34" i="9"/>
  <c r="Y39" i="7"/>
  <c r="Y109" i="7" s="1"/>
  <c r="Q630" i="6"/>
  <c r="AI630" i="6" s="1"/>
  <c r="Q530" i="6"/>
  <c r="AI530" i="6" s="1"/>
  <c r="Q390" i="6"/>
  <c r="AI390" i="6" s="1"/>
  <c r="Q290" i="6"/>
  <c r="AI290" i="6" s="1"/>
  <c r="Q670" i="6"/>
  <c r="AI670" i="6" s="1"/>
  <c r="Q450" i="6"/>
  <c r="AI450" i="6" s="1"/>
  <c r="Q750" i="6"/>
  <c r="AI750" i="6" s="1"/>
  <c r="Q605" i="6"/>
  <c r="AI605" i="6" s="1"/>
  <c r="Q755" i="6"/>
  <c r="AI755" i="6" s="1"/>
  <c r="Q205" i="6"/>
  <c r="AI205" i="6" s="1"/>
  <c r="Q105" i="6"/>
  <c r="AI105" i="6" s="1"/>
  <c r="AO40" i="7"/>
  <c r="AO110" i="7" s="1"/>
  <c r="AO42" i="9"/>
  <c r="AO25" i="7"/>
  <c r="AO97" i="7" s="1"/>
  <c r="AK46" i="7"/>
  <c r="AK115" i="7" s="1"/>
  <c r="Y166" i="5"/>
  <c r="AC103" i="5"/>
  <c r="Y294" i="5"/>
  <c r="AO59" i="9"/>
  <c r="AO13" i="7"/>
  <c r="AO85" i="7" s="1"/>
  <c r="AO60" i="7"/>
  <c r="AO127" i="7" s="1"/>
  <c r="Y135" i="5"/>
  <c r="AK14" i="7"/>
  <c r="AK86" i="7" s="1"/>
  <c r="AO10" i="9"/>
  <c r="AS54" i="9"/>
  <c r="F28" i="2"/>
  <c r="M262" i="5"/>
  <c r="M230" i="5"/>
  <c r="M166" i="5"/>
  <c r="Q262" i="5"/>
  <c r="Q38" i="5"/>
  <c r="U262" i="5"/>
  <c r="U230" i="5"/>
  <c r="U166" i="5"/>
  <c r="Q135" i="5"/>
  <c r="Q295" i="5"/>
  <c r="U295" i="5"/>
  <c r="U71" i="5"/>
  <c r="U263" i="5"/>
  <c r="Y21" i="6"/>
  <c r="AQ21" i="6" s="1"/>
  <c r="Y81" i="6"/>
  <c r="AQ81" i="6" s="1"/>
  <c r="Y111" i="6"/>
  <c r="AQ111" i="6" s="1"/>
  <c r="Y16" i="6"/>
  <c r="AQ16" i="6" s="1"/>
  <c r="Y311" i="6"/>
  <c r="AQ311" i="6" s="1"/>
  <c r="Y11" i="6"/>
  <c r="AQ11" i="6" s="1"/>
  <c r="Y211" i="6"/>
  <c r="AQ211" i="6" s="1"/>
  <c r="Y366" i="6"/>
  <c r="AQ366" i="6" s="1"/>
  <c r="Y161" i="6"/>
  <c r="AQ161" i="6" s="1"/>
  <c r="Y316" i="6"/>
  <c r="AQ316" i="6" s="1"/>
  <c r="U266" i="6"/>
  <c r="AM266" i="6" s="1"/>
  <c r="U71" i="6"/>
  <c r="AM71" i="6" s="1"/>
  <c r="U181" i="6"/>
  <c r="AM181" i="6" s="1"/>
  <c r="U31" i="6"/>
  <c r="AM31" i="6" s="1"/>
  <c r="U361" i="6"/>
  <c r="AM361" i="6" s="1"/>
  <c r="U376" i="6"/>
  <c r="AM376" i="6" s="1"/>
  <c r="U126" i="6"/>
  <c r="AM126" i="6" s="1"/>
  <c r="U281" i="6"/>
  <c r="AM281" i="6" s="1"/>
  <c r="U76" i="6"/>
  <c r="AM76" i="6" s="1"/>
  <c r="U231" i="6"/>
  <c r="AM231" i="6" s="1"/>
  <c r="U210" i="6"/>
  <c r="AM210" i="6" s="1"/>
  <c r="U275" i="6"/>
  <c r="AM275" i="6" s="1"/>
  <c r="U125" i="6"/>
  <c r="AM125" i="6" s="1"/>
  <c r="U370" i="6"/>
  <c r="AM370" i="6" s="1"/>
  <c r="U230" i="6"/>
  <c r="AM230" i="6" s="1"/>
  <c r="U10" i="6"/>
  <c r="AM10" i="6" s="1"/>
  <c r="U160" i="6"/>
  <c r="AM160" i="6" s="1"/>
  <c r="U315" i="6"/>
  <c r="AM315" i="6" s="1"/>
  <c r="U65" i="6"/>
  <c r="AM65" i="6" s="1"/>
  <c r="U220" i="6"/>
  <c r="AM220" i="6" s="1"/>
  <c r="U375" i="6"/>
  <c r="AM375" i="6" s="1"/>
  <c r="Y180" i="6"/>
  <c r="AQ180" i="6" s="1"/>
  <c r="Y315" i="6"/>
  <c r="AQ315" i="6" s="1"/>
  <c r="Y365" i="6"/>
  <c r="AQ365" i="6" s="1"/>
  <c r="Y225" i="6"/>
  <c r="AQ225" i="6" s="1"/>
  <c r="Y5" i="6"/>
  <c r="AQ5" i="6" s="1"/>
  <c r="Y130" i="6"/>
  <c r="AQ130" i="6" s="1"/>
  <c r="Y330" i="6"/>
  <c r="AQ330" i="6" s="1"/>
  <c r="Y170" i="6"/>
  <c r="AQ170" i="6" s="1"/>
  <c r="Y370" i="6"/>
  <c r="AQ370" i="6" s="1"/>
  <c r="Q60" i="6"/>
  <c r="AI60" i="6" s="1"/>
  <c r="Q130" i="6"/>
  <c r="AI130" i="6" s="1"/>
  <c r="Q235" i="6"/>
  <c r="AI235" i="6" s="1"/>
  <c r="Q5" i="6"/>
  <c r="P5" i="6" s="1"/>
  <c r="Q210" i="6"/>
  <c r="AI210" i="6" s="1"/>
  <c r="Q25" i="6"/>
  <c r="AI25" i="6" s="1"/>
  <c r="Q225" i="6"/>
  <c r="AI225" i="6" s="1"/>
  <c r="AG21" i="9"/>
  <c r="AC9" i="9"/>
  <c r="U100" i="6"/>
  <c r="AM100" i="6" s="1"/>
  <c r="U155" i="6"/>
  <c r="AM155" i="6" s="1"/>
  <c r="U185" i="6"/>
  <c r="AM185" i="6" s="1"/>
  <c r="U205" i="6"/>
  <c r="AM205" i="6" s="1"/>
  <c r="U730" i="6"/>
  <c r="AM730" i="6" s="1"/>
  <c r="U570" i="6"/>
  <c r="AM570" i="6" s="1"/>
  <c r="U425" i="6"/>
  <c r="AM425" i="6" s="1"/>
  <c r="U725" i="6"/>
  <c r="AM725" i="6" s="1"/>
  <c r="U440" i="6"/>
  <c r="AM440" i="6" s="1"/>
  <c r="U445" i="6"/>
  <c r="AM445" i="6" s="1"/>
  <c r="U585" i="6"/>
  <c r="AM585" i="6" s="1"/>
  <c r="U670" i="6"/>
  <c r="AM670" i="6" s="1"/>
  <c r="U705" i="6"/>
  <c r="AM705" i="6" s="1"/>
  <c r="U300" i="6"/>
  <c r="AM300" i="6" s="1"/>
  <c r="U350" i="6"/>
  <c r="AM350" i="6" s="1"/>
  <c r="U405" i="6"/>
  <c r="AM405" i="6" s="1"/>
  <c r="U530" i="6"/>
  <c r="AM530" i="6" s="1"/>
  <c r="U620" i="6"/>
  <c r="AM620" i="6" s="1"/>
  <c r="U655" i="6"/>
  <c r="AM655" i="6" s="1"/>
  <c r="Y51" i="6"/>
  <c r="AQ51" i="6" s="1"/>
  <c r="Y151" i="6"/>
  <c r="AQ151" i="6" s="1"/>
  <c r="Y191" i="6"/>
  <c r="AQ191" i="6" s="1"/>
  <c r="Y416" i="6"/>
  <c r="AQ416" i="6" s="1"/>
  <c r="Y666" i="6"/>
  <c r="AQ666" i="6" s="1"/>
  <c r="Y346" i="6"/>
  <c r="AQ346" i="6" s="1"/>
  <c r="Y551" i="6"/>
  <c r="AQ551" i="6" s="1"/>
  <c r="Y686" i="6"/>
  <c r="AQ686" i="6" s="1"/>
  <c r="Y526" i="6"/>
  <c r="AQ526" i="6" s="1"/>
  <c r="Y426" i="6"/>
  <c r="AQ426" i="6" s="1"/>
  <c r="Y741" i="6"/>
  <c r="AQ741" i="6" s="1"/>
  <c r="Y731" i="6"/>
  <c r="AQ731" i="6" s="1"/>
  <c r="Y476" i="6"/>
  <c r="AQ476" i="6" s="1"/>
  <c r="Y516" i="6"/>
  <c r="AQ516" i="6" s="1"/>
  <c r="Y596" i="6"/>
  <c r="AQ596" i="6" s="1"/>
  <c r="U41" i="6"/>
  <c r="AM41" i="6" s="1"/>
  <c r="U141" i="6"/>
  <c r="AM141" i="6" s="1"/>
  <c r="U261" i="6"/>
  <c r="AM261" i="6" s="1"/>
  <c r="U241" i="6"/>
  <c r="AM241" i="6" s="1"/>
  <c r="U696" i="6"/>
  <c r="AM696" i="6" s="1"/>
  <c r="U436" i="6"/>
  <c r="AM436" i="6" s="1"/>
  <c r="U546" i="6"/>
  <c r="AM546" i="6" s="1"/>
  <c r="U671" i="6"/>
  <c r="AM671" i="6" s="1"/>
  <c r="U341" i="6"/>
  <c r="AM341" i="6" s="1"/>
  <c r="U641" i="6"/>
  <c r="AM641" i="6" s="1"/>
  <c r="U756" i="6"/>
  <c r="AM756" i="6" s="1"/>
  <c r="U741" i="6"/>
  <c r="AM741" i="6" s="1"/>
  <c r="U451" i="6"/>
  <c r="AM451" i="6" s="1"/>
  <c r="U501" i="6"/>
  <c r="AM501" i="6" s="1"/>
  <c r="U586" i="6"/>
  <c r="AM586" i="6" s="1"/>
  <c r="Y35" i="6"/>
  <c r="AQ35" i="6" s="1"/>
  <c r="Y105" i="6"/>
  <c r="AQ105" i="6" s="1"/>
  <c r="Y185" i="6"/>
  <c r="AQ185" i="6" s="1"/>
  <c r="Y205" i="6"/>
  <c r="AQ205" i="6" s="1"/>
  <c r="Y585" i="6"/>
  <c r="AQ585" i="6" s="1"/>
  <c r="Y760" i="6"/>
  <c r="AQ760" i="6" s="1"/>
  <c r="Y490" i="6"/>
  <c r="AQ490" i="6" s="1"/>
  <c r="Y705" i="6"/>
  <c r="AQ705" i="6" s="1"/>
  <c r="Y385" i="6"/>
  <c r="AQ385" i="6" s="1"/>
  <c r="Y545" i="6"/>
  <c r="AQ545" i="6" s="1"/>
  <c r="Y665" i="6"/>
  <c r="AQ665" i="6" s="1"/>
  <c r="Q150" i="6"/>
  <c r="AI150" i="6" s="1"/>
  <c r="Q200" i="6"/>
  <c r="AI200" i="6" s="1"/>
  <c r="Q455" i="6"/>
  <c r="AI455" i="6" s="1"/>
  <c r="Q285" i="6"/>
  <c r="AI285" i="6" s="1"/>
  <c r="Q610" i="6"/>
  <c r="AI610" i="6" s="1"/>
  <c r="Q300" i="6"/>
  <c r="AI300" i="6" s="1"/>
  <c r="Q405" i="6"/>
  <c r="AI405" i="6" s="1"/>
  <c r="Q620" i="6"/>
  <c r="AI620" i="6" s="1"/>
  <c r="Y67" i="7"/>
  <c r="Y133" i="7" s="1"/>
  <c r="AG61" i="7"/>
  <c r="AG128" i="7" s="1"/>
  <c r="AK48" i="9"/>
  <c r="AG22" i="9"/>
  <c r="AG25" i="7"/>
  <c r="AG97" i="7" s="1"/>
  <c r="AK2" i="9"/>
  <c r="AC31" i="7"/>
  <c r="AC103" i="7" s="1"/>
  <c r="Y103" i="5"/>
  <c r="AC294" i="5"/>
  <c r="AO19" i="7"/>
  <c r="AO91" i="7" s="1"/>
  <c r="AK26" i="7"/>
  <c r="AK98" i="7" s="1"/>
  <c r="AO14" i="7"/>
  <c r="AO86" i="7" s="1"/>
  <c r="AG6" i="6"/>
  <c r="AG596" i="6" s="1"/>
  <c r="AY596" i="6" s="1"/>
  <c r="AS10" i="9"/>
  <c r="AO26" i="7"/>
  <c r="AO98" i="7" s="1"/>
  <c r="AO32" i="7"/>
  <c r="AO104" i="7" s="1"/>
  <c r="AF15" i="3"/>
  <c r="AC3" i="5"/>
  <c r="AC135" i="5"/>
  <c r="AS22" i="9"/>
  <c r="AO47" i="7"/>
  <c r="AO116" i="7" s="1"/>
  <c r="AC71" i="5"/>
  <c r="AC263" i="5"/>
  <c r="AO60" i="9"/>
  <c r="AO22" i="9"/>
  <c r="AK79" i="7"/>
  <c r="AO3" i="9"/>
  <c r="AK54" i="9"/>
  <c r="AK42" i="9"/>
  <c r="AG54" i="7"/>
  <c r="AG122" i="7" s="1"/>
  <c r="AG79" i="7"/>
  <c r="AG7" i="7"/>
  <c r="AK10" i="9"/>
  <c r="AK3" i="9"/>
  <c r="AG26" i="7"/>
  <c r="AG98" i="7" s="1"/>
  <c r="AG32" i="7"/>
  <c r="AG104" i="7" s="1"/>
  <c r="X15" i="3"/>
  <c r="Y601" i="6"/>
  <c r="AQ601" i="6" s="1"/>
  <c r="Y581" i="6"/>
  <c r="AQ581" i="6" s="1"/>
  <c r="Y511" i="6"/>
  <c r="AQ511" i="6" s="1"/>
  <c r="Y491" i="6"/>
  <c r="AQ491" i="6" s="1"/>
  <c r="Y471" i="6"/>
  <c r="AQ471" i="6" s="1"/>
  <c r="Y441" i="6"/>
  <c r="AQ441" i="6" s="1"/>
  <c r="Y766" i="6"/>
  <c r="AQ766" i="6" s="1"/>
  <c r="Y746" i="6"/>
  <c r="AQ746" i="6" s="1"/>
  <c r="Y406" i="6"/>
  <c r="AQ406" i="6" s="1"/>
  <c r="Y286" i="6"/>
  <c r="AQ286" i="6" s="1"/>
  <c r="Y701" i="6"/>
  <c r="AQ701" i="6" s="1"/>
  <c r="Y436" i="6"/>
  <c r="AQ436" i="6" s="1"/>
  <c r="Y706" i="6"/>
  <c r="AQ706" i="6" s="1"/>
  <c r="Y661" i="6"/>
  <c r="AQ661" i="6" s="1"/>
  <c r="Y621" i="6"/>
  <c r="AQ621" i="6" s="1"/>
  <c r="Y531" i="6"/>
  <c r="AQ531" i="6" s="1"/>
  <c r="Y391" i="6"/>
  <c r="AQ391" i="6" s="1"/>
  <c r="Y711" i="6"/>
  <c r="AQ711" i="6" s="1"/>
  <c r="Y656" i="6"/>
  <c r="AQ656" i="6" s="1"/>
  <c r="Y556" i="6"/>
  <c r="AQ556" i="6" s="1"/>
  <c r="Y401" i="6"/>
  <c r="AQ401" i="6" s="1"/>
  <c r="Y201" i="6"/>
  <c r="AQ201" i="6" s="1"/>
  <c r="Y256" i="6"/>
  <c r="AQ256" i="6" s="1"/>
  <c r="Y156" i="6"/>
  <c r="AQ156" i="6" s="1"/>
  <c r="Y136" i="6"/>
  <c r="AQ136" i="6" s="1"/>
  <c r="Y86" i="6"/>
  <c r="AQ86" i="6" s="1"/>
  <c r="Y36" i="6"/>
  <c r="AQ36" i="6" s="1"/>
  <c r="AG54" i="9"/>
  <c r="AG48" i="9"/>
  <c r="AC54" i="7"/>
  <c r="AC122" i="7" s="1"/>
  <c r="AC79" i="7"/>
  <c r="AC32" i="7"/>
  <c r="AC104" i="7" s="1"/>
  <c r="AG35" i="9"/>
  <c r="AG3" i="9"/>
  <c r="AC40" i="7"/>
  <c r="AC110" i="7" s="1"/>
  <c r="AC47" i="7"/>
  <c r="AC116" i="7" s="1"/>
  <c r="U616" i="6"/>
  <c r="AM616" i="6" s="1"/>
  <c r="U596" i="6"/>
  <c r="AM596" i="6" s="1"/>
  <c r="U576" i="6"/>
  <c r="AM576" i="6" s="1"/>
  <c r="U506" i="6"/>
  <c r="AM506" i="6" s="1"/>
  <c r="U486" i="6"/>
  <c r="AM486" i="6" s="1"/>
  <c r="U456" i="6"/>
  <c r="AM456" i="6" s="1"/>
  <c r="U421" i="6"/>
  <c r="AM421" i="6" s="1"/>
  <c r="U736" i="6"/>
  <c r="AM736" i="6" s="1"/>
  <c r="U766" i="6"/>
  <c r="AM766" i="6" s="1"/>
  <c r="U411" i="6"/>
  <c r="AM411" i="6" s="1"/>
  <c r="U706" i="6"/>
  <c r="AM706" i="6" s="1"/>
  <c r="U561" i="6"/>
  <c r="AM561" i="6" s="1"/>
  <c r="U386" i="6"/>
  <c r="AM386" i="6" s="1"/>
  <c r="U701" i="6"/>
  <c r="AM701" i="6" s="1"/>
  <c r="U666" i="6"/>
  <c r="AM666" i="6" s="1"/>
  <c r="U626" i="6"/>
  <c r="AM626" i="6" s="1"/>
  <c r="U536" i="6"/>
  <c r="AM536" i="6" s="1"/>
  <c r="U351" i="6"/>
  <c r="AM351" i="6" s="1"/>
  <c r="U401" i="6"/>
  <c r="AM401" i="6" s="1"/>
  <c r="U716" i="6"/>
  <c r="AM716" i="6" s="1"/>
  <c r="U651" i="6"/>
  <c r="AM651" i="6" s="1"/>
  <c r="U286" i="6"/>
  <c r="AM286" i="6" s="1"/>
  <c r="U201" i="6"/>
  <c r="AM201" i="6" s="1"/>
  <c r="U256" i="6"/>
  <c r="AM256" i="6" s="1"/>
  <c r="U151" i="6"/>
  <c r="AM151" i="6" s="1"/>
  <c r="U106" i="6"/>
  <c r="AM106" i="6" s="1"/>
  <c r="U51" i="6"/>
  <c r="AM51" i="6" s="1"/>
  <c r="AS59" i="9"/>
  <c r="AS41" i="9"/>
  <c r="AS47" i="9"/>
  <c r="AF14" i="3"/>
  <c r="AS27" i="9"/>
  <c r="AC230" i="5"/>
  <c r="AO53" i="9"/>
  <c r="AO41" i="9"/>
  <c r="AO21" i="9"/>
  <c r="AK39" i="7"/>
  <c r="AK109" i="7" s="1"/>
  <c r="AO15" i="9"/>
  <c r="AK19" i="7"/>
  <c r="AK91" i="7" s="1"/>
  <c r="AK41" i="9"/>
  <c r="AK9" i="9"/>
  <c r="AK47" i="9"/>
  <c r="AG46" i="7"/>
  <c r="AG115" i="7" s="1"/>
  <c r="AG67" i="7"/>
  <c r="AG133" i="7" s="1"/>
  <c r="AG13" i="7"/>
  <c r="AG85" i="7" s="1"/>
  <c r="X14" i="3"/>
  <c r="Y650" i="6"/>
  <c r="AQ650" i="6" s="1"/>
  <c r="Y630" i="6"/>
  <c r="AQ630" i="6" s="1"/>
  <c r="Y560" i="6"/>
  <c r="AQ560" i="6" s="1"/>
  <c r="Y540" i="6"/>
  <c r="AQ540" i="6" s="1"/>
  <c r="Y520" i="6"/>
  <c r="AQ520" i="6" s="1"/>
  <c r="Y400" i="6"/>
  <c r="AQ400" i="6" s="1"/>
  <c r="Y355" i="6"/>
  <c r="AQ355" i="6" s="1"/>
  <c r="Y335" i="6"/>
  <c r="AQ335" i="6" s="1"/>
  <c r="Y290" i="6"/>
  <c r="AQ290" i="6" s="1"/>
  <c r="Y695" i="6"/>
  <c r="AQ695" i="6" s="1"/>
  <c r="Y675" i="6"/>
  <c r="AQ675" i="6" s="1"/>
  <c r="Y600" i="6"/>
  <c r="AQ600" i="6" s="1"/>
  <c r="Y510" i="6"/>
  <c r="AQ510" i="6" s="1"/>
  <c r="Y420" i="6"/>
  <c r="AQ420" i="6" s="1"/>
  <c r="Y765" i="6"/>
  <c r="AQ765" i="6" s="1"/>
  <c r="Y455" i="6"/>
  <c r="AQ455" i="6" s="1"/>
  <c r="Y730" i="6"/>
  <c r="AQ730" i="6" s="1"/>
  <c r="Y445" i="6"/>
  <c r="AQ445" i="6" s="1"/>
  <c r="AK15" i="9"/>
  <c r="AK27" i="9"/>
  <c r="AG60" i="7"/>
  <c r="AG127" i="7" s="1"/>
  <c r="AG53" i="7"/>
  <c r="AG121" i="7" s="1"/>
  <c r="Y655" i="6"/>
  <c r="AQ655" i="6" s="1"/>
  <c r="Y625" i="6"/>
  <c r="AQ625" i="6" s="1"/>
  <c r="Y550" i="6"/>
  <c r="AQ550" i="6" s="1"/>
  <c r="Y525" i="6"/>
  <c r="AQ525" i="6" s="1"/>
  <c r="Y395" i="6"/>
  <c r="AQ395" i="6" s="1"/>
  <c r="Y345" i="6"/>
  <c r="AQ345" i="6" s="1"/>
  <c r="Y295" i="6"/>
  <c r="AQ295" i="6" s="1"/>
  <c r="Y690" i="6"/>
  <c r="AQ690" i="6" s="1"/>
  <c r="Y670" i="6"/>
  <c r="AQ670" i="6" s="1"/>
  <c r="Y570" i="6"/>
  <c r="AQ570" i="6" s="1"/>
  <c r="Y285" i="6"/>
  <c r="AQ285" i="6" s="1"/>
  <c r="Y735" i="6"/>
  <c r="AQ735" i="6" s="1"/>
  <c r="Y740" i="6"/>
  <c r="AQ740" i="6" s="1"/>
  <c r="Y615" i="6"/>
  <c r="AQ615" i="6" s="1"/>
  <c r="Y575" i="6"/>
  <c r="AQ575" i="6" s="1"/>
  <c r="Y450" i="6"/>
  <c r="AQ450" i="6" s="1"/>
  <c r="Y485" i="6"/>
  <c r="AQ485" i="6" s="1"/>
  <c r="Y190" i="6"/>
  <c r="AQ190" i="6" s="1"/>
  <c r="Y240" i="6"/>
  <c r="AQ240" i="6" s="1"/>
  <c r="Y145" i="6"/>
  <c r="AQ145" i="6" s="1"/>
  <c r="Y100" i="6"/>
  <c r="AQ100" i="6" s="1"/>
  <c r="Y45" i="6"/>
  <c r="AQ45" i="6" s="1"/>
  <c r="Y280" i="6"/>
  <c r="AQ280" i="6" s="1"/>
  <c r="Y125" i="6"/>
  <c r="AQ125" i="6" s="1"/>
  <c r="Y375" i="6"/>
  <c r="AQ375" i="6" s="1"/>
  <c r="Y220" i="6"/>
  <c r="AQ220" i="6" s="1"/>
  <c r="Y65" i="6"/>
  <c r="AQ65" i="6" s="1"/>
  <c r="AG53" i="9"/>
  <c r="AC46" i="7"/>
  <c r="AC115" i="7" s="1"/>
  <c r="AC53" i="7"/>
  <c r="AC121" i="7" s="1"/>
  <c r="AG41" i="9"/>
  <c r="AC78" i="7"/>
  <c r="AC67" i="7"/>
  <c r="AC133" i="7" s="1"/>
  <c r="U650" i="6"/>
  <c r="AM650" i="6" s="1"/>
  <c r="U630" i="6"/>
  <c r="AM630" i="6" s="1"/>
  <c r="U560" i="6"/>
  <c r="AM560" i="6" s="1"/>
  <c r="U540" i="6"/>
  <c r="AM540" i="6" s="1"/>
  <c r="U520" i="6"/>
  <c r="AM520" i="6" s="1"/>
  <c r="U400" i="6"/>
  <c r="AM400" i="6" s="1"/>
  <c r="U355" i="6"/>
  <c r="AM355" i="6" s="1"/>
  <c r="U335" i="6"/>
  <c r="AM335" i="6" s="1"/>
  <c r="U290" i="6"/>
  <c r="AM290" i="6" s="1"/>
  <c r="U700" i="6"/>
  <c r="AM700" i="6" s="1"/>
  <c r="U675" i="6"/>
  <c r="AM675" i="6" s="1"/>
  <c r="U605" i="6"/>
  <c r="AM605" i="6" s="1"/>
  <c r="U515" i="6"/>
  <c r="AM515" i="6" s="1"/>
  <c r="U485" i="6"/>
  <c r="AM485" i="6" s="1"/>
  <c r="U490" i="6"/>
  <c r="AM490" i="6" s="1"/>
  <c r="U745" i="6"/>
  <c r="AM745" i="6" s="1"/>
  <c r="U480" i="6"/>
  <c r="AM480" i="6" s="1"/>
  <c r="U415" i="6"/>
  <c r="AM415" i="6" s="1"/>
  <c r="U580" i="6"/>
  <c r="AM580" i="6" s="1"/>
  <c r="U455" i="6"/>
  <c r="AM455" i="6" s="1"/>
  <c r="U420" i="6"/>
  <c r="AM420" i="6" s="1"/>
  <c r="U195" i="6"/>
  <c r="AM195" i="6" s="1"/>
  <c r="U240" i="6"/>
  <c r="AM240" i="6" s="1"/>
  <c r="U150" i="6"/>
  <c r="AM150" i="6" s="1"/>
  <c r="U135" i="6"/>
  <c r="AM135" i="6" s="1"/>
  <c r="U85" i="6"/>
  <c r="AM85" i="6" s="1"/>
  <c r="U35" i="6"/>
  <c r="AM35" i="6" s="1"/>
  <c r="AG9" i="9"/>
  <c r="AC53" i="9"/>
  <c r="Y46" i="7"/>
  <c r="Y115" i="7" s="1"/>
  <c r="Y53" i="7"/>
  <c r="Y121" i="7" s="1"/>
  <c r="Q665" i="6"/>
  <c r="AI665" i="6" s="1"/>
  <c r="Q645" i="6"/>
  <c r="AI645" i="6" s="1"/>
  <c r="Q625" i="6"/>
  <c r="AI625" i="6" s="1"/>
  <c r="Q555" i="6"/>
  <c r="AI555" i="6" s="1"/>
  <c r="Q535" i="6"/>
  <c r="AI535" i="6" s="1"/>
  <c r="Q430" i="6"/>
  <c r="AI430" i="6" s="1"/>
  <c r="Q395" i="6"/>
  <c r="AI395" i="6" s="1"/>
  <c r="Q350" i="6"/>
  <c r="AI350" i="6" s="1"/>
  <c r="Q305" i="6"/>
  <c r="AI305" i="6" s="1"/>
  <c r="Q715" i="6"/>
  <c r="AI715" i="6" s="1"/>
  <c r="Q700" i="6"/>
  <c r="AI700" i="6" s="1"/>
  <c r="Q675" i="6"/>
  <c r="AI675" i="6" s="1"/>
  <c r="Q590" i="6"/>
  <c r="AI590" i="6" s="1"/>
  <c r="Q500" i="6"/>
  <c r="AI500" i="6" s="1"/>
  <c r="Q425" i="6"/>
  <c r="AI425" i="6" s="1"/>
  <c r="Q745" i="6"/>
  <c r="AI745" i="6" s="1"/>
  <c r="Q760" i="6"/>
  <c r="AI760" i="6" s="1"/>
  <c r="Q720" i="6"/>
  <c r="AI720" i="6" s="1"/>
  <c r="Q615" i="6"/>
  <c r="AI615" i="6" s="1"/>
  <c r="Q575" i="6"/>
  <c r="AI575" i="6" s="1"/>
  <c r="Q420" i="6"/>
  <c r="AI420" i="6" s="1"/>
  <c r="Q445" i="6"/>
  <c r="AI445" i="6" s="1"/>
  <c r="Q255" i="6"/>
  <c r="AI255" i="6" s="1"/>
  <c r="Q185" i="6"/>
  <c r="AI185" i="6" s="1"/>
  <c r="Q145" i="6"/>
  <c r="AI145" i="6" s="1"/>
  <c r="Q85" i="6"/>
  <c r="AI85" i="6" s="1"/>
  <c r="Q50" i="6"/>
  <c r="AI50" i="6" s="1"/>
  <c r="AC47" i="9"/>
  <c r="Y19" i="7"/>
  <c r="Y91" i="7" s="1"/>
  <c r="Y13" i="7"/>
  <c r="Y85" i="7" s="1"/>
  <c r="Q640" i="6"/>
  <c r="AI640" i="6" s="1"/>
  <c r="Q565" i="6"/>
  <c r="AI565" i="6" s="1"/>
  <c r="Q540" i="6"/>
  <c r="AI540" i="6" s="1"/>
  <c r="Q410" i="6"/>
  <c r="AI410" i="6" s="1"/>
  <c r="Q385" i="6"/>
  <c r="AI385" i="6" s="1"/>
  <c r="Q335" i="6"/>
  <c r="AI335" i="6" s="1"/>
  <c r="Q695" i="6"/>
  <c r="AI695" i="6" s="1"/>
  <c r="Q685" i="6"/>
  <c r="AI685" i="6" s="1"/>
  <c r="Q600" i="6"/>
  <c r="AI600" i="6" s="1"/>
  <c r="Q480" i="6"/>
  <c r="AI480" i="6" s="1"/>
  <c r="Q470" i="6"/>
  <c r="AI470" i="6" s="1"/>
  <c r="Q475" i="6"/>
  <c r="AI475" i="6" s="1"/>
  <c r="Q505" i="6"/>
  <c r="AI505" i="6" s="1"/>
  <c r="Q595" i="6"/>
  <c r="AI595" i="6" s="1"/>
  <c r="Q440" i="6"/>
  <c r="AI440" i="6" s="1"/>
  <c r="Q260" i="6"/>
  <c r="AI260" i="6" s="1"/>
  <c r="Q245" i="6"/>
  <c r="AI245" i="6" s="1"/>
  <c r="Q155" i="6"/>
  <c r="AI155" i="6" s="1"/>
  <c r="Q135" i="6"/>
  <c r="AI135" i="6" s="1"/>
  <c r="Q40" i="6"/>
  <c r="AI40" i="6" s="1"/>
  <c r="AC27" i="9"/>
  <c r="Y6" i="7"/>
  <c r="Q270" i="6"/>
  <c r="AI270" i="6" s="1"/>
  <c r="Q115" i="6"/>
  <c r="AI115" i="6" s="1"/>
  <c r="Q320" i="6"/>
  <c r="AI320" i="6" s="1"/>
  <c r="Q165" i="6"/>
  <c r="AI165" i="6" s="1"/>
  <c r="Q10" i="6"/>
  <c r="AI10" i="6" s="1"/>
  <c r="Q330" i="6"/>
  <c r="AI330" i="6" s="1"/>
  <c r="Q80" i="6"/>
  <c r="AI80" i="6" s="1"/>
  <c r="Q65" i="6"/>
  <c r="AI65" i="6" s="1"/>
  <c r="Q215" i="6"/>
  <c r="AI215" i="6" s="1"/>
  <c r="Q280" i="6"/>
  <c r="AI280" i="6" s="1"/>
  <c r="J29" i="2"/>
  <c r="J38" i="2"/>
  <c r="Y260" i="6"/>
  <c r="AQ260" i="6" s="1"/>
  <c r="Y480" i="6"/>
  <c r="AQ480" i="6" s="1"/>
  <c r="Y595" i="6"/>
  <c r="AQ595" i="6" s="1"/>
  <c r="Y720" i="6"/>
  <c r="AQ720" i="6" s="1"/>
  <c r="Y755" i="6"/>
  <c r="AQ755" i="6" s="1"/>
  <c r="Y470" i="6"/>
  <c r="AQ470" i="6" s="1"/>
  <c r="Y610" i="6"/>
  <c r="AQ610" i="6" s="1"/>
  <c r="Y700" i="6"/>
  <c r="AQ700" i="6" s="1"/>
  <c r="Y305" i="6"/>
  <c r="AQ305" i="6" s="1"/>
  <c r="Y390" i="6"/>
  <c r="AQ390" i="6" s="1"/>
  <c r="Y530" i="6"/>
  <c r="AQ530" i="6" s="1"/>
  <c r="Y565" i="6"/>
  <c r="AQ565" i="6" s="1"/>
  <c r="Y645" i="6"/>
  <c r="AQ645" i="6" s="1"/>
  <c r="Q45" i="6"/>
  <c r="AI45" i="6" s="1"/>
  <c r="Q140" i="6"/>
  <c r="AI140" i="6" s="1"/>
  <c r="Q240" i="6"/>
  <c r="AI240" i="6" s="1"/>
  <c r="Q735" i="6"/>
  <c r="AI735" i="6" s="1"/>
  <c r="Q515" i="6"/>
  <c r="AI515" i="6" s="1"/>
  <c r="Q485" i="6"/>
  <c r="AI485" i="6" s="1"/>
  <c r="Q495" i="6"/>
  <c r="AI495" i="6" s="1"/>
  <c r="Q435" i="6"/>
  <c r="AI435" i="6" s="1"/>
  <c r="Q580" i="6"/>
  <c r="AI580" i="6" s="1"/>
  <c r="Q690" i="6"/>
  <c r="AI690" i="6" s="1"/>
  <c r="Q295" i="6"/>
  <c r="AI295" i="6" s="1"/>
  <c r="Q355" i="6"/>
  <c r="AI355" i="6" s="1"/>
  <c r="Q520" i="6"/>
  <c r="AI520" i="6" s="1"/>
  <c r="Q550" i="6"/>
  <c r="AI550" i="6" s="1"/>
  <c r="Q635" i="6"/>
  <c r="AI635" i="6" s="1"/>
  <c r="Y25" i="7"/>
  <c r="Y97" i="7" s="1"/>
  <c r="Y60" i="7"/>
  <c r="Y127" i="7" s="1"/>
  <c r="AC41" i="9"/>
  <c r="AG20" i="7"/>
  <c r="AG92" i="7" s="1"/>
  <c r="AG40" i="7"/>
  <c r="AG110" i="7" s="1"/>
  <c r="AK22" i="9"/>
  <c r="AC20" i="7"/>
  <c r="AC92" i="7" s="1"/>
  <c r="AC68" i="7"/>
  <c r="AC134" i="7" s="1"/>
  <c r="AG16" i="9"/>
  <c r="AG39" i="7"/>
  <c r="AG109" i="7" s="1"/>
  <c r="AG78" i="7"/>
  <c r="AK34" i="9"/>
  <c r="AC39" i="7"/>
  <c r="AC109" i="7" s="1"/>
  <c r="AG47" i="9"/>
  <c r="Y39" i="5"/>
  <c r="AC134" i="5"/>
  <c r="Y198" i="5"/>
  <c r="AK13" i="7"/>
  <c r="AK85" i="7" s="1"/>
  <c r="AO9" i="9"/>
  <c r="AS53" i="9"/>
  <c r="AK20" i="7"/>
  <c r="AK92" i="7" s="1"/>
  <c r="AO35" i="9"/>
  <c r="AO68" i="7"/>
  <c r="AO134" i="7" s="1"/>
  <c r="R32" i="7"/>
  <c r="S545" i="6"/>
  <c r="AK545" i="6" s="1"/>
  <c r="S446" i="6"/>
  <c r="AK446" i="6" s="1"/>
  <c r="W710" i="6"/>
  <c r="AO710" i="6" s="1"/>
  <c r="N294" i="5"/>
  <c r="Z16" i="6"/>
  <c r="AR16" i="6" s="1"/>
  <c r="AR60" i="9"/>
  <c r="AR35" i="9"/>
  <c r="AN79" i="7"/>
  <c r="AB103" i="5"/>
  <c r="AN48" i="9"/>
  <c r="AJ47" i="7"/>
  <c r="AJ116" i="7" s="1"/>
  <c r="AN42" i="9"/>
  <c r="AJ68" i="7"/>
  <c r="AJ134" i="7" s="1"/>
  <c r="AJ10" i="9"/>
  <c r="AF61" i="7"/>
  <c r="AF128" i="7" s="1"/>
  <c r="X711" i="6"/>
  <c r="AP711" i="6" s="1"/>
  <c r="X691" i="6"/>
  <c r="AP691" i="6" s="1"/>
  <c r="AF7" i="7"/>
  <c r="X706" i="6"/>
  <c r="AP706" i="6" s="1"/>
  <c r="X686" i="6"/>
  <c r="AP686" i="6" s="1"/>
  <c r="AB47" i="7"/>
  <c r="AB116" i="7" s="1"/>
  <c r="T706" i="6"/>
  <c r="AL706" i="6" s="1"/>
  <c r="T686" i="6"/>
  <c r="AL686" i="6" s="1"/>
  <c r="T436" i="6"/>
  <c r="AL436" i="6" s="1"/>
  <c r="T606" i="6"/>
  <c r="AL606" i="6" s="1"/>
  <c r="T576" i="6"/>
  <c r="AL576" i="6" s="1"/>
  <c r="T591" i="6"/>
  <c r="AL591" i="6" s="1"/>
  <c r="T766" i="6"/>
  <c r="AL766" i="6" s="1"/>
  <c r="T726" i="6"/>
  <c r="AL726" i="6" s="1"/>
  <c r="AF42" i="9"/>
  <c r="AB54" i="7"/>
  <c r="AB122" i="7" s="1"/>
  <c r="T701" i="6"/>
  <c r="AL701" i="6" s="1"/>
  <c r="T681" i="6"/>
  <c r="AL681" i="6" s="1"/>
  <c r="T416" i="6"/>
  <c r="AL416" i="6" s="1"/>
  <c r="T601" i="6"/>
  <c r="AL601" i="6" s="1"/>
  <c r="T571" i="6"/>
  <c r="AL571" i="6" s="1"/>
  <c r="T586" i="6"/>
  <c r="AL586" i="6" s="1"/>
  <c r="T756" i="6"/>
  <c r="AL756" i="6" s="1"/>
  <c r="T661" i="6"/>
  <c r="AL661" i="6" s="1"/>
  <c r="T621" i="6"/>
  <c r="AL621" i="6" s="1"/>
  <c r="T531" i="6"/>
  <c r="AL531" i="6" s="1"/>
  <c r="T441" i="6"/>
  <c r="AL441" i="6" s="1"/>
  <c r="T341" i="6"/>
  <c r="AL341" i="6" s="1"/>
  <c r="T481" i="6"/>
  <c r="AL481" i="6" s="1"/>
  <c r="T486" i="6"/>
  <c r="AL486" i="6" s="1"/>
  <c r="T431" i="6"/>
  <c r="AL431" i="6" s="1"/>
  <c r="T301" i="6"/>
  <c r="AL301" i="6" s="1"/>
  <c r="T731" i="6"/>
  <c r="AL731" i="6" s="1"/>
  <c r="T646" i="6"/>
  <c r="AL646" i="6" s="1"/>
  <c r="T556" i="6"/>
  <c r="AL556" i="6" s="1"/>
  <c r="T426" i="6"/>
  <c r="AL426" i="6" s="1"/>
  <c r="T356" i="6"/>
  <c r="AL356" i="6" s="1"/>
  <c r="T251" i="6"/>
  <c r="AL251" i="6" s="1"/>
  <c r="T206" i="6"/>
  <c r="AL206" i="6" s="1"/>
  <c r="T261" i="6"/>
  <c r="AL261" i="6" s="1"/>
  <c r="T141" i="6"/>
  <c r="AL141" i="6" s="1"/>
  <c r="T96" i="6"/>
  <c r="AL96" i="6" s="1"/>
  <c r="T41" i="6"/>
  <c r="AL41" i="6" s="1"/>
  <c r="AF10" i="9"/>
  <c r="T716" i="6"/>
  <c r="AL716" i="6" s="1"/>
  <c r="T696" i="6"/>
  <c r="AL696" i="6" s="1"/>
  <c r="T676" i="6"/>
  <c r="AL676" i="6" s="1"/>
  <c r="T616" i="6"/>
  <c r="AL616" i="6" s="1"/>
  <c r="T596" i="6"/>
  <c r="AL596" i="6" s="1"/>
  <c r="T516" i="6"/>
  <c r="AL516" i="6" s="1"/>
  <c r="T746" i="6"/>
  <c r="AL746" i="6" s="1"/>
  <c r="T651" i="6"/>
  <c r="AL651" i="6" s="1"/>
  <c r="T561" i="6"/>
  <c r="AL561" i="6" s="1"/>
  <c r="T521" i="6"/>
  <c r="AL521" i="6" s="1"/>
  <c r="T421" i="6"/>
  <c r="AL421" i="6" s="1"/>
  <c r="T296" i="6"/>
  <c r="AL296" i="6" s="1"/>
  <c r="T451" i="6"/>
  <c r="AL451" i="6" s="1"/>
  <c r="T496" i="6"/>
  <c r="AL496" i="6" s="1"/>
  <c r="T411" i="6"/>
  <c r="AL411" i="6" s="1"/>
  <c r="T761" i="6"/>
  <c r="AL761" i="6" s="1"/>
  <c r="T721" i="6"/>
  <c r="AL721" i="6" s="1"/>
  <c r="T636" i="6"/>
  <c r="AL636" i="6" s="1"/>
  <c r="T536" i="6"/>
  <c r="AL536" i="6" s="1"/>
  <c r="T306" i="6"/>
  <c r="AL306" i="6" s="1"/>
  <c r="T336" i="6"/>
  <c r="AL336" i="6" s="1"/>
  <c r="T246" i="6"/>
  <c r="AL246" i="6" s="1"/>
  <c r="T201" i="6"/>
  <c r="AL201" i="6" s="1"/>
  <c r="T156" i="6"/>
  <c r="AL156" i="6" s="1"/>
  <c r="T136" i="6"/>
  <c r="AL136" i="6" s="1"/>
  <c r="T86" i="6"/>
  <c r="AL86" i="6" s="1"/>
  <c r="T36" i="6"/>
  <c r="AL36" i="6" s="1"/>
  <c r="AR59" i="9"/>
  <c r="AN13" i="7"/>
  <c r="AN85" i="7" s="1"/>
  <c r="AB294" i="5"/>
  <c r="AB134" i="5"/>
  <c r="AR27" i="9"/>
  <c r="AN31" i="7"/>
  <c r="AN103" i="7" s="1"/>
  <c r="AJ46" i="7"/>
  <c r="AJ115" i="7" s="1"/>
  <c r="AA14" i="3"/>
  <c r="AN47" i="9"/>
  <c r="AJ67" i="7"/>
  <c r="AJ133" i="7" s="1"/>
  <c r="AB5" i="6"/>
  <c r="AB655" i="6" s="1"/>
  <c r="AT655" i="6" s="1"/>
  <c r="AN2" i="9"/>
  <c r="AJ13" i="7"/>
  <c r="AJ85" i="7" s="1"/>
  <c r="AF53" i="7"/>
  <c r="AF121" i="7" s="1"/>
  <c r="X765" i="6"/>
  <c r="AP765" i="6" s="1"/>
  <c r="X745" i="6"/>
  <c r="AP745" i="6" s="1"/>
  <c r="X725" i="6"/>
  <c r="AP725" i="6" s="1"/>
  <c r="X655" i="6"/>
  <c r="AP655" i="6" s="1"/>
  <c r="X635" i="6"/>
  <c r="AP635" i="6" s="1"/>
  <c r="X555" i="6"/>
  <c r="AP555" i="6" s="1"/>
  <c r="X535" i="6"/>
  <c r="AP535" i="6" s="1"/>
  <c r="X665" i="6"/>
  <c r="AP665" i="6" s="1"/>
  <c r="X710" i="6"/>
  <c r="AP710" i="6" s="1"/>
  <c r="X670" i="6"/>
  <c r="AP670" i="6" s="1"/>
  <c r="X405" i="6"/>
  <c r="AP405" i="6" s="1"/>
  <c r="X305" i="6"/>
  <c r="AP305" i="6" s="1"/>
  <c r="X500" i="6"/>
  <c r="AP500" i="6" s="1"/>
  <c r="X335" i="6"/>
  <c r="AP335" i="6" s="1"/>
  <c r="X590" i="6"/>
  <c r="AP590" i="6" s="1"/>
  <c r="X490" i="6"/>
  <c r="AP490" i="6" s="1"/>
  <c r="X420" i="6"/>
  <c r="AP420" i="6" s="1"/>
  <c r="X300" i="6"/>
  <c r="AP300" i="6" s="1"/>
  <c r="X685" i="6"/>
  <c r="AP685" i="6" s="1"/>
  <c r="X445" i="6"/>
  <c r="AP445" i="6" s="1"/>
  <c r="X595" i="6"/>
  <c r="AP595" i="6" s="1"/>
  <c r="X355" i="6"/>
  <c r="AP355" i="6" s="1"/>
  <c r="X190" i="6"/>
  <c r="AP190" i="6" s="1"/>
  <c r="X255" i="6"/>
  <c r="AP255" i="6" s="1"/>
  <c r="X140" i="6"/>
  <c r="AP140" i="6" s="1"/>
  <c r="X100" i="6"/>
  <c r="AP100" i="6" s="1"/>
  <c r="X45" i="6"/>
  <c r="AP45" i="6" s="1"/>
  <c r="AJ41" i="9"/>
  <c r="X760" i="6"/>
  <c r="AP760" i="6" s="1"/>
  <c r="X740" i="6"/>
  <c r="AP740" i="6" s="1"/>
  <c r="X720" i="6"/>
  <c r="AP720" i="6" s="1"/>
  <c r="X650" i="6"/>
  <c r="AP650" i="6" s="1"/>
  <c r="X625" i="6"/>
  <c r="AP625" i="6" s="1"/>
  <c r="X550" i="6"/>
  <c r="AP550" i="6" s="1"/>
  <c r="X530" i="6"/>
  <c r="AP530" i="6" s="1"/>
  <c r="X660" i="6"/>
  <c r="AP660" i="6" s="1"/>
  <c r="X700" i="6"/>
  <c r="AP700" i="6" s="1"/>
  <c r="X505" i="6"/>
  <c r="AP505" i="6" s="1"/>
  <c r="X385" i="6"/>
  <c r="AP385" i="6" s="1"/>
  <c r="X605" i="6"/>
  <c r="AP605" i="6" s="1"/>
  <c r="X450" i="6"/>
  <c r="AP450" i="6" s="1"/>
  <c r="X290" i="6"/>
  <c r="AP290" i="6" s="1"/>
  <c r="X580" i="6"/>
  <c r="AP580" i="6" s="1"/>
  <c r="X470" i="6"/>
  <c r="AP470" i="6" s="1"/>
  <c r="X410" i="6"/>
  <c r="AP410" i="6" s="1"/>
  <c r="X715" i="6"/>
  <c r="AP715" i="6" s="1"/>
  <c r="X675" i="6"/>
  <c r="AP675" i="6" s="1"/>
  <c r="X395" i="6"/>
  <c r="AP395" i="6" s="1"/>
  <c r="X585" i="6"/>
  <c r="AP585" i="6" s="1"/>
  <c r="X205" i="6"/>
  <c r="AP205" i="6" s="1"/>
  <c r="X250" i="6"/>
  <c r="AP250" i="6" s="1"/>
  <c r="X245" i="6"/>
  <c r="AP245" i="6" s="1"/>
  <c r="X155" i="6"/>
  <c r="AP155" i="6" s="1"/>
  <c r="X85" i="6"/>
  <c r="AP85" i="6" s="1"/>
  <c r="X50" i="6"/>
  <c r="AP50" i="6" s="1"/>
  <c r="AJ2" i="9"/>
  <c r="X755" i="6"/>
  <c r="AP755" i="6" s="1"/>
  <c r="X735" i="6"/>
  <c r="AP735" i="6" s="1"/>
  <c r="X425" i="6"/>
  <c r="AP425" i="6" s="1"/>
  <c r="X645" i="6"/>
  <c r="AP645" i="6" s="1"/>
  <c r="X620" i="6"/>
  <c r="AP620" i="6" s="1"/>
  <c r="X545" i="6"/>
  <c r="AP545" i="6" s="1"/>
  <c r="X525" i="6"/>
  <c r="AP525" i="6" s="1"/>
  <c r="X630" i="6"/>
  <c r="AP630" i="6" s="1"/>
  <c r="X690" i="6"/>
  <c r="AP690" i="6" s="1"/>
  <c r="X485" i="6"/>
  <c r="AP485" i="6" s="1"/>
  <c r="X340" i="6"/>
  <c r="AP340" i="6" s="1"/>
  <c r="X575" i="6"/>
  <c r="AP575" i="6" s="1"/>
  <c r="X435" i="6"/>
  <c r="AP435" i="6" s="1"/>
  <c r="X610" i="6"/>
  <c r="AP610" i="6" s="1"/>
  <c r="X570" i="6"/>
  <c r="AP570" i="6" s="1"/>
  <c r="X440" i="6"/>
  <c r="AP440" i="6" s="1"/>
  <c r="X390" i="6"/>
  <c r="AP390" i="6" s="1"/>
  <c r="X705" i="6"/>
  <c r="AP705" i="6" s="1"/>
  <c r="X495" i="6"/>
  <c r="AP495" i="6" s="1"/>
  <c r="X350" i="6"/>
  <c r="AP350" i="6" s="1"/>
  <c r="X480" i="6"/>
  <c r="AP480" i="6" s="1"/>
  <c r="X200" i="6"/>
  <c r="AP200" i="6" s="1"/>
  <c r="X240" i="6"/>
  <c r="AP240" i="6" s="1"/>
  <c r="X185" i="6"/>
  <c r="AP185" i="6" s="1"/>
  <c r="X145" i="6"/>
  <c r="AP145" i="6" s="1"/>
  <c r="X105" i="6"/>
  <c r="AP105" i="6" s="1"/>
  <c r="X40" i="6"/>
  <c r="AP40" i="6" s="1"/>
  <c r="AB53" i="7"/>
  <c r="AB121" i="7" s="1"/>
  <c r="T745" i="6"/>
  <c r="AL745" i="6" s="1"/>
  <c r="T660" i="6"/>
  <c r="AL660" i="6" s="1"/>
  <c r="T645" i="6"/>
  <c r="AL645" i="6" s="1"/>
  <c r="T535" i="6"/>
  <c r="AL535" i="6" s="1"/>
  <c r="T490" i="6"/>
  <c r="AL490" i="6" s="1"/>
  <c r="T345" i="6"/>
  <c r="AL345" i="6" s="1"/>
  <c r="T510" i="6"/>
  <c r="AL510" i="6" s="1"/>
  <c r="T595" i="6"/>
  <c r="AL595" i="6" s="1"/>
  <c r="T350" i="6"/>
  <c r="AL350" i="6" s="1"/>
  <c r="T435" i="6"/>
  <c r="AL435" i="6" s="1"/>
  <c r="T205" i="6"/>
  <c r="AL205" i="6" s="1"/>
  <c r="T250" i="6"/>
  <c r="AL250" i="6" s="1"/>
  <c r="T135" i="6"/>
  <c r="AL135" i="6" s="1"/>
  <c r="T45" i="6"/>
  <c r="AL45" i="6" s="1"/>
  <c r="T735" i="6"/>
  <c r="AL735" i="6" s="1"/>
  <c r="T630" i="6"/>
  <c r="AL630" i="6" s="1"/>
  <c r="T625" i="6"/>
  <c r="AL625" i="6" s="1"/>
  <c r="T520" i="6"/>
  <c r="AL520" i="6" s="1"/>
  <c r="T440" i="6"/>
  <c r="AL440" i="6" s="1"/>
  <c r="T480" i="6"/>
  <c r="AL480" i="6" s="1"/>
  <c r="T405" i="6"/>
  <c r="AL405" i="6" s="1"/>
  <c r="T575" i="6"/>
  <c r="AL575" i="6" s="1"/>
  <c r="T710" i="6"/>
  <c r="AL710" i="6" s="1"/>
  <c r="T355" i="6"/>
  <c r="AL355" i="6" s="1"/>
  <c r="T195" i="6"/>
  <c r="AL195" i="6" s="1"/>
  <c r="T155" i="6"/>
  <c r="AL155" i="6" s="1"/>
  <c r="T100" i="6"/>
  <c r="AL100" i="6" s="1"/>
  <c r="T40" i="6"/>
  <c r="AL40" i="6" s="1"/>
  <c r="AF34" i="9"/>
  <c r="T765" i="6"/>
  <c r="AL765" i="6" s="1"/>
  <c r="T725" i="6"/>
  <c r="AL725" i="6" s="1"/>
  <c r="T530" i="6"/>
  <c r="AL530" i="6" s="1"/>
  <c r="T565" i="6"/>
  <c r="AL565" i="6" s="1"/>
  <c r="T705" i="6"/>
  <c r="AL705" i="6" s="1"/>
  <c r="T420" i="6"/>
  <c r="AL420" i="6" s="1"/>
  <c r="T290" i="6"/>
  <c r="AL290" i="6" s="1"/>
  <c r="T340" i="6"/>
  <c r="AL340" i="6" s="1"/>
  <c r="T495" i="6"/>
  <c r="AL495" i="6" s="1"/>
  <c r="T690" i="6"/>
  <c r="AL690" i="6" s="1"/>
  <c r="T600" i="6"/>
  <c r="AL600" i="6" s="1"/>
  <c r="T245" i="6"/>
  <c r="AL245" i="6" s="1"/>
  <c r="T150" i="6"/>
  <c r="AL150" i="6" s="1"/>
  <c r="T85" i="6"/>
  <c r="AL85" i="6" s="1"/>
  <c r="T35" i="6"/>
  <c r="AL35" i="6" s="1"/>
  <c r="I29" i="2"/>
  <c r="I38" i="2"/>
  <c r="AJ14" i="7"/>
  <c r="AJ86" i="7" s="1"/>
  <c r="AB46" i="7"/>
  <c r="AB115" i="7" s="1"/>
  <c r="V28" i="7"/>
  <c r="AI44" i="9"/>
  <c r="G37" i="2"/>
  <c r="R71" i="5"/>
  <c r="V26" i="6"/>
  <c r="AN26" i="6" s="1"/>
  <c r="Z15" i="6"/>
  <c r="AR15" i="6" s="1"/>
  <c r="R326" i="6"/>
  <c r="AJ326" i="6" s="1"/>
  <c r="Z621" i="6"/>
  <c r="AR621" i="6" s="1"/>
  <c r="G29" i="2"/>
  <c r="H32" i="7"/>
  <c r="V160" i="6"/>
  <c r="AN160" i="6" s="1"/>
  <c r="V305" i="6"/>
  <c r="AN305" i="6" s="1"/>
  <c r="N41" i="2"/>
  <c r="N31" i="7"/>
  <c r="AF6" i="6"/>
  <c r="AF86" i="6" s="1"/>
  <c r="AX86" i="6" s="1"/>
  <c r="AR54" i="9"/>
  <c r="AR3" i="9"/>
  <c r="AN61" i="7"/>
  <c r="AN128" i="7" s="1"/>
  <c r="AN7" i="7"/>
  <c r="AN26" i="7"/>
  <c r="AN98" i="7" s="1"/>
  <c r="AB295" i="5"/>
  <c r="AB135" i="5"/>
  <c r="AB263" i="5"/>
  <c r="AR42" i="9"/>
  <c r="AR10" i="9"/>
  <c r="AR28" i="9"/>
  <c r="AN47" i="7"/>
  <c r="AN116" i="7" s="1"/>
  <c r="AN68" i="7"/>
  <c r="AN134" i="7" s="1"/>
  <c r="AN14" i="7"/>
  <c r="AN86" i="7" s="1"/>
  <c r="AE15" i="3"/>
  <c r="AB3" i="5"/>
  <c r="AB39" i="5"/>
  <c r="AB167" i="5"/>
  <c r="AR16" i="9"/>
  <c r="AR48" i="9"/>
  <c r="AR22" i="9"/>
  <c r="AN32" i="7"/>
  <c r="AN104" i="7" s="1"/>
  <c r="AN54" i="7"/>
  <c r="AN122" i="7" s="1"/>
  <c r="AB71" i="5"/>
  <c r="AB199" i="5"/>
  <c r="AN16" i="9"/>
  <c r="AN28" i="9"/>
  <c r="AN10" i="9"/>
  <c r="AJ32" i="7"/>
  <c r="AJ104" i="7" s="1"/>
  <c r="AJ54" i="7"/>
  <c r="AJ122" i="7" s="1"/>
  <c r="AN60" i="9"/>
  <c r="AN54" i="9"/>
  <c r="AJ79" i="7"/>
  <c r="AJ20" i="7"/>
  <c r="AJ92" i="7" s="1"/>
  <c r="AJ40" i="7"/>
  <c r="AJ110" i="7" s="1"/>
  <c r="AN35" i="9"/>
  <c r="AN22" i="9"/>
  <c r="AJ61" i="7"/>
  <c r="AJ128" i="7" s="1"/>
  <c r="AJ7" i="7"/>
  <c r="AJ26" i="7"/>
  <c r="AJ98" i="7" s="1"/>
  <c r="AJ42" i="9"/>
  <c r="AJ28" i="9"/>
  <c r="AJ35" i="9"/>
  <c r="AF47" i="7"/>
  <c r="AF116" i="7" s="1"/>
  <c r="AF68" i="7"/>
  <c r="AF134" i="7" s="1"/>
  <c r="AF14" i="7"/>
  <c r="AF86" i="7" s="1"/>
  <c r="AJ16" i="9"/>
  <c r="AJ48" i="9"/>
  <c r="AJ3" i="9"/>
  <c r="AF32" i="7"/>
  <c r="AF104" i="7" s="1"/>
  <c r="AF54" i="7"/>
  <c r="AF122" i="7" s="1"/>
  <c r="AJ60" i="9"/>
  <c r="AJ22" i="9"/>
  <c r="AF79" i="7"/>
  <c r="AF20" i="7"/>
  <c r="AF92" i="7" s="1"/>
  <c r="AF40" i="7"/>
  <c r="AF110" i="7" s="1"/>
  <c r="AF16" i="9"/>
  <c r="AF54" i="9"/>
  <c r="AF28" i="9"/>
  <c r="AB32" i="7"/>
  <c r="AB104" i="7" s="1"/>
  <c r="AB40" i="7"/>
  <c r="AB110" i="7" s="1"/>
  <c r="AF60" i="9"/>
  <c r="AF35" i="9"/>
  <c r="AB79" i="7"/>
  <c r="AB20" i="7"/>
  <c r="AB92" i="7" s="1"/>
  <c r="AB26" i="7"/>
  <c r="AB98" i="7" s="1"/>
  <c r="AF22" i="9"/>
  <c r="AF3" i="9"/>
  <c r="AB61" i="7"/>
  <c r="AB128" i="7" s="1"/>
  <c r="AB68" i="7"/>
  <c r="AB134" i="7" s="1"/>
  <c r="AB14" i="7"/>
  <c r="AB86" i="7" s="1"/>
  <c r="AR41" i="9"/>
  <c r="AR34" i="9"/>
  <c r="AN78" i="7"/>
  <c r="AN19" i="7"/>
  <c r="AN91" i="7" s="1"/>
  <c r="AN53" i="7"/>
  <c r="AN121" i="7" s="1"/>
  <c r="AB2" i="5"/>
  <c r="AB166" i="5"/>
  <c r="AB262" i="5"/>
  <c r="AF5" i="6"/>
  <c r="AF340" i="6" s="1"/>
  <c r="AX340" i="6" s="1"/>
  <c r="AR15" i="9"/>
  <c r="AR9" i="9"/>
  <c r="AN60" i="7"/>
  <c r="AN127" i="7" s="1"/>
  <c r="AN39" i="7"/>
  <c r="AN109" i="7" s="1"/>
  <c r="AE14" i="3"/>
  <c r="AB198" i="5"/>
  <c r="AB38" i="5"/>
  <c r="AR47" i="9"/>
  <c r="AR2" i="9"/>
  <c r="AR53" i="9"/>
  <c r="AN46" i="7"/>
  <c r="AN115" i="7" s="1"/>
  <c r="AN6" i="7"/>
  <c r="AN25" i="7"/>
  <c r="AN97" i="7" s="1"/>
  <c r="AB230" i="5"/>
  <c r="AB102" i="5"/>
  <c r="AN21" i="9"/>
  <c r="AN59" i="9"/>
  <c r="AN27" i="9"/>
  <c r="AJ31" i="7"/>
  <c r="AJ103" i="7" s="1"/>
  <c r="AJ53" i="7"/>
  <c r="AJ121" i="7" s="1"/>
  <c r="AN41" i="9"/>
  <c r="AN34" i="9"/>
  <c r="AJ78" i="7"/>
  <c r="AJ19" i="7"/>
  <c r="AJ91" i="7" s="1"/>
  <c r="AJ39" i="7"/>
  <c r="AJ109" i="7" s="1"/>
  <c r="AN15" i="9"/>
  <c r="AN9" i="9"/>
  <c r="AJ60" i="7"/>
  <c r="AJ127" i="7" s="1"/>
  <c r="AJ6" i="7"/>
  <c r="AJ25" i="7"/>
  <c r="AJ97" i="7" s="1"/>
  <c r="AJ59" i="9"/>
  <c r="AF78" i="7"/>
  <c r="AF19" i="7"/>
  <c r="AF91" i="7" s="1"/>
  <c r="AF13" i="7"/>
  <c r="AF85" i="7" s="1"/>
  <c r="AJ34" i="9"/>
  <c r="AF60" i="7"/>
  <c r="AF127" i="7" s="1"/>
  <c r="AF6" i="7"/>
  <c r="AF39" i="7"/>
  <c r="AF109" i="7" s="1"/>
  <c r="AJ47" i="9"/>
  <c r="AJ53" i="9"/>
  <c r="AF46" i="7"/>
  <c r="AF115" i="7" s="1"/>
  <c r="AF67" i="7"/>
  <c r="AF133" i="7" s="1"/>
  <c r="AF25" i="7"/>
  <c r="AF97" i="7" s="1"/>
  <c r="AF47" i="9"/>
  <c r="AF53" i="9"/>
  <c r="AB31" i="7"/>
  <c r="AB103" i="7" s="1"/>
  <c r="AB25" i="7"/>
  <c r="AB97" i="7" s="1"/>
  <c r="T760" i="6"/>
  <c r="AL760" i="6" s="1"/>
  <c r="T740" i="6"/>
  <c r="AL740" i="6" s="1"/>
  <c r="T720" i="6"/>
  <c r="AL720" i="6" s="1"/>
  <c r="T635" i="6"/>
  <c r="AL635" i="6" s="1"/>
  <c r="T665" i="6"/>
  <c r="AL665" i="6" s="1"/>
  <c r="T640" i="6"/>
  <c r="AL640" i="6" s="1"/>
  <c r="T555" i="6"/>
  <c r="AL555" i="6" s="1"/>
  <c r="T540" i="6"/>
  <c r="AL540" i="6" s="1"/>
  <c r="T715" i="6"/>
  <c r="AL715" i="6" s="1"/>
  <c r="T675" i="6"/>
  <c r="AL675" i="6" s="1"/>
  <c r="T430" i="6"/>
  <c r="AL430" i="6" s="1"/>
  <c r="T450" i="6"/>
  <c r="AL450" i="6" s="1"/>
  <c r="T580" i="6"/>
  <c r="AL580" i="6" s="1"/>
  <c r="T385" i="6"/>
  <c r="AL385" i="6" s="1"/>
  <c r="T605" i="6"/>
  <c r="AL605" i="6" s="1"/>
  <c r="T515" i="6"/>
  <c r="AL515" i="6" s="1"/>
  <c r="T395" i="6"/>
  <c r="AL395" i="6" s="1"/>
  <c r="T700" i="6"/>
  <c r="AL700" i="6" s="1"/>
  <c r="T500" i="6"/>
  <c r="AL500" i="6" s="1"/>
  <c r="T400" i="6"/>
  <c r="AL400" i="6" s="1"/>
  <c r="T570" i="6"/>
  <c r="AL570" i="6" s="1"/>
  <c r="T200" i="6"/>
  <c r="AL200" i="6" s="1"/>
  <c r="T185" i="6"/>
  <c r="AL185" i="6" s="1"/>
  <c r="T240" i="6"/>
  <c r="AL240" i="6" s="1"/>
  <c r="T140" i="6"/>
  <c r="AL140" i="6" s="1"/>
  <c r="AF41" i="9"/>
  <c r="AB78" i="7"/>
  <c r="AB19" i="7"/>
  <c r="AB91" i="7" s="1"/>
  <c r="AB13" i="7"/>
  <c r="AB85" i="7" s="1"/>
  <c r="AF59" i="9"/>
  <c r="AB60" i="7"/>
  <c r="AB127" i="7" s="1"/>
  <c r="AB67" i="7"/>
  <c r="AB133" i="7" s="1"/>
  <c r="AB39" i="7"/>
  <c r="AB109" i="7" s="1"/>
  <c r="T750" i="6"/>
  <c r="AL750" i="6" s="1"/>
  <c r="T730" i="6"/>
  <c r="AL730" i="6" s="1"/>
  <c r="T285" i="6"/>
  <c r="AL285" i="6" s="1"/>
  <c r="T560" i="6"/>
  <c r="AL560" i="6" s="1"/>
  <c r="T650" i="6"/>
  <c r="AL650" i="6" s="1"/>
  <c r="T620" i="6"/>
  <c r="AL620" i="6" s="1"/>
  <c r="T550" i="6"/>
  <c r="AL550" i="6" s="1"/>
  <c r="T525" i="6"/>
  <c r="AL525" i="6" s="1"/>
  <c r="T695" i="6"/>
  <c r="AL695" i="6" s="1"/>
  <c r="T470" i="6"/>
  <c r="AL470" i="6" s="1"/>
  <c r="T410" i="6"/>
  <c r="AL410" i="6" s="1"/>
  <c r="T300" i="6"/>
  <c r="AL300" i="6" s="1"/>
  <c r="T610" i="6"/>
  <c r="AL610" i="6" s="1"/>
  <c r="T485" i="6"/>
  <c r="AL485" i="6" s="1"/>
  <c r="T295" i="6"/>
  <c r="AL295" i="6" s="1"/>
  <c r="T585" i="6"/>
  <c r="AL585" i="6" s="1"/>
  <c r="T475" i="6"/>
  <c r="AL475" i="6" s="1"/>
  <c r="T305" i="6"/>
  <c r="AL305" i="6" s="1"/>
  <c r="T680" i="6"/>
  <c r="AL680" i="6" s="1"/>
  <c r="T415" i="6"/>
  <c r="AL415" i="6" s="1"/>
  <c r="T335" i="6"/>
  <c r="AL335" i="6" s="1"/>
  <c r="T455" i="6"/>
  <c r="AL455" i="6" s="1"/>
  <c r="T190" i="6"/>
  <c r="AL190" i="6" s="1"/>
  <c r="T255" i="6"/>
  <c r="AL255" i="6" s="1"/>
  <c r="T145" i="6"/>
  <c r="AL145" i="6" s="1"/>
  <c r="T95" i="6"/>
  <c r="AL95" i="6" s="1"/>
  <c r="M37" i="2"/>
  <c r="M28" i="2"/>
  <c r="J31" i="7"/>
  <c r="P32" i="7"/>
  <c r="AN20" i="7"/>
  <c r="AN92" i="7" s="1"/>
  <c r="E39" i="2"/>
  <c r="F60" i="5"/>
  <c r="F64" i="5"/>
  <c r="F58" i="5"/>
  <c r="F45" i="5"/>
  <c r="H39" i="5"/>
  <c r="F71" i="5" s="1"/>
  <c r="F57" i="5"/>
  <c r="F49" i="5"/>
  <c r="F54" i="5"/>
  <c r="F56" i="5"/>
  <c r="F52" i="5"/>
  <c r="F65" i="5"/>
  <c r="F59" i="5"/>
  <c r="F50" i="5"/>
  <c r="F61" i="5"/>
  <c r="F63" i="5"/>
  <c r="F43" i="5"/>
  <c r="AA61" i="7"/>
  <c r="AA128" i="7" s="1"/>
  <c r="S351" i="6"/>
  <c r="AK351" i="6" s="1"/>
  <c r="S376" i="6"/>
  <c r="AK376" i="6" s="1"/>
  <c r="S631" i="6"/>
  <c r="AK631" i="6" s="1"/>
  <c r="S276" i="6"/>
  <c r="AK276" i="6" s="1"/>
  <c r="W615" i="6"/>
  <c r="AO615" i="6" s="1"/>
  <c r="W420" i="6"/>
  <c r="AO420" i="6" s="1"/>
  <c r="W530" i="6"/>
  <c r="AO530" i="6" s="1"/>
  <c r="W535" i="6"/>
  <c r="AO535" i="6" s="1"/>
  <c r="AI59" i="9"/>
  <c r="W25" i="6"/>
  <c r="AO25" i="6" s="1"/>
  <c r="F48" i="5"/>
  <c r="C28" i="6"/>
  <c r="D27" i="6" s="1"/>
  <c r="D44" i="6"/>
  <c r="C96" i="6"/>
  <c r="D95" i="6" s="1"/>
  <c r="D265" i="6"/>
  <c r="D31" i="7"/>
  <c r="L32" i="7"/>
  <c r="L31" i="7"/>
  <c r="F31" i="7"/>
  <c r="H31" i="7"/>
  <c r="P31" i="7"/>
  <c r="R31" i="7"/>
  <c r="J32" i="7"/>
  <c r="N32" i="7"/>
  <c r="T32" i="7"/>
  <c r="D29" i="7"/>
  <c r="F51" i="5"/>
  <c r="F53" i="5"/>
  <c r="K42" i="3"/>
  <c r="K48" i="3" s="1"/>
  <c r="E42" i="3"/>
  <c r="H29" i="7" s="1"/>
  <c r="F42" i="3"/>
  <c r="F48" i="3" s="1"/>
  <c r="D42" i="3"/>
  <c r="D48" i="3" s="1"/>
  <c r="J42" i="3"/>
  <c r="J48" i="3" s="1"/>
  <c r="G42" i="3"/>
  <c r="L29" i="7" s="1"/>
  <c r="I42" i="3"/>
  <c r="P29" i="7" s="1"/>
  <c r="H42" i="3"/>
  <c r="H48" i="3" s="1"/>
  <c r="S135" i="5"/>
  <c r="W516" i="6"/>
  <c r="AO516" i="6" s="1"/>
  <c r="W201" i="6"/>
  <c r="AO201" i="6" s="1"/>
  <c r="O134" i="5"/>
  <c r="S580" i="6"/>
  <c r="AK580" i="6" s="1"/>
  <c r="S560" i="6"/>
  <c r="AK560" i="6" s="1"/>
  <c r="S320" i="6"/>
  <c r="AK320" i="6" s="1"/>
  <c r="S355" i="6"/>
  <c r="AK355" i="6" s="1"/>
  <c r="S260" i="6"/>
  <c r="AK260" i="6" s="1"/>
  <c r="B31" i="7"/>
  <c r="B32" i="7"/>
  <c r="T31" i="7"/>
  <c r="S20" i="6"/>
  <c r="AK20" i="6" s="1"/>
  <c r="AI25" i="7"/>
  <c r="AI97" i="7" s="1"/>
  <c r="W256" i="6"/>
  <c r="AO256" i="6" s="1"/>
  <c r="F46" i="5"/>
  <c r="D96" i="6"/>
  <c r="F32" i="7"/>
  <c r="D32" i="7"/>
  <c r="S280" i="6"/>
  <c r="AK280" i="6" s="1"/>
  <c r="W215" i="6"/>
  <c r="AO215" i="6" s="1"/>
  <c r="W576" i="6"/>
  <c r="AO576" i="6" s="1"/>
  <c r="F42" i="5"/>
  <c r="F47" i="5"/>
  <c r="F62" i="5"/>
  <c r="F44" i="5"/>
  <c r="C130" i="6"/>
  <c r="D129" i="6" s="1"/>
  <c r="Q576" i="6"/>
  <c r="AI576" i="6" s="1"/>
  <c r="Q121" i="6"/>
  <c r="Q122" i="6" s="1"/>
  <c r="AI123" i="6" s="1"/>
  <c r="V526" i="6"/>
  <c r="AN526" i="6" s="1"/>
  <c r="V96" i="6"/>
  <c r="AN96" i="6" s="1"/>
  <c r="R480" i="6"/>
  <c r="AJ480" i="6" s="1"/>
  <c r="R25" i="6"/>
  <c r="AJ25" i="6" s="1"/>
  <c r="B52" i="5"/>
  <c r="A42" i="5"/>
  <c r="D55" i="5"/>
  <c r="C59" i="5"/>
  <c r="C47" i="5"/>
  <c r="D47" i="5"/>
  <c r="D43" i="5"/>
  <c r="C85" i="5"/>
  <c r="C46" i="5"/>
  <c r="C57" i="5"/>
  <c r="B66" i="5"/>
  <c r="D66" i="5"/>
  <c r="D62" i="5"/>
  <c r="C58" i="5"/>
  <c r="B95" i="5"/>
  <c r="C119" i="5"/>
  <c r="C180" i="5"/>
  <c r="C77" i="5"/>
  <c r="C181" i="6"/>
  <c r="D180" i="6" s="1"/>
  <c r="C10" i="6"/>
  <c r="BM3" i="6"/>
  <c r="C56" i="5"/>
  <c r="AF644" i="6"/>
  <c r="AL5" i="9"/>
  <c r="AH12" i="9"/>
  <c r="D41" i="2"/>
  <c r="AG239" i="6"/>
  <c r="AA274" i="6"/>
  <c r="AC314" i="6"/>
  <c r="G41" i="2"/>
  <c r="AQ24" i="9"/>
  <c r="AE37" i="9"/>
  <c r="AK44" i="9"/>
  <c r="AP37" i="9"/>
  <c r="AI62" i="9"/>
  <c r="AI56" i="9"/>
  <c r="AD269" i="6"/>
  <c r="AD79" i="6"/>
  <c r="AM20" i="7"/>
  <c r="AM92" i="7" s="1"/>
  <c r="AQ54" i="9"/>
  <c r="AQ48" i="9"/>
  <c r="AM7" i="7"/>
  <c r="AM25" i="7"/>
  <c r="AM97" i="7" s="1"/>
  <c r="AQ53" i="9"/>
  <c r="AE5" i="6"/>
  <c r="AE375" i="6" s="1"/>
  <c r="AW375" i="6" s="1"/>
  <c r="AM60" i="7"/>
  <c r="AM127" i="7" s="1"/>
  <c r="AA2" i="5"/>
  <c r="AQ27" i="9"/>
  <c r="O166" i="5"/>
  <c r="O198" i="5"/>
  <c r="S510" i="6"/>
  <c r="AK510" i="6" s="1"/>
  <c r="S205" i="6"/>
  <c r="AK205" i="6" s="1"/>
  <c r="S395" i="6"/>
  <c r="AK395" i="6" s="1"/>
  <c r="AE9" i="9"/>
  <c r="S520" i="6"/>
  <c r="AK520" i="6" s="1"/>
  <c r="S445" i="6"/>
  <c r="AK445" i="6" s="1"/>
  <c r="S145" i="6"/>
  <c r="AK145" i="6" s="1"/>
  <c r="S265" i="6"/>
  <c r="AK265" i="6" s="1"/>
  <c r="S125" i="6"/>
  <c r="AK125" i="6" s="1"/>
  <c r="S175" i="6"/>
  <c r="AK175" i="6" s="1"/>
  <c r="S565" i="6"/>
  <c r="AK565" i="6" s="1"/>
  <c r="S370" i="6"/>
  <c r="AK370" i="6" s="1"/>
  <c r="S550" i="6"/>
  <c r="AK550" i="6" s="1"/>
  <c r="S635" i="6"/>
  <c r="AK635" i="6" s="1"/>
  <c r="W125" i="6"/>
  <c r="AO125" i="6" s="1"/>
  <c r="W640" i="6"/>
  <c r="AO640" i="6" s="1"/>
  <c r="W505" i="6"/>
  <c r="AO505" i="6" s="1"/>
  <c r="S316" i="6"/>
  <c r="AK316" i="6" s="1"/>
  <c r="S566" i="6"/>
  <c r="AK566" i="6" s="1"/>
  <c r="AI42" i="9"/>
  <c r="S75" i="6"/>
  <c r="AK75" i="6" s="1"/>
  <c r="S365" i="6"/>
  <c r="AK365" i="6" s="1"/>
  <c r="S255" i="6"/>
  <c r="AK255" i="6" s="1"/>
  <c r="S100" i="6"/>
  <c r="AK100" i="6" s="1"/>
  <c r="AA53" i="7"/>
  <c r="AA121" i="7" s="1"/>
  <c r="S570" i="6"/>
  <c r="AK570" i="6" s="1"/>
  <c r="S405" i="6"/>
  <c r="AK405" i="6" s="1"/>
  <c r="AE34" i="9"/>
  <c r="W170" i="6"/>
  <c r="AO170" i="6" s="1"/>
  <c r="W225" i="6"/>
  <c r="AO225" i="6" s="1"/>
  <c r="W45" i="6"/>
  <c r="AO45" i="6" s="1"/>
  <c r="W525" i="6"/>
  <c r="AO525" i="6" s="1"/>
  <c r="W730" i="6"/>
  <c r="AO730" i="6" s="1"/>
  <c r="W95" i="6"/>
  <c r="AO95" i="6" s="1"/>
  <c r="W290" i="6"/>
  <c r="AO290" i="6" s="1"/>
  <c r="AM19" i="7"/>
  <c r="AM91" i="7" s="1"/>
  <c r="S31" i="6"/>
  <c r="AK31" i="6" s="1"/>
  <c r="S36" i="6"/>
  <c r="AK36" i="6" s="1"/>
  <c r="AE60" i="9"/>
  <c r="S301" i="6"/>
  <c r="AK301" i="6" s="1"/>
  <c r="W11" i="6"/>
  <c r="AO11" i="6" s="1"/>
  <c r="W301" i="6"/>
  <c r="AO301" i="6" s="1"/>
  <c r="W651" i="6"/>
  <c r="AO651" i="6" s="1"/>
  <c r="W141" i="6"/>
  <c r="AO141" i="6" s="1"/>
  <c r="W696" i="6"/>
  <c r="AO696" i="6" s="1"/>
  <c r="AM60" i="9"/>
  <c r="AE6" i="6"/>
  <c r="AE576" i="6" s="1"/>
  <c r="AW576" i="6" s="1"/>
  <c r="S167" i="5"/>
  <c r="S231" i="5"/>
  <c r="AI3" i="9"/>
  <c r="W431" i="6"/>
  <c r="AO431" i="6" s="1"/>
  <c r="W421" i="6"/>
  <c r="AO421" i="6" s="1"/>
  <c r="W146" i="6"/>
  <c r="AO146" i="6" s="1"/>
  <c r="W471" i="6"/>
  <c r="AO471" i="6" s="1"/>
  <c r="W486" i="6"/>
  <c r="AO486" i="6" s="1"/>
  <c r="W736" i="6"/>
  <c r="AO736" i="6" s="1"/>
  <c r="W216" i="6"/>
  <c r="AO216" i="6" s="1"/>
  <c r="W636" i="6"/>
  <c r="AO636" i="6" s="1"/>
  <c r="W746" i="6"/>
  <c r="AO746" i="6" s="1"/>
  <c r="W631" i="6"/>
  <c r="AO631" i="6" s="1"/>
  <c r="W641" i="6"/>
  <c r="AO641" i="6" s="1"/>
  <c r="W281" i="6"/>
  <c r="AO281" i="6" s="1"/>
  <c r="W116" i="6"/>
  <c r="AO116" i="6" s="1"/>
  <c r="W6" i="6"/>
  <c r="AO6" i="6" s="1"/>
  <c r="AA54" i="7"/>
  <c r="AA122" i="7" s="1"/>
  <c r="S596" i="6"/>
  <c r="AK596" i="6" s="1"/>
  <c r="S641" i="6"/>
  <c r="AK641" i="6" s="1"/>
  <c r="S336" i="6"/>
  <c r="AK336" i="6" s="1"/>
  <c r="S496" i="6"/>
  <c r="AK496" i="6" s="1"/>
  <c r="S191" i="6"/>
  <c r="AK191" i="6" s="1"/>
  <c r="S86" i="6"/>
  <c r="AK86" i="6" s="1"/>
  <c r="S321" i="6"/>
  <c r="AK321" i="6" s="1"/>
  <c r="S81" i="6"/>
  <c r="AK81" i="6" s="1"/>
  <c r="S216" i="6"/>
  <c r="AK216" i="6" s="1"/>
  <c r="S426" i="6"/>
  <c r="AK426" i="6" s="1"/>
  <c r="S521" i="6"/>
  <c r="AK521" i="6" s="1"/>
  <c r="S676" i="6"/>
  <c r="AK676" i="6" s="1"/>
  <c r="S156" i="6"/>
  <c r="AK156" i="6" s="1"/>
  <c r="S201" i="6"/>
  <c r="AK201" i="6" s="1"/>
  <c r="S221" i="6"/>
  <c r="AK221" i="6" s="1"/>
  <c r="S421" i="6"/>
  <c r="AK421" i="6" s="1"/>
  <c r="AI19" i="7"/>
  <c r="AI91" i="7" s="1"/>
  <c r="W102" i="5"/>
  <c r="AM21" i="9"/>
  <c r="W605" i="6"/>
  <c r="AO605" i="6" s="1"/>
  <c r="W735" i="6"/>
  <c r="AO735" i="6" s="1"/>
  <c r="W700" i="6"/>
  <c r="AO700" i="6" s="1"/>
  <c r="W205" i="6"/>
  <c r="AO205" i="6" s="1"/>
  <c r="W600" i="6"/>
  <c r="AO600" i="6" s="1"/>
  <c r="W305" i="6"/>
  <c r="AO305" i="6" s="1"/>
  <c r="W195" i="6"/>
  <c r="AO195" i="6" s="1"/>
  <c r="W490" i="6"/>
  <c r="AO490" i="6" s="1"/>
  <c r="W430" i="6"/>
  <c r="AO430" i="6" s="1"/>
  <c r="W385" i="6"/>
  <c r="AO385" i="6" s="1"/>
  <c r="W85" i="6"/>
  <c r="AO85" i="6" s="1"/>
  <c r="W365" i="6"/>
  <c r="AO365" i="6" s="1"/>
  <c r="W370" i="6"/>
  <c r="AO370" i="6" s="1"/>
  <c r="W15" i="6"/>
  <c r="AO15" i="6" s="1"/>
  <c r="W310" i="6"/>
  <c r="AO310" i="6" s="1"/>
  <c r="S215" i="6"/>
  <c r="AK215" i="6" s="1"/>
  <c r="S690" i="6"/>
  <c r="AK690" i="6" s="1"/>
  <c r="S605" i="6"/>
  <c r="AK605" i="6" s="1"/>
  <c r="S40" i="6"/>
  <c r="AK40" i="6" s="1"/>
  <c r="S740" i="6"/>
  <c r="AK740" i="6" s="1"/>
  <c r="S620" i="6"/>
  <c r="AK620" i="6" s="1"/>
  <c r="AA60" i="7"/>
  <c r="AA127" i="7" s="1"/>
  <c r="W5" i="6"/>
  <c r="AO5" i="6" s="1"/>
  <c r="AI15" i="9"/>
  <c r="W335" i="6"/>
  <c r="AO335" i="6" s="1"/>
  <c r="W50" i="6"/>
  <c r="AO50" i="6" s="1"/>
  <c r="W555" i="6"/>
  <c r="AO555" i="6" s="1"/>
  <c r="AM2" i="9"/>
  <c r="AA70" i="5"/>
  <c r="S211" i="6"/>
  <c r="AK211" i="6" s="1"/>
  <c r="S591" i="6"/>
  <c r="AK591" i="6" s="1"/>
  <c r="S686" i="6"/>
  <c r="AK686" i="6" s="1"/>
  <c r="AA32" i="7"/>
  <c r="AA104" i="7" s="1"/>
  <c r="W361" i="6"/>
  <c r="AO361" i="6" s="1"/>
  <c r="W561" i="6"/>
  <c r="AO561" i="6" s="1"/>
  <c r="W401" i="6"/>
  <c r="AO401" i="6" s="1"/>
  <c r="W686" i="6"/>
  <c r="AO686" i="6" s="1"/>
  <c r="AM26" i="7"/>
  <c r="AM98" i="7" s="1"/>
  <c r="W230" i="5"/>
  <c r="S730" i="6"/>
  <c r="AK730" i="6" s="1"/>
  <c r="S10" i="6"/>
  <c r="AK10" i="6" s="1"/>
  <c r="S15" i="6"/>
  <c r="AK15" i="6" s="1"/>
  <c r="S430" i="6"/>
  <c r="AK430" i="6" s="1"/>
  <c r="S300" i="6"/>
  <c r="AK300" i="6" s="1"/>
  <c r="S290" i="6"/>
  <c r="AK290" i="6" s="1"/>
  <c r="S595" i="6"/>
  <c r="AK595" i="6" s="1"/>
  <c r="S755" i="6"/>
  <c r="AK755" i="6" s="1"/>
  <c r="W280" i="6"/>
  <c r="AO280" i="6" s="1"/>
  <c r="W270" i="6"/>
  <c r="AO270" i="6" s="1"/>
  <c r="W210" i="6"/>
  <c r="AO210" i="6" s="1"/>
  <c r="W190" i="6"/>
  <c r="AO190" i="6" s="1"/>
  <c r="W690" i="6"/>
  <c r="AO690" i="6" s="1"/>
  <c r="W480" i="6"/>
  <c r="AO480" i="6" s="1"/>
  <c r="W300" i="6"/>
  <c r="AO300" i="6" s="1"/>
  <c r="W355" i="6"/>
  <c r="AO355" i="6" s="1"/>
  <c r="AI39" i="7"/>
  <c r="AI109" i="7" s="1"/>
  <c r="AA294" i="5"/>
  <c r="S271" i="6"/>
  <c r="AK271" i="6" s="1"/>
  <c r="S326" i="6"/>
  <c r="AK326" i="6" s="1"/>
  <c r="AE28" i="9"/>
  <c r="S491" i="6"/>
  <c r="AK491" i="6" s="1"/>
  <c r="S411" i="6"/>
  <c r="AK411" i="6" s="1"/>
  <c r="S341" i="6"/>
  <c r="AK341" i="6" s="1"/>
  <c r="W276" i="6"/>
  <c r="AO276" i="6" s="1"/>
  <c r="W376" i="6"/>
  <c r="AO376" i="6" s="1"/>
  <c r="V15" i="3"/>
  <c r="W491" i="6"/>
  <c r="AO491" i="6" s="1"/>
  <c r="W406" i="6"/>
  <c r="AO406" i="6" s="1"/>
  <c r="AM48" i="9"/>
  <c r="Y199" i="5"/>
  <c r="Y71" i="5"/>
  <c r="AC262" i="5"/>
  <c r="AC166" i="5"/>
  <c r="Y295" i="5"/>
  <c r="Y70" i="5"/>
  <c r="AB14" i="3"/>
  <c r="AK25" i="7"/>
  <c r="AK97" i="7" s="1"/>
  <c r="AK31" i="7"/>
  <c r="AK103" i="7" s="1"/>
  <c r="AO6" i="7"/>
  <c r="AO78" i="7"/>
  <c r="AK7" i="7"/>
  <c r="AO16" i="9"/>
  <c r="AO61" i="7"/>
  <c r="AO128" i="7" s="1"/>
  <c r="AO54" i="7"/>
  <c r="AO122" i="7" s="1"/>
  <c r="AS3" i="9"/>
  <c r="AI18" i="9"/>
  <c r="AI12" i="9"/>
  <c r="M39" i="2"/>
  <c r="AI50" i="9"/>
  <c r="AI30" i="9"/>
  <c r="AI5" i="9"/>
  <c r="AI24" i="9"/>
  <c r="AI37" i="9"/>
  <c r="R198" i="5"/>
  <c r="V71" i="5"/>
  <c r="Z121" i="6"/>
  <c r="AR121" i="6" s="1"/>
  <c r="V131" i="6"/>
  <c r="AN131" i="6" s="1"/>
  <c r="Z370" i="6"/>
  <c r="AR370" i="6" s="1"/>
  <c r="R330" i="6"/>
  <c r="AJ330" i="6" s="1"/>
  <c r="Q381" i="6"/>
  <c r="AI381" i="6" s="1"/>
  <c r="R61" i="6"/>
  <c r="AJ61" i="6" s="1"/>
  <c r="V80" i="6"/>
  <c r="AN80" i="6" s="1"/>
  <c r="AD6" i="7"/>
  <c r="V256" i="6"/>
  <c r="AN256" i="6" s="1"/>
  <c r="Z305" i="6"/>
  <c r="AR305" i="6" s="1"/>
  <c r="R555" i="6"/>
  <c r="AJ555" i="6" s="1"/>
  <c r="R191" i="6"/>
  <c r="AJ191" i="6" s="1"/>
  <c r="V2" i="5"/>
  <c r="V103" i="5"/>
  <c r="Q722" i="6"/>
  <c r="Z226" i="6"/>
  <c r="AR226" i="6" s="1"/>
  <c r="V231" i="6"/>
  <c r="AN231" i="6" s="1"/>
  <c r="Z360" i="6"/>
  <c r="AR360" i="6" s="1"/>
  <c r="R370" i="6"/>
  <c r="AJ370" i="6" s="1"/>
  <c r="Q376" i="6"/>
  <c r="AI376" i="6" s="1"/>
  <c r="R131" i="6"/>
  <c r="AJ131" i="6" s="1"/>
  <c r="V215" i="6"/>
  <c r="AN215" i="6" s="1"/>
  <c r="AD27" i="9"/>
  <c r="V401" i="6"/>
  <c r="AN401" i="6" s="1"/>
  <c r="Z665" i="6"/>
  <c r="AR665" i="6" s="1"/>
  <c r="R710" i="6"/>
  <c r="AJ710" i="6" s="1"/>
  <c r="Z151" i="6"/>
  <c r="AR151" i="6" s="1"/>
  <c r="R491" i="6"/>
  <c r="AJ491" i="6" s="1"/>
  <c r="N2" i="5"/>
  <c r="N263" i="5"/>
  <c r="Z326" i="6"/>
  <c r="AR326" i="6" s="1"/>
  <c r="V361" i="6"/>
  <c r="AN361" i="6" s="1"/>
  <c r="Z310" i="6"/>
  <c r="AR310" i="6" s="1"/>
  <c r="R320" i="6"/>
  <c r="AJ320" i="6" s="1"/>
  <c r="Q371" i="6"/>
  <c r="AI371" i="6" s="1"/>
  <c r="R231" i="6"/>
  <c r="AJ231" i="6" s="1"/>
  <c r="V165" i="6"/>
  <c r="AN165" i="6" s="1"/>
  <c r="V701" i="6"/>
  <c r="AN701" i="6" s="1"/>
  <c r="R85" i="6"/>
  <c r="AJ85" i="6" s="1"/>
  <c r="Q436" i="6"/>
  <c r="AI436" i="6" s="1"/>
  <c r="Z516" i="6"/>
  <c r="AR516" i="6" s="1"/>
  <c r="V95" i="6"/>
  <c r="AN95" i="6" s="1"/>
  <c r="AD34" i="9"/>
  <c r="AD30" i="9"/>
  <c r="AC18" i="9"/>
  <c r="AC50" i="9"/>
  <c r="AP18" i="9"/>
  <c r="AD229" i="6"/>
  <c r="AD484" i="6"/>
  <c r="AD589" i="6"/>
  <c r="AD18" i="9"/>
  <c r="AC12" i="9"/>
  <c r="AC62" i="9"/>
  <c r="AC30" i="9"/>
  <c r="H39" i="2"/>
  <c r="AD129" i="6"/>
  <c r="AD219" i="6"/>
  <c r="AD279" i="6"/>
  <c r="AC639" i="6"/>
  <c r="AD644" i="6"/>
  <c r="AD44" i="9"/>
  <c r="AC5" i="9"/>
  <c r="AC56" i="9"/>
  <c r="AC37" i="9"/>
  <c r="AD419" i="6"/>
  <c r="AD214" i="6"/>
  <c r="AD274" i="6"/>
  <c r="AD534" i="6"/>
  <c r="AD579" i="6"/>
  <c r="AC384" i="6"/>
  <c r="AP3" i="9"/>
  <c r="AP16" i="9"/>
  <c r="AL68" i="7"/>
  <c r="AL134" i="7" s="1"/>
  <c r="AL26" i="7"/>
  <c r="AL98" i="7" s="1"/>
  <c r="AL47" i="7"/>
  <c r="AL116" i="7" s="1"/>
  <c r="AL7" i="7"/>
  <c r="Z3" i="5"/>
  <c r="Z231" i="5"/>
  <c r="Z39" i="5"/>
  <c r="Z295" i="5"/>
  <c r="AD6" i="6"/>
  <c r="AD611" i="6" s="1"/>
  <c r="AV611" i="6" s="1"/>
  <c r="AP48" i="9"/>
  <c r="AP42" i="9"/>
  <c r="AL54" i="7"/>
  <c r="AL122" i="7" s="1"/>
  <c r="AL14" i="7"/>
  <c r="AL86" i="7" s="1"/>
  <c r="AL32" i="7"/>
  <c r="AL104" i="7" s="1"/>
  <c r="AC15" i="3"/>
  <c r="Z135" i="5"/>
  <c r="Z199" i="5"/>
  <c r="AP28" i="9"/>
  <c r="AP35" i="9"/>
  <c r="AL61" i="7"/>
  <c r="AL128" i="7" s="1"/>
  <c r="Z103" i="5"/>
  <c r="AP22" i="9"/>
  <c r="AL20" i="7"/>
  <c r="AL92" i="7" s="1"/>
  <c r="Z71" i="5"/>
  <c r="AL40" i="7"/>
  <c r="AL110" i="7" s="1"/>
  <c r="Z263" i="5"/>
  <c r="AP54" i="9"/>
  <c r="AL79" i="7"/>
  <c r="Z167" i="5"/>
  <c r="AP60" i="9"/>
  <c r="AP34" i="9"/>
  <c r="AP47" i="9"/>
  <c r="AP2" i="9"/>
  <c r="AL39" i="7"/>
  <c r="AL109" i="7" s="1"/>
  <c r="AL60" i="7"/>
  <c r="AL127" i="7" s="1"/>
  <c r="AL6" i="7"/>
  <c r="AP9" i="9"/>
  <c r="AP21" i="9"/>
  <c r="AL67" i="7"/>
  <c r="AL133" i="7" s="1"/>
  <c r="AL25" i="7"/>
  <c r="AL97" i="7" s="1"/>
  <c r="AL46" i="7"/>
  <c r="AL115" i="7" s="1"/>
  <c r="Z294" i="5"/>
  <c r="Z2" i="5"/>
  <c r="Z70" i="5"/>
  <c r="Z134" i="5"/>
  <c r="Z198" i="5"/>
  <c r="Z262" i="5"/>
  <c r="AP53" i="9"/>
  <c r="AL53" i="7"/>
  <c r="AL121" i="7" s="1"/>
  <c r="AL31" i="7"/>
  <c r="AL103" i="7" s="1"/>
  <c r="AC14" i="3"/>
  <c r="Z230" i="5"/>
  <c r="AP27" i="9"/>
  <c r="AL19" i="7"/>
  <c r="AL91" i="7" s="1"/>
  <c r="Z166" i="5"/>
  <c r="AP41" i="9"/>
  <c r="AP15" i="9"/>
  <c r="Z102" i="5"/>
  <c r="AD5" i="6"/>
  <c r="AP59" i="9"/>
  <c r="Z38" i="5"/>
  <c r="AL78" i="7"/>
  <c r="O28" i="2"/>
  <c r="O37" i="2"/>
  <c r="M103" i="5"/>
  <c r="N38" i="5"/>
  <c r="N231" i="5"/>
  <c r="Z61" i="6"/>
  <c r="AR61" i="6" s="1"/>
  <c r="Z371" i="6"/>
  <c r="AR371" i="6" s="1"/>
  <c r="V176" i="6"/>
  <c r="AN176" i="6" s="1"/>
  <c r="V381" i="6"/>
  <c r="AN381" i="6" s="1"/>
  <c r="Z20" i="6"/>
  <c r="AR20" i="6" s="1"/>
  <c r="R75" i="6"/>
  <c r="AJ75" i="6" s="1"/>
  <c r="Q111" i="6"/>
  <c r="R361" i="6"/>
  <c r="AJ361" i="6" s="1"/>
  <c r="V230" i="6"/>
  <c r="AN230" i="6" s="1"/>
  <c r="AH21" i="9"/>
  <c r="V346" i="6"/>
  <c r="AN346" i="6" s="1"/>
  <c r="Z440" i="6"/>
  <c r="AR440" i="6" s="1"/>
  <c r="R155" i="6"/>
  <c r="AJ155" i="6" s="1"/>
  <c r="Q676" i="6"/>
  <c r="Z291" i="6"/>
  <c r="AR291" i="6" s="1"/>
  <c r="V240" i="6"/>
  <c r="AN240" i="6" s="1"/>
  <c r="AL13" i="7"/>
  <c r="AL85" i="7" s="1"/>
  <c r="M199" i="5"/>
  <c r="N102" i="5"/>
  <c r="R102" i="5"/>
  <c r="V102" i="5"/>
  <c r="V294" i="5"/>
  <c r="N103" i="5"/>
  <c r="R295" i="5"/>
  <c r="V135" i="5"/>
  <c r="Q15" i="3"/>
  <c r="Z71" i="6"/>
  <c r="AR71" i="6" s="1"/>
  <c r="Z171" i="6"/>
  <c r="AR171" i="6" s="1"/>
  <c r="Z276" i="6"/>
  <c r="AR276" i="6" s="1"/>
  <c r="Z381" i="6"/>
  <c r="AR381" i="6" s="1"/>
  <c r="V76" i="6"/>
  <c r="AN76" i="6" s="1"/>
  <c r="V181" i="6"/>
  <c r="AN181" i="6" s="1"/>
  <c r="V311" i="6"/>
  <c r="AN311" i="6" s="1"/>
  <c r="Z30" i="6"/>
  <c r="AR30" i="6" s="1"/>
  <c r="Z235" i="6"/>
  <c r="AR235" i="6" s="1"/>
  <c r="Z160" i="6"/>
  <c r="AR160" i="6" s="1"/>
  <c r="Z65" i="6"/>
  <c r="AR65" i="6" s="1"/>
  <c r="R160" i="6"/>
  <c r="AJ160" i="6" s="1"/>
  <c r="R315" i="6"/>
  <c r="AJ315" i="6" s="1"/>
  <c r="R125" i="6"/>
  <c r="AJ125" i="6" s="1"/>
  <c r="R120" i="6"/>
  <c r="AJ120" i="6" s="1"/>
  <c r="Q231" i="6"/>
  <c r="AI231" i="6" s="1"/>
  <c r="Q226" i="6"/>
  <c r="AI226" i="6" s="1"/>
  <c r="Q131" i="6"/>
  <c r="AI131" i="6" s="1"/>
  <c r="Q171" i="6"/>
  <c r="R11" i="6"/>
  <c r="AJ11" i="6" s="1"/>
  <c r="R111" i="6"/>
  <c r="AJ111" i="6" s="1"/>
  <c r="R176" i="6"/>
  <c r="AJ176" i="6" s="1"/>
  <c r="R281" i="6"/>
  <c r="AJ281" i="6" s="1"/>
  <c r="R381" i="6"/>
  <c r="AJ381" i="6" s="1"/>
  <c r="V110" i="6"/>
  <c r="AN110" i="6" s="1"/>
  <c r="V370" i="6"/>
  <c r="AN370" i="6" s="1"/>
  <c r="V5" i="6"/>
  <c r="AN5" i="6" s="1"/>
  <c r="V360" i="6"/>
  <c r="AN360" i="6" s="1"/>
  <c r="Z6" i="7"/>
  <c r="V146" i="6"/>
  <c r="AN146" i="6" s="1"/>
  <c r="V606" i="6"/>
  <c r="AN606" i="6" s="1"/>
  <c r="V411" i="6"/>
  <c r="AN411" i="6" s="1"/>
  <c r="Z100" i="6"/>
  <c r="AR100" i="6" s="1"/>
  <c r="Z530" i="6"/>
  <c r="AR530" i="6" s="1"/>
  <c r="Z390" i="6"/>
  <c r="AR390" i="6" s="1"/>
  <c r="R250" i="6"/>
  <c r="AJ250" i="6" s="1"/>
  <c r="Q191" i="6"/>
  <c r="AI191" i="6" s="1"/>
  <c r="Q626" i="6"/>
  <c r="Z571" i="6"/>
  <c r="AR571" i="6" s="1"/>
  <c r="Z471" i="6"/>
  <c r="AR471" i="6" s="1"/>
  <c r="R341" i="6"/>
  <c r="AJ341" i="6" s="1"/>
  <c r="V565" i="6"/>
  <c r="AN565" i="6" s="1"/>
  <c r="AC54" i="9"/>
  <c r="AC28" i="9"/>
  <c r="Y54" i="7"/>
  <c r="Y122" i="7" s="1"/>
  <c r="Y14" i="7"/>
  <c r="Y86" i="7" s="1"/>
  <c r="Y32" i="7"/>
  <c r="Y104" i="7" s="1"/>
  <c r="AC60" i="9"/>
  <c r="AC48" i="9"/>
  <c r="AC22" i="9"/>
  <c r="Y40" i="7"/>
  <c r="Y110" i="7" s="1"/>
  <c r="Y79" i="7"/>
  <c r="Y20" i="7"/>
  <c r="Y92" i="7" s="1"/>
  <c r="AC42" i="9"/>
  <c r="AC3" i="9"/>
  <c r="Y26" i="7"/>
  <c r="Y98" i="7" s="1"/>
  <c r="AC10" i="9"/>
  <c r="Y47" i="7"/>
  <c r="Y116" i="7" s="1"/>
  <c r="AC16" i="9"/>
  <c r="Q601" i="6"/>
  <c r="AI601" i="6" s="1"/>
  <c r="Q581" i="6"/>
  <c r="AI581" i="6" s="1"/>
  <c r="Q496" i="6"/>
  <c r="AI496" i="6" s="1"/>
  <c r="Q476" i="6"/>
  <c r="Q446" i="6"/>
  <c r="AI446" i="6" s="1"/>
  <c r="Q746" i="6"/>
  <c r="AI746" i="6" s="1"/>
  <c r="Q761" i="6"/>
  <c r="AI761" i="6" s="1"/>
  <c r="Q726" i="6"/>
  <c r="Q306" i="6"/>
  <c r="AI306" i="6" s="1"/>
  <c r="Q286" i="6"/>
  <c r="AI286" i="6" s="1"/>
  <c r="Q666" i="6"/>
  <c r="AI666" i="6" s="1"/>
  <c r="Q566" i="6"/>
  <c r="AI566" i="6" s="1"/>
  <c r="Q431" i="6"/>
  <c r="AI431" i="6" s="1"/>
  <c r="Q696" i="6"/>
  <c r="AI696" i="6" s="1"/>
  <c r="Q651" i="6"/>
  <c r="AI651" i="6" s="1"/>
  <c r="Q561" i="6"/>
  <c r="AI561" i="6" s="1"/>
  <c r="Q521" i="6"/>
  <c r="Q356" i="6"/>
  <c r="AI356" i="6" s="1"/>
  <c r="Q701" i="6"/>
  <c r="AI701" i="6" s="1"/>
  <c r="Q411" i="6"/>
  <c r="Q251" i="6"/>
  <c r="AI251" i="6" s="1"/>
  <c r="Q201" i="6"/>
  <c r="AI201" i="6" s="1"/>
  <c r="Q256" i="6"/>
  <c r="AI256" i="6" s="1"/>
  <c r="Q151" i="6"/>
  <c r="AI151" i="6" s="1"/>
  <c r="Q106" i="6"/>
  <c r="AI106" i="6" s="1"/>
  <c r="Q86" i="6"/>
  <c r="AI86" i="6" s="1"/>
  <c r="Q41" i="6"/>
  <c r="AI41" i="6" s="1"/>
  <c r="Q616" i="6"/>
  <c r="AI616" i="6" s="1"/>
  <c r="Q591" i="6"/>
  <c r="AI591" i="6" s="1"/>
  <c r="Q516" i="6"/>
  <c r="AI516" i="6" s="1"/>
  <c r="Q491" i="6"/>
  <c r="AI491" i="6" s="1"/>
  <c r="Q456" i="6"/>
  <c r="AI456" i="6" s="1"/>
  <c r="Q756" i="6"/>
  <c r="AI756" i="6" s="1"/>
  <c r="Q751" i="6"/>
  <c r="AI751" i="6" s="1"/>
  <c r="Q396" i="6"/>
  <c r="AI396" i="6" s="1"/>
  <c r="Q296" i="6"/>
  <c r="AI296" i="6" s="1"/>
  <c r="Q656" i="6"/>
  <c r="AI656" i="6" s="1"/>
  <c r="Q536" i="6"/>
  <c r="AI536" i="6" s="1"/>
  <c r="Q641" i="6"/>
  <c r="AI641" i="6" s="1"/>
  <c r="Q541" i="6"/>
  <c r="AI541" i="6" s="1"/>
  <c r="Q401" i="6"/>
  <c r="AI401" i="6" s="1"/>
  <c r="Q681" i="6"/>
  <c r="AI681" i="6" s="1"/>
  <c r="Q346" i="6"/>
  <c r="AI346" i="6" s="1"/>
  <c r="Q241" i="6"/>
  <c r="AI241" i="6" s="1"/>
  <c r="Q141" i="6"/>
  <c r="AI141" i="6" s="1"/>
  <c r="Q36" i="6"/>
  <c r="AI36" i="6" s="1"/>
  <c r="AC35" i="9"/>
  <c r="Q611" i="6"/>
  <c r="AI611" i="6" s="1"/>
  <c r="Q586" i="6"/>
  <c r="AI586" i="6" s="1"/>
  <c r="Q511" i="6"/>
  <c r="AI511" i="6" s="1"/>
  <c r="Q486" i="6"/>
  <c r="AI486" i="6" s="1"/>
  <c r="Q451" i="6"/>
  <c r="AI451" i="6" s="1"/>
  <c r="Q741" i="6"/>
  <c r="AI741" i="6" s="1"/>
  <c r="Q736" i="6"/>
  <c r="AI736" i="6" s="1"/>
  <c r="Q351" i="6"/>
  <c r="AI351" i="6" s="1"/>
  <c r="Q711" i="6"/>
  <c r="AI711" i="6" s="1"/>
  <c r="Q646" i="6"/>
  <c r="AI646" i="6" s="1"/>
  <c r="Q526" i="6"/>
  <c r="AI526" i="6" s="1"/>
  <c r="Q686" i="6"/>
  <c r="AI686" i="6" s="1"/>
  <c r="Q631" i="6"/>
  <c r="AI631" i="6" s="1"/>
  <c r="Q531" i="6"/>
  <c r="Q336" i="6"/>
  <c r="AI336" i="6" s="1"/>
  <c r="Q636" i="6"/>
  <c r="AI636" i="6" s="1"/>
  <c r="Q301" i="6"/>
  <c r="AI301" i="6" s="1"/>
  <c r="Q196" i="6"/>
  <c r="AI196" i="6" s="1"/>
  <c r="Q186" i="6"/>
  <c r="AI186" i="6" s="1"/>
  <c r="Q136" i="6"/>
  <c r="AI136" i="6" s="1"/>
  <c r="Q51" i="6"/>
  <c r="AI51" i="6" s="1"/>
  <c r="Y7" i="7"/>
  <c r="Q236" i="6"/>
  <c r="AI236" i="6" s="1"/>
  <c r="Q81" i="6"/>
  <c r="AI81" i="6" s="1"/>
  <c r="Q331" i="6"/>
  <c r="AI331" i="6" s="1"/>
  <c r="Q176" i="6"/>
  <c r="AI176" i="6" s="1"/>
  <c r="Q31" i="6"/>
  <c r="AI31" i="6" s="1"/>
  <c r="Q316" i="6"/>
  <c r="Q161" i="6"/>
  <c r="Q211" i="6"/>
  <c r="Q271" i="6"/>
  <c r="Q6" i="6"/>
  <c r="AI6" i="6" s="1"/>
  <c r="Y61" i="7"/>
  <c r="Y128" i="7" s="1"/>
  <c r="Q571" i="6"/>
  <c r="Q471" i="6"/>
  <c r="Q766" i="6"/>
  <c r="AI766" i="6" s="1"/>
  <c r="Q341" i="6"/>
  <c r="AI341" i="6" s="1"/>
  <c r="Q546" i="6"/>
  <c r="AI546" i="6" s="1"/>
  <c r="Q661" i="6"/>
  <c r="AI661" i="6" s="1"/>
  <c r="Q416" i="6"/>
  <c r="Q391" i="6"/>
  <c r="AI391" i="6" s="1"/>
  <c r="Q261" i="6"/>
  <c r="AI261" i="6" s="1"/>
  <c r="Q96" i="6"/>
  <c r="AI96" i="6" s="1"/>
  <c r="Q281" i="6"/>
  <c r="AI281" i="6" s="1"/>
  <c r="Q61" i="6"/>
  <c r="Q62" i="6" s="1"/>
  <c r="Q266" i="6"/>
  <c r="Q66" i="6"/>
  <c r="AI66" i="6" s="1"/>
  <c r="Q366" i="6"/>
  <c r="AI366" i="6" s="1"/>
  <c r="Q26" i="6"/>
  <c r="AI26" i="6" s="1"/>
  <c r="Q166" i="6"/>
  <c r="Q181" i="6"/>
  <c r="AI181" i="6" s="1"/>
  <c r="M135" i="5"/>
  <c r="M295" i="5"/>
  <c r="M3" i="5"/>
  <c r="M4" i="5" s="1"/>
  <c r="Q606" i="6"/>
  <c r="AI606" i="6" s="1"/>
  <c r="Q506" i="6"/>
  <c r="AI506" i="6" s="1"/>
  <c r="Q441" i="6"/>
  <c r="AI441" i="6" s="1"/>
  <c r="Q731" i="6"/>
  <c r="AI731" i="6" s="1"/>
  <c r="Q691" i="6"/>
  <c r="AI691" i="6" s="1"/>
  <c r="Q716" i="6"/>
  <c r="AI716" i="6" s="1"/>
  <c r="Q621" i="6"/>
  <c r="Q622" i="6" s="1"/>
  <c r="AI622" i="6" s="1"/>
  <c r="Q291" i="6"/>
  <c r="AI291" i="6" s="1"/>
  <c r="Q246" i="6"/>
  <c r="AI246" i="6" s="1"/>
  <c r="Q156" i="6"/>
  <c r="AI156" i="6" s="1"/>
  <c r="Q216" i="6"/>
  <c r="Q217" i="6" s="1"/>
  <c r="Q218" i="6" s="1"/>
  <c r="Q219" i="6" s="1"/>
  <c r="Q16" i="6"/>
  <c r="Q221" i="6"/>
  <c r="AI221" i="6" s="1"/>
  <c r="Q21" i="6"/>
  <c r="AI21" i="6" s="1"/>
  <c r="Q321" i="6"/>
  <c r="AI321" i="6" s="1"/>
  <c r="Q276" i="6"/>
  <c r="AI276" i="6" s="1"/>
  <c r="Q116" i="6"/>
  <c r="AI116" i="6" s="1"/>
  <c r="P15" i="3"/>
  <c r="P18" i="3" s="1"/>
  <c r="M263" i="5"/>
  <c r="M231" i="5"/>
  <c r="M71" i="5"/>
  <c r="Q596" i="6"/>
  <c r="AI596" i="6" s="1"/>
  <c r="Q501" i="6"/>
  <c r="AI501" i="6" s="1"/>
  <c r="Q421" i="6"/>
  <c r="Q426" i="6"/>
  <c r="AI426" i="6" s="1"/>
  <c r="Q671" i="6"/>
  <c r="Q706" i="6"/>
  <c r="AI706" i="6" s="1"/>
  <c r="Q551" i="6"/>
  <c r="AI551" i="6" s="1"/>
  <c r="Q386" i="6"/>
  <c r="AI386" i="6" s="1"/>
  <c r="Q206" i="6"/>
  <c r="AI206" i="6" s="1"/>
  <c r="Q146" i="6"/>
  <c r="AI146" i="6" s="1"/>
  <c r="Q46" i="6"/>
  <c r="AI46" i="6" s="1"/>
  <c r="AL3" i="9"/>
  <c r="AL10" i="9"/>
  <c r="AH68" i="7"/>
  <c r="AH134" i="7" s="1"/>
  <c r="AH26" i="7"/>
  <c r="AH98" i="7" s="1"/>
  <c r="AH47" i="7"/>
  <c r="AH116" i="7" s="1"/>
  <c r="AL48" i="9"/>
  <c r="AL35" i="9"/>
  <c r="AH54" i="7"/>
  <c r="AH122" i="7" s="1"/>
  <c r="AH14" i="7"/>
  <c r="AH86" i="7" s="1"/>
  <c r="AH32" i="7"/>
  <c r="AH104" i="7" s="1"/>
  <c r="AL54" i="9"/>
  <c r="AL60" i="9"/>
  <c r="AH79" i="7"/>
  <c r="AL42" i="9"/>
  <c r="AH61" i="7"/>
  <c r="AH128" i="7" s="1"/>
  <c r="AL22" i="9"/>
  <c r="AH20" i="7"/>
  <c r="AH92" i="7" s="1"/>
  <c r="Z766" i="6"/>
  <c r="AR766" i="6" s="1"/>
  <c r="Z751" i="6"/>
  <c r="AR751" i="6" s="1"/>
  <c r="Z731" i="6"/>
  <c r="AR731" i="6" s="1"/>
  <c r="Z426" i="6"/>
  <c r="AR426" i="6" s="1"/>
  <c r="Z646" i="6"/>
  <c r="AR646" i="6" s="1"/>
  <c r="Z626" i="6"/>
  <c r="AR626" i="6" s="1"/>
  <c r="Z546" i="6"/>
  <c r="AR546" i="6" s="1"/>
  <c r="Z631" i="6"/>
  <c r="AR631" i="6" s="1"/>
  <c r="Z716" i="6"/>
  <c r="AR716" i="6" s="1"/>
  <c r="Z676" i="6"/>
  <c r="AR676" i="6" s="1"/>
  <c r="Z431" i="6"/>
  <c r="AR431" i="6" s="1"/>
  <c r="Z346" i="6"/>
  <c r="AR346" i="6" s="1"/>
  <c r="Z336" i="6"/>
  <c r="AR336" i="6" s="1"/>
  <c r="Z581" i="6"/>
  <c r="AR581" i="6" s="1"/>
  <c r="Z596" i="6"/>
  <c r="AR596" i="6" s="1"/>
  <c r="Z506" i="6"/>
  <c r="AR506" i="6" s="1"/>
  <c r="Z446" i="6"/>
  <c r="AR446" i="6" s="1"/>
  <c r="Z306" i="6"/>
  <c r="AR306" i="6" s="1"/>
  <c r="Z681" i="6"/>
  <c r="AR681" i="6" s="1"/>
  <c r="Z481" i="6"/>
  <c r="AR481" i="6" s="1"/>
  <c r="Z601" i="6"/>
  <c r="AR601" i="6" s="1"/>
  <c r="Z486" i="6"/>
  <c r="AR486" i="6" s="1"/>
  <c r="Z296" i="6"/>
  <c r="AR296" i="6" s="1"/>
  <c r="Z191" i="6"/>
  <c r="AR191" i="6" s="1"/>
  <c r="Z186" i="6"/>
  <c r="AR186" i="6" s="1"/>
  <c r="Z156" i="6"/>
  <c r="AR156" i="6" s="1"/>
  <c r="Z136" i="6"/>
  <c r="AR136" i="6" s="1"/>
  <c r="Z86" i="6"/>
  <c r="AR86" i="6" s="1"/>
  <c r="Z36" i="6"/>
  <c r="AR36" i="6" s="1"/>
  <c r="AL16" i="9"/>
  <c r="Z761" i="6"/>
  <c r="AR761" i="6" s="1"/>
  <c r="Z736" i="6"/>
  <c r="AR736" i="6" s="1"/>
  <c r="Z286" i="6"/>
  <c r="AR286" i="6" s="1"/>
  <c r="Z641" i="6"/>
  <c r="AR641" i="6" s="1"/>
  <c r="Z551" i="6"/>
  <c r="AR551" i="6" s="1"/>
  <c r="Z521" i="6"/>
  <c r="AR521" i="6" s="1"/>
  <c r="Z556" i="6"/>
  <c r="AR556" i="6" s="1"/>
  <c r="Z686" i="6"/>
  <c r="AR686" i="6" s="1"/>
  <c r="Z421" i="6"/>
  <c r="AR421" i="6" s="1"/>
  <c r="Z436" i="6"/>
  <c r="AR436" i="6" s="1"/>
  <c r="Z591" i="6"/>
  <c r="AR591" i="6" s="1"/>
  <c r="Z586" i="6"/>
  <c r="AR586" i="6" s="1"/>
  <c r="Z476" i="6"/>
  <c r="AR476" i="6" s="1"/>
  <c r="Z351" i="6"/>
  <c r="AR351" i="6" s="1"/>
  <c r="Z671" i="6"/>
  <c r="AR671" i="6" s="1"/>
  <c r="Z416" i="6"/>
  <c r="AR416" i="6" s="1"/>
  <c r="Z511" i="6"/>
  <c r="AR511" i="6" s="1"/>
  <c r="Z206" i="6"/>
  <c r="AR206" i="6" s="1"/>
  <c r="Z251" i="6"/>
  <c r="AR251" i="6" s="1"/>
  <c r="Z241" i="6"/>
  <c r="AR241" i="6" s="1"/>
  <c r="Z106" i="6"/>
  <c r="AR106" i="6" s="1"/>
  <c r="Z46" i="6"/>
  <c r="AR46" i="6" s="1"/>
  <c r="AH40" i="7"/>
  <c r="AH110" i="7" s="1"/>
  <c r="Z756" i="6"/>
  <c r="AR756" i="6" s="1"/>
  <c r="Z726" i="6"/>
  <c r="AR726" i="6" s="1"/>
  <c r="Z656" i="6"/>
  <c r="AR656" i="6" s="1"/>
  <c r="Z636" i="6"/>
  <c r="AR636" i="6" s="1"/>
  <c r="Z541" i="6"/>
  <c r="AR541" i="6" s="1"/>
  <c r="Z666" i="6"/>
  <c r="AR666" i="6" s="1"/>
  <c r="Z526" i="6"/>
  <c r="AR526" i="6" s="1"/>
  <c r="Z491" i="6"/>
  <c r="AR491" i="6" s="1"/>
  <c r="Z411" i="6"/>
  <c r="AR411" i="6" s="1"/>
  <c r="Z401" i="6"/>
  <c r="AR401" i="6" s="1"/>
  <c r="Z456" i="6"/>
  <c r="AR456" i="6" s="1"/>
  <c r="Z576" i="6"/>
  <c r="AR576" i="6" s="1"/>
  <c r="Z711" i="6"/>
  <c r="AR711" i="6" s="1"/>
  <c r="Z501" i="6"/>
  <c r="AR501" i="6" s="1"/>
  <c r="Z356" i="6"/>
  <c r="AR356" i="6" s="1"/>
  <c r="Z406" i="6"/>
  <c r="AR406" i="6" s="1"/>
  <c r="Z201" i="6"/>
  <c r="AR201" i="6" s="1"/>
  <c r="Z246" i="6"/>
  <c r="AR246" i="6" s="1"/>
  <c r="Z146" i="6"/>
  <c r="AR146" i="6" s="1"/>
  <c r="Z96" i="6"/>
  <c r="AR96" i="6" s="1"/>
  <c r="Z41" i="6"/>
  <c r="AR41" i="6" s="1"/>
  <c r="Z376" i="6"/>
  <c r="AR376" i="6" s="1"/>
  <c r="Z331" i="6"/>
  <c r="AR331" i="6" s="1"/>
  <c r="Z311" i="6"/>
  <c r="AR311" i="6" s="1"/>
  <c r="Z266" i="6"/>
  <c r="AR266" i="6" s="1"/>
  <c r="Z221" i="6"/>
  <c r="AR221" i="6" s="1"/>
  <c r="Z176" i="6"/>
  <c r="AR176" i="6" s="1"/>
  <c r="Z131" i="6"/>
  <c r="AR131" i="6" s="1"/>
  <c r="Z111" i="6"/>
  <c r="AR111" i="6" s="1"/>
  <c r="Z66" i="6"/>
  <c r="AR66" i="6" s="1"/>
  <c r="Z21" i="6"/>
  <c r="AR21" i="6" s="1"/>
  <c r="AH7" i="7"/>
  <c r="Z721" i="6"/>
  <c r="AR721" i="6" s="1"/>
  <c r="Z561" i="6"/>
  <c r="AR561" i="6" s="1"/>
  <c r="Z566" i="6"/>
  <c r="AR566" i="6" s="1"/>
  <c r="Z441" i="6"/>
  <c r="AR441" i="6" s="1"/>
  <c r="Z611" i="6"/>
  <c r="AR611" i="6" s="1"/>
  <c r="Z496" i="6"/>
  <c r="AR496" i="6" s="1"/>
  <c r="Z691" i="6"/>
  <c r="AR691" i="6" s="1"/>
  <c r="Z141" i="6"/>
  <c r="AR141" i="6" s="1"/>
  <c r="Z366" i="6"/>
  <c r="AR366" i="6" s="1"/>
  <c r="Z316" i="6"/>
  <c r="AR316" i="6" s="1"/>
  <c r="Z236" i="6"/>
  <c r="AR236" i="6" s="1"/>
  <c r="Z211" i="6"/>
  <c r="AR211" i="6" s="1"/>
  <c r="Z161" i="6"/>
  <c r="AR161" i="6" s="1"/>
  <c r="Z81" i="6"/>
  <c r="AR81" i="6" s="1"/>
  <c r="Z31" i="6"/>
  <c r="AR31" i="6" s="1"/>
  <c r="Z6" i="6"/>
  <c r="AR6" i="6" s="1"/>
  <c r="V39" i="5"/>
  <c r="V3" i="5"/>
  <c r="Z746" i="6"/>
  <c r="AR746" i="6" s="1"/>
  <c r="Z651" i="6"/>
  <c r="AR651" i="6" s="1"/>
  <c r="Z536" i="6"/>
  <c r="AR536" i="6" s="1"/>
  <c r="Z706" i="6"/>
  <c r="AR706" i="6" s="1"/>
  <c r="Z391" i="6"/>
  <c r="AR391" i="6" s="1"/>
  <c r="Z616" i="6"/>
  <c r="AR616" i="6" s="1"/>
  <c r="Z396" i="6"/>
  <c r="AR396" i="6" s="1"/>
  <c r="Z386" i="6"/>
  <c r="AR386" i="6" s="1"/>
  <c r="Z261" i="6"/>
  <c r="AR261" i="6" s="1"/>
  <c r="Z101" i="6"/>
  <c r="AR101" i="6" s="1"/>
  <c r="Z361" i="6"/>
  <c r="AR361" i="6" s="1"/>
  <c r="Z281" i="6"/>
  <c r="AR281" i="6" s="1"/>
  <c r="Z231" i="6"/>
  <c r="AR231" i="6" s="1"/>
  <c r="Z181" i="6"/>
  <c r="AR181" i="6" s="1"/>
  <c r="Z126" i="6"/>
  <c r="AR126" i="6" s="1"/>
  <c r="Z76" i="6"/>
  <c r="AR76" i="6" s="1"/>
  <c r="Z26" i="6"/>
  <c r="AR26" i="6" s="1"/>
  <c r="V295" i="5"/>
  <c r="V263" i="5"/>
  <c r="AL28" i="9"/>
  <c r="Z741" i="6"/>
  <c r="AR741" i="6" s="1"/>
  <c r="Z531" i="6"/>
  <c r="AR531" i="6" s="1"/>
  <c r="Z696" i="6"/>
  <c r="AR696" i="6" s="1"/>
  <c r="Z301" i="6"/>
  <c r="AR301" i="6" s="1"/>
  <c r="Z606" i="6"/>
  <c r="AR606" i="6" s="1"/>
  <c r="Z451" i="6"/>
  <c r="AR451" i="6" s="1"/>
  <c r="Z341" i="6"/>
  <c r="AR341" i="6" s="1"/>
  <c r="Z256" i="6"/>
  <c r="AR256" i="6" s="1"/>
  <c r="Z51" i="6"/>
  <c r="AR51" i="6" s="1"/>
  <c r="AH3" i="9"/>
  <c r="AH60" i="9"/>
  <c r="AD68" i="7"/>
  <c r="AD134" i="7" s="1"/>
  <c r="AD14" i="7"/>
  <c r="AD86" i="7" s="1"/>
  <c r="AD32" i="7"/>
  <c r="AD104" i="7" s="1"/>
  <c r="AH48" i="9"/>
  <c r="AH35" i="9"/>
  <c r="AD54" i="7"/>
  <c r="AD122" i="7" s="1"/>
  <c r="AD79" i="7"/>
  <c r="AD20" i="7"/>
  <c r="AD92" i="7" s="1"/>
  <c r="AH42" i="9"/>
  <c r="AD40" i="7"/>
  <c r="AD110" i="7" s="1"/>
  <c r="AH10" i="9"/>
  <c r="AD61" i="7"/>
  <c r="AD128" i="7" s="1"/>
  <c r="AH22" i="9"/>
  <c r="AD47" i="7"/>
  <c r="AD116" i="7" s="1"/>
  <c r="AH28" i="9"/>
  <c r="V761" i="6"/>
  <c r="AN761" i="6" s="1"/>
  <c r="V741" i="6"/>
  <c r="AN741" i="6" s="1"/>
  <c r="V726" i="6"/>
  <c r="AN726" i="6" s="1"/>
  <c r="V286" i="6"/>
  <c r="AN286" i="6" s="1"/>
  <c r="V631" i="6"/>
  <c r="AN631" i="6" s="1"/>
  <c r="V536" i="6"/>
  <c r="AN536" i="6" s="1"/>
  <c r="V666" i="6"/>
  <c r="AN666" i="6" s="1"/>
  <c r="V566" i="6"/>
  <c r="AN566" i="6" s="1"/>
  <c r="V681" i="6"/>
  <c r="AN681" i="6" s="1"/>
  <c r="V476" i="6"/>
  <c r="AN476" i="6" s="1"/>
  <c r="V306" i="6"/>
  <c r="AN306" i="6" s="1"/>
  <c r="V441" i="6"/>
  <c r="AN441" i="6" s="1"/>
  <c r="V591" i="6"/>
  <c r="AN591" i="6" s="1"/>
  <c r="V501" i="6"/>
  <c r="AN501" i="6" s="1"/>
  <c r="V436" i="6"/>
  <c r="AN436" i="6" s="1"/>
  <c r="V706" i="6"/>
  <c r="AN706" i="6" s="1"/>
  <c r="V676" i="6"/>
  <c r="AN676" i="6" s="1"/>
  <c r="V341" i="6"/>
  <c r="AN341" i="6" s="1"/>
  <c r="V576" i="6"/>
  <c r="AN576" i="6" s="1"/>
  <c r="V471" i="6"/>
  <c r="AN471" i="6" s="1"/>
  <c r="V201" i="6"/>
  <c r="AN201" i="6" s="1"/>
  <c r="V246" i="6"/>
  <c r="AN246" i="6" s="1"/>
  <c r="V151" i="6"/>
  <c r="AN151" i="6" s="1"/>
  <c r="V101" i="6"/>
  <c r="AN101" i="6" s="1"/>
  <c r="AH16" i="9"/>
  <c r="V756" i="6"/>
  <c r="AN756" i="6" s="1"/>
  <c r="V721" i="6"/>
  <c r="AN721" i="6" s="1"/>
  <c r="V661" i="6"/>
  <c r="AN661" i="6" s="1"/>
  <c r="V556" i="6"/>
  <c r="AN556" i="6" s="1"/>
  <c r="V531" i="6"/>
  <c r="AN531" i="6" s="1"/>
  <c r="V641" i="6"/>
  <c r="AN641" i="6" s="1"/>
  <c r="V711" i="6"/>
  <c r="AN711" i="6" s="1"/>
  <c r="V671" i="6"/>
  <c r="AN671" i="6" s="1"/>
  <c r="V446" i="6"/>
  <c r="AN446" i="6" s="1"/>
  <c r="V486" i="6"/>
  <c r="AN486" i="6" s="1"/>
  <c r="V431" i="6"/>
  <c r="AN431" i="6" s="1"/>
  <c r="V301" i="6"/>
  <c r="AN301" i="6" s="1"/>
  <c r="V581" i="6"/>
  <c r="AN581" i="6" s="1"/>
  <c r="V416" i="6"/>
  <c r="AN416" i="6" s="1"/>
  <c r="V336" i="6"/>
  <c r="AN336" i="6" s="1"/>
  <c r="V696" i="6"/>
  <c r="AN696" i="6" s="1"/>
  <c r="V456" i="6"/>
  <c r="AN456" i="6" s="1"/>
  <c r="V296" i="6"/>
  <c r="AN296" i="6" s="1"/>
  <c r="V516" i="6"/>
  <c r="AN516" i="6" s="1"/>
  <c r="V421" i="6"/>
  <c r="AN421" i="6" s="1"/>
  <c r="V196" i="6"/>
  <c r="AN196" i="6" s="1"/>
  <c r="V261" i="6"/>
  <c r="AN261" i="6" s="1"/>
  <c r="V186" i="6"/>
  <c r="AN186" i="6" s="1"/>
  <c r="V141" i="6"/>
  <c r="AN141" i="6" s="1"/>
  <c r="V86" i="6"/>
  <c r="AN86" i="6" s="1"/>
  <c r="V46" i="6"/>
  <c r="AN46" i="6" s="1"/>
  <c r="V36" i="6"/>
  <c r="AN36" i="6" s="1"/>
  <c r="V371" i="6"/>
  <c r="AN371" i="6" s="1"/>
  <c r="V326" i="6"/>
  <c r="AN326" i="6" s="1"/>
  <c r="V281" i="6"/>
  <c r="AN281" i="6" s="1"/>
  <c r="V236" i="6"/>
  <c r="AN236" i="6" s="1"/>
  <c r="V216" i="6"/>
  <c r="AN216" i="6" s="1"/>
  <c r="V171" i="6"/>
  <c r="AN171" i="6" s="1"/>
  <c r="V126" i="6"/>
  <c r="AN126" i="6" s="1"/>
  <c r="V81" i="6"/>
  <c r="AN81" i="6" s="1"/>
  <c r="V61" i="6"/>
  <c r="AN61" i="6" s="1"/>
  <c r="V16" i="6"/>
  <c r="AN16" i="6" s="1"/>
  <c r="AH54" i="9"/>
  <c r="V766" i="6"/>
  <c r="AN766" i="6" s="1"/>
  <c r="V731" i="6"/>
  <c r="AN731" i="6" s="1"/>
  <c r="V636" i="6"/>
  <c r="AN636" i="6" s="1"/>
  <c r="V521" i="6"/>
  <c r="AN521" i="6" s="1"/>
  <c r="V621" i="6"/>
  <c r="AN621" i="6" s="1"/>
  <c r="V691" i="6"/>
  <c r="AN691" i="6" s="1"/>
  <c r="V351" i="6"/>
  <c r="AN351" i="6" s="1"/>
  <c r="V391" i="6"/>
  <c r="AN391" i="6" s="1"/>
  <c r="V511" i="6"/>
  <c r="AN511" i="6" s="1"/>
  <c r="V356" i="6"/>
  <c r="AN356" i="6" s="1"/>
  <c r="V586" i="6"/>
  <c r="AN586" i="6" s="1"/>
  <c r="V206" i="6"/>
  <c r="AN206" i="6" s="1"/>
  <c r="V251" i="6"/>
  <c r="AN251" i="6" s="1"/>
  <c r="V136" i="6"/>
  <c r="AN136" i="6" s="1"/>
  <c r="V51" i="6"/>
  <c r="AN51" i="6" s="1"/>
  <c r="AD7" i="7"/>
  <c r="V376" i="6"/>
  <c r="AN376" i="6" s="1"/>
  <c r="V321" i="6"/>
  <c r="AN321" i="6" s="1"/>
  <c r="V271" i="6"/>
  <c r="AN271" i="6" s="1"/>
  <c r="V221" i="6"/>
  <c r="AN221" i="6" s="1"/>
  <c r="V166" i="6"/>
  <c r="AN166" i="6" s="1"/>
  <c r="V116" i="6"/>
  <c r="AN116" i="6" s="1"/>
  <c r="V66" i="6"/>
  <c r="AN66" i="6" s="1"/>
  <c r="V11" i="6"/>
  <c r="AN11" i="6" s="1"/>
  <c r="R167" i="5"/>
  <c r="R231" i="5"/>
  <c r="R263" i="5"/>
  <c r="AD26" i="7"/>
  <c r="AD98" i="7" s="1"/>
  <c r="V751" i="6"/>
  <c r="AN751" i="6" s="1"/>
  <c r="V546" i="6"/>
  <c r="AN546" i="6" s="1"/>
  <c r="V656" i="6"/>
  <c r="AN656" i="6" s="1"/>
  <c r="V561" i="6"/>
  <c r="AN561" i="6" s="1"/>
  <c r="V496" i="6"/>
  <c r="AN496" i="6" s="1"/>
  <c r="V616" i="6"/>
  <c r="AN616" i="6" s="1"/>
  <c r="V611" i="6"/>
  <c r="AN611" i="6" s="1"/>
  <c r="V481" i="6"/>
  <c r="AN481" i="6" s="1"/>
  <c r="V291" i="6"/>
  <c r="AN291" i="6" s="1"/>
  <c r="V406" i="6"/>
  <c r="AN406" i="6" s="1"/>
  <c r="V506" i="6"/>
  <c r="AN506" i="6" s="1"/>
  <c r="V191" i="6"/>
  <c r="AN191" i="6" s="1"/>
  <c r="V156" i="6"/>
  <c r="AN156" i="6" s="1"/>
  <c r="V366" i="6"/>
  <c r="AN366" i="6" s="1"/>
  <c r="V316" i="6"/>
  <c r="AN316" i="6" s="1"/>
  <c r="V266" i="6"/>
  <c r="AN266" i="6" s="1"/>
  <c r="V211" i="6"/>
  <c r="AN211" i="6" s="1"/>
  <c r="V161" i="6"/>
  <c r="AN161" i="6" s="1"/>
  <c r="V111" i="6"/>
  <c r="AN111" i="6" s="1"/>
  <c r="V31" i="6"/>
  <c r="AN31" i="6" s="1"/>
  <c r="V6" i="6"/>
  <c r="AN6" i="6" s="1"/>
  <c r="U15" i="3"/>
  <c r="R103" i="5"/>
  <c r="R199" i="5"/>
  <c r="R3" i="5"/>
  <c r="V746" i="6"/>
  <c r="AN746" i="6" s="1"/>
  <c r="V426" i="6"/>
  <c r="AN426" i="6" s="1"/>
  <c r="V541" i="6"/>
  <c r="AN541" i="6" s="1"/>
  <c r="V651" i="6"/>
  <c r="AN651" i="6" s="1"/>
  <c r="V551" i="6"/>
  <c r="AN551" i="6" s="1"/>
  <c r="V596" i="6"/>
  <c r="AN596" i="6" s="1"/>
  <c r="V601" i="6"/>
  <c r="AN601" i="6" s="1"/>
  <c r="V451" i="6"/>
  <c r="AN451" i="6" s="1"/>
  <c r="V716" i="6"/>
  <c r="AN716" i="6" s="1"/>
  <c r="V386" i="6"/>
  <c r="AN386" i="6" s="1"/>
  <c r="V491" i="6"/>
  <c r="AN491" i="6" s="1"/>
  <c r="V241" i="6"/>
  <c r="AN241" i="6" s="1"/>
  <c r="AD48" i="9"/>
  <c r="AD60" i="9"/>
  <c r="Z54" i="7"/>
  <c r="Z122" i="7" s="1"/>
  <c r="Z14" i="7"/>
  <c r="Z86" i="7" s="1"/>
  <c r="Z32" i="7"/>
  <c r="Z104" i="7" s="1"/>
  <c r="AD54" i="9"/>
  <c r="AD35" i="9"/>
  <c r="AD42" i="9"/>
  <c r="Z40" i="7"/>
  <c r="Z110" i="7" s="1"/>
  <c r="Z79" i="7"/>
  <c r="Z20" i="7"/>
  <c r="Z92" i="7" s="1"/>
  <c r="AD28" i="9"/>
  <c r="AD10" i="9"/>
  <c r="Z61" i="7"/>
  <c r="Z128" i="7" s="1"/>
  <c r="R761" i="6"/>
  <c r="AJ761" i="6" s="1"/>
  <c r="R741" i="6"/>
  <c r="AJ741" i="6" s="1"/>
  <c r="R726" i="6"/>
  <c r="AJ726" i="6" s="1"/>
  <c r="R656" i="6"/>
  <c r="AJ656" i="6" s="1"/>
  <c r="R631" i="6"/>
  <c r="AJ631" i="6" s="1"/>
  <c r="R551" i="6"/>
  <c r="AJ551" i="6" s="1"/>
  <c r="R636" i="6"/>
  <c r="AJ636" i="6" s="1"/>
  <c r="R541" i="6"/>
  <c r="AJ541" i="6" s="1"/>
  <c r="R521" i="6"/>
  <c r="AJ521" i="6" s="1"/>
  <c r="R686" i="6"/>
  <c r="AJ686" i="6" s="1"/>
  <c r="R451" i="6"/>
  <c r="AJ451" i="6" s="1"/>
  <c r="R356" i="6"/>
  <c r="AJ356" i="6" s="1"/>
  <c r="AD3" i="9"/>
  <c r="Z68" i="7"/>
  <c r="Z134" i="7" s="1"/>
  <c r="AD22" i="9"/>
  <c r="Z47" i="7"/>
  <c r="Z116" i="7" s="1"/>
  <c r="R751" i="6"/>
  <c r="AJ751" i="6" s="1"/>
  <c r="R651" i="6"/>
  <c r="AJ651" i="6" s="1"/>
  <c r="R621" i="6"/>
  <c r="AJ621" i="6" s="1"/>
  <c r="R646" i="6"/>
  <c r="AJ646" i="6" s="1"/>
  <c r="R536" i="6"/>
  <c r="AJ536" i="6" s="1"/>
  <c r="R706" i="6"/>
  <c r="AJ706" i="6" s="1"/>
  <c r="R481" i="6"/>
  <c r="AJ481" i="6" s="1"/>
  <c r="R336" i="6"/>
  <c r="AJ336" i="6" s="1"/>
  <c r="R471" i="6"/>
  <c r="AJ471" i="6" s="1"/>
  <c r="R346" i="6"/>
  <c r="AJ346" i="6" s="1"/>
  <c r="R476" i="6"/>
  <c r="AJ476" i="6" s="1"/>
  <c r="R596" i="6"/>
  <c r="AJ596" i="6" s="1"/>
  <c r="R506" i="6"/>
  <c r="AJ506" i="6" s="1"/>
  <c r="R386" i="6"/>
  <c r="AJ386" i="6" s="1"/>
  <c r="R701" i="6"/>
  <c r="AJ701" i="6" s="1"/>
  <c r="R421" i="6"/>
  <c r="AJ421" i="6" s="1"/>
  <c r="R611" i="6"/>
  <c r="AJ611" i="6" s="1"/>
  <c r="R446" i="6"/>
  <c r="AJ446" i="6" s="1"/>
  <c r="R201" i="6"/>
  <c r="AJ201" i="6" s="1"/>
  <c r="R251" i="6"/>
  <c r="AJ251" i="6" s="1"/>
  <c r="R241" i="6"/>
  <c r="AJ241" i="6" s="1"/>
  <c r="R141" i="6"/>
  <c r="AJ141" i="6" s="1"/>
  <c r="R101" i="6"/>
  <c r="AJ101" i="6" s="1"/>
  <c r="R46" i="6"/>
  <c r="AJ46" i="6" s="1"/>
  <c r="R746" i="6"/>
  <c r="AJ746" i="6" s="1"/>
  <c r="R426" i="6"/>
  <c r="AJ426" i="6" s="1"/>
  <c r="R626" i="6"/>
  <c r="AJ626" i="6" s="1"/>
  <c r="R566" i="6"/>
  <c r="AJ566" i="6" s="1"/>
  <c r="R526" i="6"/>
  <c r="AJ526" i="6" s="1"/>
  <c r="R501" i="6"/>
  <c r="AJ501" i="6" s="1"/>
  <c r="R291" i="6"/>
  <c r="AJ291" i="6" s="1"/>
  <c r="R431" i="6"/>
  <c r="AJ431" i="6" s="1"/>
  <c r="R511" i="6"/>
  <c r="AJ511" i="6" s="1"/>
  <c r="R586" i="6"/>
  <c r="AJ586" i="6" s="1"/>
  <c r="R456" i="6"/>
  <c r="AJ456" i="6" s="1"/>
  <c r="R711" i="6"/>
  <c r="AJ711" i="6" s="1"/>
  <c r="R411" i="6"/>
  <c r="AJ411" i="6" s="1"/>
  <c r="R581" i="6"/>
  <c r="AJ581" i="6" s="1"/>
  <c r="R206" i="6"/>
  <c r="AJ206" i="6" s="1"/>
  <c r="R246" i="6"/>
  <c r="AJ246" i="6" s="1"/>
  <c r="R146" i="6"/>
  <c r="AJ146" i="6" s="1"/>
  <c r="R136" i="6"/>
  <c r="AJ136" i="6" s="1"/>
  <c r="R41" i="6"/>
  <c r="AJ41" i="6" s="1"/>
  <c r="AD16" i="9"/>
  <c r="R736" i="6"/>
  <c r="AJ736" i="6" s="1"/>
  <c r="R286" i="6"/>
  <c r="AJ286" i="6" s="1"/>
  <c r="R561" i="6"/>
  <c r="AJ561" i="6" s="1"/>
  <c r="R556" i="6"/>
  <c r="AJ556" i="6" s="1"/>
  <c r="R716" i="6"/>
  <c r="AJ716" i="6" s="1"/>
  <c r="R436" i="6"/>
  <c r="AJ436" i="6" s="1"/>
  <c r="R391" i="6"/>
  <c r="AJ391" i="6" s="1"/>
  <c r="R351" i="6"/>
  <c r="AJ351" i="6" s="1"/>
  <c r="R576" i="6"/>
  <c r="AJ576" i="6" s="1"/>
  <c r="R406" i="6"/>
  <c r="AJ406" i="6" s="1"/>
  <c r="R691" i="6"/>
  <c r="AJ691" i="6" s="1"/>
  <c r="R301" i="6"/>
  <c r="AJ301" i="6" s="1"/>
  <c r="R496" i="6"/>
  <c r="AJ496" i="6" s="1"/>
  <c r="R196" i="6"/>
  <c r="AJ196" i="6" s="1"/>
  <c r="R186" i="6"/>
  <c r="AJ186" i="6" s="1"/>
  <c r="R151" i="6"/>
  <c r="AJ151" i="6" s="1"/>
  <c r="R86" i="6"/>
  <c r="AJ86" i="6" s="1"/>
  <c r="R36" i="6"/>
  <c r="AJ36" i="6" s="1"/>
  <c r="R376" i="6"/>
  <c r="AJ376" i="6" s="1"/>
  <c r="R331" i="6"/>
  <c r="AJ331" i="6" s="1"/>
  <c r="R311" i="6"/>
  <c r="AJ311" i="6" s="1"/>
  <c r="R271" i="6"/>
  <c r="AJ271" i="6" s="1"/>
  <c r="R226" i="6"/>
  <c r="AJ226" i="6" s="1"/>
  <c r="R181" i="6"/>
  <c r="AJ181" i="6" s="1"/>
  <c r="R126" i="6"/>
  <c r="AJ126" i="6" s="1"/>
  <c r="R81" i="6"/>
  <c r="AJ81" i="6" s="1"/>
  <c r="R21" i="6"/>
  <c r="AJ21" i="6" s="1"/>
  <c r="R721" i="6"/>
  <c r="AJ721" i="6" s="1"/>
  <c r="R661" i="6"/>
  <c r="AJ661" i="6" s="1"/>
  <c r="R676" i="6"/>
  <c r="AJ676" i="6" s="1"/>
  <c r="R441" i="6"/>
  <c r="AJ441" i="6" s="1"/>
  <c r="R606" i="6"/>
  <c r="AJ606" i="6" s="1"/>
  <c r="R296" i="6"/>
  <c r="AJ296" i="6" s="1"/>
  <c r="R591" i="6"/>
  <c r="AJ591" i="6" s="1"/>
  <c r="R256" i="6"/>
  <c r="AJ256" i="6" s="1"/>
  <c r="R96" i="6"/>
  <c r="AJ96" i="6" s="1"/>
  <c r="R371" i="6"/>
  <c r="AJ371" i="6" s="1"/>
  <c r="R321" i="6"/>
  <c r="AJ321" i="6" s="1"/>
  <c r="R276" i="6"/>
  <c r="AJ276" i="6" s="1"/>
  <c r="R221" i="6"/>
  <c r="AJ221" i="6" s="1"/>
  <c r="R171" i="6"/>
  <c r="AJ171" i="6" s="1"/>
  <c r="R76" i="6"/>
  <c r="AJ76" i="6" s="1"/>
  <c r="R31" i="6"/>
  <c r="AJ31" i="6" s="1"/>
  <c r="R6" i="6"/>
  <c r="AJ6" i="6" s="1"/>
  <c r="N39" i="5"/>
  <c r="N71" i="5"/>
  <c r="R766" i="6"/>
  <c r="AJ766" i="6" s="1"/>
  <c r="R546" i="6"/>
  <c r="AJ546" i="6" s="1"/>
  <c r="R416" i="6"/>
  <c r="AJ416" i="6" s="1"/>
  <c r="R601" i="6"/>
  <c r="AJ601" i="6" s="1"/>
  <c r="R516" i="6"/>
  <c r="AJ516" i="6" s="1"/>
  <c r="R681" i="6"/>
  <c r="AJ681" i="6" s="1"/>
  <c r="R396" i="6"/>
  <c r="AJ396" i="6" s="1"/>
  <c r="R261" i="6"/>
  <c r="AJ261" i="6" s="1"/>
  <c r="R366" i="6"/>
  <c r="AJ366" i="6" s="1"/>
  <c r="R316" i="6"/>
  <c r="AJ316" i="6" s="1"/>
  <c r="R266" i="6"/>
  <c r="AJ266" i="6" s="1"/>
  <c r="R216" i="6"/>
  <c r="AJ216" i="6" s="1"/>
  <c r="R166" i="6"/>
  <c r="AJ166" i="6" s="1"/>
  <c r="R121" i="6"/>
  <c r="AJ121" i="6" s="1"/>
  <c r="R71" i="6"/>
  <c r="AJ71" i="6" s="1"/>
  <c r="R26" i="6"/>
  <c r="AJ26" i="6" s="1"/>
  <c r="N135" i="5"/>
  <c r="N295" i="5"/>
  <c r="N199" i="5"/>
  <c r="R756" i="6"/>
  <c r="AJ756" i="6" s="1"/>
  <c r="R641" i="6"/>
  <c r="AJ641" i="6" s="1"/>
  <c r="R531" i="6"/>
  <c r="AJ531" i="6" s="1"/>
  <c r="R401" i="6"/>
  <c r="AJ401" i="6" s="1"/>
  <c r="R571" i="6"/>
  <c r="AJ571" i="6" s="1"/>
  <c r="R486" i="6"/>
  <c r="AJ486" i="6" s="1"/>
  <c r="R671" i="6"/>
  <c r="AJ671" i="6" s="1"/>
  <c r="R306" i="6"/>
  <c r="AJ306" i="6" s="1"/>
  <c r="R156" i="6"/>
  <c r="AJ156" i="6" s="1"/>
  <c r="R51" i="6"/>
  <c r="AJ51" i="6" s="1"/>
  <c r="AL59" i="9"/>
  <c r="AL27" i="9"/>
  <c r="AL15" i="9"/>
  <c r="AH39" i="7"/>
  <c r="AH109" i="7" s="1"/>
  <c r="AH60" i="7"/>
  <c r="AH127" i="7" s="1"/>
  <c r="AH19" i="7"/>
  <c r="AH91" i="7" s="1"/>
  <c r="AL34" i="9"/>
  <c r="AL47" i="9"/>
  <c r="AL2" i="9"/>
  <c r="AH25" i="7"/>
  <c r="AH97" i="7" s="1"/>
  <c r="AH46" i="7"/>
  <c r="AH115" i="7" s="1"/>
  <c r="AL21" i="9"/>
  <c r="AH13" i="7"/>
  <c r="AH85" i="7" s="1"/>
  <c r="AL41" i="9"/>
  <c r="AH78" i="7"/>
  <c r="AL53" i="9"/>
  <c r="AH6" i="7"/>
  <c r="AH67" i="7"/>
  <c r="AH133" i="7" s="1"/>
  <c r="Z710" i="6"/>
  <c r="AR710" i="6" s="1"/>
  <c r="Z695" i="6"/>
  <c r="AR695" i="6" s="1"/>
  <c r="Z680" i="6"/>
  <c r="AR680" i="6" s="1"/>
  <c r="Z435" i="6"/>
  <c r="AR435" i="6" s="1"/>
  <c r="Z590" i="6"/>
  <c r="AR590" i="6" s="1"/>
  <c r="Z515" i="6"/>
  <c r="AR515" i="6" s="1"/>
  <c r="Z595" i="6"/>
  <c r="AR595" i="6" s="1"/>
  <c r="AH31" i="7"/>
  <c r="AH103" i="7" s="1"/>
  <c r="Z690" i="6"/>
  <c r="AR690" i="6" s="1"/>
  <c r="Z605" i="6"/>
  <c r="AR605" i="6" s="1"/>
  <c r="Z510" i="6"/>
  <c r="AR510" i="6" s="1"/>
  <c r="Z570" i="6"/>
  <c r="AR570" i="6" s="1"/>
  <c r="Z730" i="6"/>
  <c r="AR730" i="6" s="1"/>
  <c r="Z645" i="6"/>
  <c r="AR645" i="6" s="1"/>
  <c r="Z555" i="6"/>
  <c r="AR555" i="6" s="1"/>
  <c r="Z495" i="6"/>
  <c r="AR495" i="6" s="1"/>
  <c r="Z300" i="6"/>
  <c r="AR300" i="6" s="1"/>
  <c r="Z470" i="6"/>
  <c r="AR470" i="6" s="1"/>
  <c r="Z480" i="6"/>
  <c r="AR480" i="6" s="1"/>
  <c r="Z765" i="6"/>
  <c r="AR765" i="6" s="1"/>
  <c r="Z725" i="6"/>
  <c r="AR725" i="6" s="1"/>
  <c r="Z630" i="6"/>
  <c r="AR630" i="6" s="1"/>
  <c r="Z550" i="6"/>
  <c r="AR550" i="6" s="1"/>
  <c r="Z505" i="6"/>
  <c r="AR505" i="6" s="1"/>
  <c r="Z290" i="6"/>
  <c r="AR290" i="6" s="1"/>
  <c r="Z385" i="6"/>
  <c r="AR385" i="6" s="1"/>
  <c r="Z285" i="6"/>
  <c r="AR285" i="6" s="1"/>
  <c r="Z245" i="6"/>
  <c r="AR245" i="6" s="1"/>
  <c r="Z195" i="6"/>
  <c r="AR195" i="6" s="1"/>
  <c r="Z155" i="6"/>
  <c r="AR155" i="6" s="1"/>
  <c r="Z135" i="6"/>
  <c r="AR135" i="6" s="1"/>
  <c r="Z95" i="6"/>
  <c r="AR95" i="6" s="1"/>
  <c r="Z40" i="6"/>
  <c r="AR40" i="6" s="1"/>
  <c r="Z705" i="6"/>
  <c r="AR705" i="6" s="1"/>
  <c r="Z685" i="6"/>
  <c r="AR685" i="6" s="1"/>
  <c r="Z670" i="6"/>
  <c r="AR670" i="6" s="1"/>
  <c r="Z615" i="6"/>
  <c r="AR615" i="6" s="1"/>
  <c r="Z760" i="6"/>
  <c r="AR760" i="6" s="1"/>
  <c r="Z720" i="6"/>
  <c r="AR720" i="6" s="1"/>
  <c r="Z635" i="6"/>
  <c r="AR635" i="6" s="1"/>
  <c r="Z545" i="6"/>
  <c r="AR545" i="6" s="1"/>
  <c r="Z475" i="6"/>
  <c r="AR475" i="6" s="1"/>
  <c r="Z410" i="6"/>
  <c r="AR410" i="6" s="1"/>
  <c r="Z455" i="6"/>
  <c r="AR455" i="6" s="1"/>
  <c r="Z450" i="6"/>
  <c r="AR450" i="6" s="1"/>
  <c r="Z350" i="6"/>
  <c r="AR350" i="6" s="1"/>
  <c r="Z755" i="6"/>
  <c r="AR755" i="6" s="1"/>
  <c r="Z660" i="6"/>
  <c r="AR660" i="6" s="1"/>
  <c r="Z620" i="6"/>
  <c r="AR620" i="6" s="1"/>
  <c r="Z540" i="6"/>
  <c r="AR540" i="6" s="1"/>
  <c r="Z485" i="6"/>
  <c r="AR485" i="6" s="1"/>
  <c r="Z490" i="6"/>
  <c r="AR490" i="6" s="1"/>
  <c r="Z255" i="6"/>
  <c r="AR255" i="6" s="1"/>
  <c r="Z240" i="6"/>
  <c r="AR240" i="6" s="1"/>
  <c r="Z200" i="6"/>
  <c r="AR200" i="6" s="1"/>
  <c r="Z150" i="6"/>
  <c r="AR150" i="6" s="1"/>
  <c r="Z105" i="6"/>
  <c r="AR105" i="6" s="1"/>
  <c r="Z85" i="6"/>
  <c r="AR85" i="6" s="1"/>
  <c r="Z35" i="6"/>
  <c r="AR35" i="6" s="1"/>
  <c r="Z265" i="6"/>
  <c r="AR265" i="6" s="1"/>
  <c r="Z110" i="6"/>
  <c r="AR110" i="6" s="1"/>
  <c r="Z5" i="6"/>
  <c r="AR5" i="6" s="1"/>
  <c r="Z270" i="6"/>
  <c r="AR270" i="6" s="1"/>
  <c r="Z115" i="6"/>
  <c r="AR115" i="6" s="1"/>
  <c r="Z320" i="6"/>
  <c r="AR320" i="6" s="1"/>
  <c r="Z210" i="6"/>
  <c r="AR210" i="6" s="1"/>
  <c r="Z80" i="6"/>
  <c r="AR80" i="6" s="1"/>
  <c r="Z165" i="6"/>
  <c r="AR165" i="6" s="1"/>
  <c r="Z75" i="6"/>
  <c r="AR75" i="6" s="1"/>
  <c r="Z700" i="6"/>
  <c r="AR700" i="6" s="1"/>
  <c r="Z610" i="6"/>
  <c r="AR610" i="6" s="1"/>
  <c r="Z580" i="6"/>
  <c r="AR580" i="6" s="1"/>
  <c r="Z655" i="6"/>
  <c r="AR655" i="6" s="1"/>
  <c r="Z525" i="6"/>
  <c r="AR525" i="6" s="1"/>
  <c r="Z345" i="6"/>
  <c r="AR345" i="6" s="1"/>
  <c r="Z500" i="6"/>
  <c r="AR500" i="6" s="1"/>
  <c r="Z640" i="6"/>
  <c r="AR640" i="6" s="1"/>
  <c r="Z520" i="6"/>
  <c r="AR520" i="6" s="1"/>
  <c r="Z405" i="6"/>
  <c r="AR405" i="6" s="1"/>
  <c r="Z250" i="6"/>
  <c r="AR250" i="6" s="1"/>
  <c r="Z260" i="6"/>
  <c r="AR260" i="6" s="1"/>
  <c r="Z375" i="6"/>
  <c r="AR375" i="6" s="1"/>
  <c r="Z175" i="6"/>
  <c r="AR175" i="6" s="1"/>
  <c r="Z10" i="6"/>
  <c r="AR10" i="6" s="1"/>
  <c r="Z225" i="6"/>
  <c r="AR225" i="6" s="1"/>
  <c r="Z25" i="6"/>
  <c r="AR25" i="6" s="1"/>
  <c r="Z275" i="6"/>
  <c r="AR275" i="6" s="1"/>
  <c r="Z215" i="6"/>
  <c r="AR215" i="6" s="1"/>
  <c r="Z125" i="6"/>
  <c r="AR125" i="6" s="1"/>
  <c r="V230" i="5"/>
  <c r="V262" i="5"/>
  <c r="V70" i="5"/>
  <c r="AL9" i="9"/>
  <c r="Y14" i="3"/>
  <c r="Z585" i="6"/>
  <c r="AR585" i="6" s="1"/>
  <c r="Z750" i="6"/>
  <c r="AR750" i="6" s="1"/>
  <c r="Z625" i="6"/>
  <c r="AR625" i="6" s="1"/>
  <c r="Z445" i="6"/>
  <c r="AR445" i="6" s="1"/>
  <c r="Z400" i="6"/>
  <c r="AR400" i="6" s="1"/>
  <c r="Z425" i="6"/>
  <c r="AR425" i="6" s="1"/>
  <c r="Z745" i="6"/>
  <c r="AR745" i="6" s="1"/>
  <c r="Z560" i="6"/>
  <c r="AR560" i="6" s="1"/>
  <c r="Z340" i="6"/>
  <c r="AR340" i="6" s="1"/>
  <c r="Z185" i="6"/>
  <c r="AR185" i="6" s="1"/>
  <c r="Z145" i="6"/>
  <c r="AR145" i="6" s="1"/>
  <c r="Z50" i="6"/>
  <c r="AR50" i="6" s="1"/>
  <c r="Z330" i="6"/>
  <c r="AR330" i="6" s="1"/>
  <c r="Z130" i="6"/>
  <c r="AR130" i="6" s="1"/>
  <c r="Z380" i="6"/>
  <c r="AR380" i="6" s="1"/>
  <c r="Z180" i="6"/>
  <c r="AR180" i="6" s="1"/>
  <c r="Z365" i="6"/>
  <c r="AR365" i="6" s="1"/>
  <c r="Z120" i="6"/>
  <c r="AR120" i="6" s="1"/>
  <c r="Z60" i="6"/>
  <c r="AR60" i="6" s="1"/>
  <c r="Z230" i="6"/>
  <c r="AR230" i="6" s="1"/>
  <c r="V198" i="5"/>
  <c r="V134" i="5"/>
  <c r="AH53" i="7"/>
  <c r="AH121" i="7" s="1"/>
  <c r="Z715" i="6"/>
  <c r="AR715" i="6" s="1"/>
  <c r="Z675" i="6"/>
  <c r="AR675" i="6" s="1"/>
  <c r="Z575" i="6"/>
  <c r="AR575" i="6" s="1"/>
  <c r="Z740" i="6"/>
  <c r="AR740" i="6" s="1"/>
  <c r="Z565" i="6"/>
  <c r="AR565" i="6" s="1"/>
  <c r="Z430" i="6"/>
  <c r="AR430" i="6" s="1"/>
  <c r="Z335" i="6"/>
  <c r="AR335" i="6" s="1"/>
  <c r="Z395" i="6"/>
  <c r="AR395" i="6" s="1"/>
  <c r="Z735" i="6"/>
  <c r="AR735" i="6" s="1"/>
  <c r="Z355" i="6"/>
  <c r="AR355" i="6" s="1"/>
  <c r="Z295" i="6"/>
  <c r="AR295" i="6" s="1"/>
  <c r="Z205" i="6"/>
  <c r="AR205" i="6" s="1"/>
  <c r="Z140" i="6"/>
  <c r="AR140" i="6" s="1"/>
  <c r="Z45" i="6"/>
  <c r="AR45" i="6" s="1"/>
  <c r="AH59" i="9"/>
  <c r="AH41" i="9"/>
  <c r="AD60" i="7"/>
  <c r="AD127" i="7" s="1"/>
  <c r="AH34" i="9"/>
  <c r="AD67" i="7"/>
  <c r="AD133" i="7" s="1"/>
  <c r="AD25" i="7"/>
  <c r="AD97" i="7" s="1"/>
  <c r="AD46" i="7"/>
  <c r="AD115" i="7" s="1"/>
  <c r="AD53" i="7"/>
  <c r="AD121" i="7" s="1"/>
  <c r="AD19" i="7"/>
  <c r="AD91" i="7" s="1"/>
  <c r="V715" i="6"/>
  <c r="AN715" i="6" s="1"/>
  <c r="V700" i="6"/>
  <c r="AN700" i="6" s="1"/>
  <c r="V680" i="6"/>
  <c r="AN680" i="6" s="1"/>
  <c r="V415" i="6"/>
  <c r="AN415" i="6" s="1"/>
  <c r="V580" i="6"/>
  <c r="AN580" i="6" s="1"/>
  <c r="V590" i="6"/>
  <c r="AN590" i="6" s="1"/>
  <c r="V510" i="6"/>
  <c r="AN510" i="6" s="1"/>
  <c r="V735" i="6"/>
  <c r="AN735" i="6" s="1"/>
  <c r="V650" i="6"/>
  <c r="AN650" i="6" s="1"/>
  <c r="V560" i="6"/>
  <c r="AN560" i="6" s="1"/>
  <c r="V520" i="6"/>
  <c r="AN520" i="6" s="1"/>
  <c r="V425" i="6"/>
  <c r="AN425" i="6" s="1"/>
  <c r="V440" i="6"/>
  <c r="AN440" i="6" s="1"/>
  <c r="V445" i="6"/>
  <c r="AN445" i="6" s="1"/>
  <c r="V345" i="6"/>
  <c r="AN345" i="6" s="1"/>
  <c r="V455" i="6"/>
  <c r="AN455" i="6" s="1"/>
  <c r="V290" i="6"/>
  <c r="AN290" i="6" s="1"/>
  <c r="V730" i="6"/>
  <c r="AN730" i="6" s="1"/>
  <c r="V645" i="6"/>
  <c r="AN645" i="6" s="1"/>
  <c r="V555" i="6"/>
  <c r="AN555" i="6" s="1"/>
  <c r="V490" i="6"/>
  <c r="AN490" i="6" s="1"/>
  <c r="V340" i="6"/>
  <c r="AN340" i="6" s="1"/>
  <c r="V250" i="6"/>
  <c r="AN250" i="6" s="1"/>
  <c r="V205" i="6"/>
  <c r="AN205" i="6" s="1"/>
  <c r="V260" i="6"/>
  <c r="AN260" i="6" s="1"/>
  <c r="V140" i="6"/>
  <c r="AN140" i="6" s="1"/>
  <c r="V45" i="6"/>
  <c r="AN45" i="6" s="1"/>
  <c r="AD39" i="7"/>
  <c r="AD109" i="7" s="1"/>
  <c r="AD31" i="7"/>
  <c r="AD103" i="7" s="1"/>
  <c r="AH47" i="9"/>
  <c r="AD13" i="7"/>
  <c r="AD85" i="7" s="1"/>
  <c r="V685" i="6"/>
  <c r="AN685" i="6" s="1"/>
  <c r="V615" i="6"/>
  <c r="AN615" i="6" s="1"/>
  <c r="V610" i="6"/>
  <c r="AN610" i="6" s="1"/>
  <c r="V515" i="6"/>
  <c r="AN515" i="6" s="1"/>
  <c r="V630" i="6"/>
  <c r="AN630" i="6" s="1"/>
  <c r="V530" i="6"/>
  <c r="AN530" i="6" s="1"/>
  <c r="V395" i="6"/>
  <c r="AN395" i="6" s="1"/>
  <c r="V285" i="6"/>
  <c r="AN285" i="6" s="1"/>
  <c r="V390" i="6"/>
  <c r="AN390" i="6" s="1"/>
  <c r="V400" i="6"/>
  <c r="AN400" i="6" s="1"/>
  <c r="V750" i="6"/>
  <c r="AN750" i="6" s="1"/>
  <c r="V655" i="6"/>
  <c r="AN655" i="6" s="1"/>
  <c r="V545" i="6"/>
  <c r="AN545" i="6" s="1"/>
  <c r="V405" i="6"/>
  <c r="AN405" i="6" s="1"/>
  <c r="V255" i="6"/>
  <c r="AN255" i="6" s="1"/>
  <c r="V200" i="6"/>
  <c r="AN200" i="6" s="1"/>
  <c r="V150" i="6"/>
  <c r="AN150" i="6" s="1"/>
  <c r="V100" i="6"/>
  <c r="AN100" i="6" s="1"/>
  <c r="V40" i="6"/>
  <c r="AN40" i="6" s="1"/>
  <c r="AH53" i="9"/>
  <c r="V710" i="6"/>
  <c r="AN710" i="6" s="1"/>
  <c r="V675" i="6"/>
  <c r="AN675" i="6" s="1"/>
  <c r="V595" i="6"/>
  <c r="AN595" i="6" s="1"/>
  <c r="V575" i="6"/>
  <c r="AN575" i="6" s="1"/>
  <c r="V725" i="6"/>
  <c r="AN725" i="6" s="1"/>
  <c r="V550" i="6"/>
  <c r="AN550" i="6" s="1"/>
  <c r="V450" i="6"/>
  <c r="AN450" i="6" s="1"/>
  <c r="V495" i="6"/>
  <c r="AN495" i="6" s="1"/>
  <c r="V505" i="6"/>
  <c r="AN505" i="6" s="1"/>
  <c r="V760" i="6"/>
  <c r="AN760" i="6" s="1"/>
  <c r="V635" i="6"/>
  <c r="AN635" i="6" s="1"/>
  <c r="V525" i="6"/>
  <c r="AN525" i="6" s="1"/>
  <c r="V475" i="6"/>
  <c r="AN475" i="6" s="1"/>
  <c r="V190" i="6"/>
  <c r="AN190" i="6" s="1"/>
  <c r="V135" i="6"/>
  <c r="AN135" i="6" s="1"/>
  <c r="V50" i="6"/>
  <c r="AN50" i="6" s="1"/>
  <c r="AD78" i="7"/>
  <c r="V705" i="6"/>
  <c r="AN705" i="6" s="1"/>
  <c r="V670" i="6"/>
  <c r="AN670" i="6" s="1"/>
  <c r="V570" i="6"/>
  <c r="AN570" i="6" s="1"/>
  <c r="V765" i="6"/>
  <c r="AN765" i="6" s="1"/>
  <c r="V660" i="6"/>
  <c r="AN660" i="6" s="1"/>
  <c r="V540" i="6"/>
  <c r="AN540" i="6" s="1"/>
  <c r="V350" i="6"/>
  <c r="AN350" i="6" s="1"/>
  <c r="V430" i="6"/>
  <c r="AN430" i="6" s="1"/>
  <c r="V485" i="6"/>
  <c r="AN485" i="6" s="1"/>
  <c r="V740" i="6"/>
  <c r="AN740" i="6" s="1"/>
  <c r="V625" i="6"/>
  <c r="AN625" i="6" s="1"/>
  <c r="V470" i="6"/>
  <c r="AN470" i="6" s="1"/>
  <c r="V245" i="6"/>
  <c r="AN245" i="6" s="1"/>
  <c r="V195" i="6"/>
  <c r="AN195" i="6" s="1"/>
  <c r="V105" i="6"/>
  <c r="AN105" i="6" s="1"/>
  <c r="V35" i="6"/>
  <c r="AN35" i="6" s="1"/>
  <c r="AH27" i="9"/>
  <c r="AH9" i="9"/>
  <c r="V380" i="6"/>
  <c r="AN380" i="6" s="1"/>
  <c r="V225" i="6"/>
  <c r="AN225" i="6" s="1"/>
  <c r="V70" i="6"/>
  <c r="AN70" i="6" s="1"/>
  <c r="V365" i="6"/>
  <c r="AN365" i="6" s="1"/>
  <c r="V210" i="6"/>
  <c r="AN210" i="6" s="1"/>
  <c r="V75" i="6"/>
  <c r="AN75" i="6" s="1"/>
  <c r="V375" i="6"/>
  <c r="AN375" i="6" s="1"/>
  <c r="V125" i="6"/>
  <c r="AN125" i="6" s="1"/>
  <c r="V175" i="6"/>
  <c r="AN175" i="6" s="1"/>
  <c r="V65" i="6"/>
  <c r="AN65" i="6" s="1"/>
  <c r="V690" i="6"/>
  <c r="AN690" i="6" s="1"/>
  <c r="V585" i="6"/>
  <c r="AN585" i="6" s="1"/>
  <c r="V620" i="6"/>
  <c r="AN620" i="6" s="1"/>
  <c r="V420" i="6"/>
  <c r="AN420" i="6" s="1"/>
  <c r="V335" i="6"/>
  <c r="AN335" i="6" s="1"/>
  <c r="V535" i="6"/>
  <c r="AN535" i="6" s="1"/>
  <c r="V185" i="6"/>
  <c r="AN185" i="6" s="1"/>
  <c r="V85" i="6"/>
  <c r="AN85" i="6" s="1"/>
  <c r="AH15" i="9"/>
  <c r="V315" i="6"/>
  <c r="AN315" i="6" s="1"/>
  <c r="V115" i="6"/>
  <c r="AN115" i="6" s="1"/>
  <c r="V320" i="6"/>
  <c r="AN320" i="6" s="1"/>
  <c r="V120" i="6"/>
  <c r="AN120" i="6" s="1"/>
  <c r="V325" i="6"/>
  <c r="AN325" i="6" s="1"/>
  <c r="V60" i="6"/>
  <c r="AN60" i="6" s="1"/>
  <c r="V130" i="6"/>
  <c r="AN130" i="6" s="1"/>
  <c r="V220" i="6"/>
  <c r="AN220" i="6" s="1"/>
  <c r="U14" i="3"/>
  <c r="R262" i="5"/>
  <c r="R70" i="5"/>
  <c r="V435" i="6"/>
  <c r="AN435" i="6" s="1"/>
  <c r="V755" i="6"/>
  <c r="AN755" i="6" s="1"/>
  <c r="V500" i="6"/>
  <c r="AN500" i="6" s="1"/>
  <c r="V410" i="6"/>
  <c r="AN410" i="6" s="1"/>
  <c r="V720" i="6"/>
  <c r="AN720" i="6" s="1"/>
  <c r="V385" i="6"/>
  <c r="AN385" i="6" s="1"/>
  <c r="V155" i="6"/>
  <c r="AN155" i="6" s="1"/>
  <c r="AH2" i="9"/>
  <c r="V270" i="6"/>
  <c r="AN270" i="6" s="1"/>
  <c r="V25" i="6"/>
  <c r="AN25" i="6" s="1"/>
  <c r="V275" i="6"/>
  <c r="AN275" i="6" s="1"/>
  <c r="V330" i="6"/>
  <c r="AN330" i="6" s="1"/>
  <c r="V15" i="6"/>
  <c r="AN15" i="6" s="1"/>
  <c r="V310" i="6"/>
  <c r="AN310" i="6" s="1"/>
  <c r="V20" i="6"/>
  <c r="AN20" i="6" s="1"/>
  <c r="R294" i="5"/>
  <c r="R166" i="5"/>
  <c r="R38" i="5"/>
  <c r="V600" i="6"/>
  <c r="AN600" i="6" s="1"/>
  <c r="V745" i="6"/>
  <c r="AN745" i="6" s="1"/>
  <c r="V480" i="6"/>
  <c r="AN480" i="6" s="1"/>
  <c r="V300" i="6"/>
  <c r="AN300" i="6" s="1"/>
  <c r="V665" i="6"/>
  <c r="AN665" i="6" s="1"/>
  <c r="V295" i="6"/>
  <c r="AN295" i="6" s="1"/>
  <c r="V145" i="6"/>
  <c r="AN145" i="6" s="1"/>
  <c r="AD47" i="9"/>
  <c r="Z39" i="7"/>
  <c r="Z109" i="7" s="1"/>
  <c r="Z60" i="7"/>
  <c r="Z127" i="7" s="1"/>
  <c r="AD59" i="9"/>
  <c r="AD41" i="9"/>
  <c r="Z25" i="7"/>
  <c r="Z97" i="7" s="1"/>
  <c r="Z46" i="7"/>
  <c r="Z115" i="7" s="1"/>
  <c r="Z67" i="7"/>
  <c r="Z133" i="7" s="1"/>
  <c r="Z31" i="7"/>
  <c r="Z103" i="7" s="1"/>
  <c r="Z53" i="7"/>
  <c r="Z121" i="7" s="1"/>
  <c r="Z19" i="7"/>
  <c r="Z91" i="7" s="1"/>
  <c r="AD53" i="9"/>
  <c r="Z13" i="7"/>
  <c r="Z85" i="7" s="1"/>
  <c r="R705" i="6"/>
  <c r="AJ705" i="6" s="1"/>
  <c r="R675" i="6"/>
  <c r="AJ675" i="6" s="1"/>
  <c r="R415" i="6"/>
  <c r="AJ415" i="6" s="1"/>
  <c r="R600" i="6"/>
  <c r="AJ600" i="6" s="1"/>
  <c r="R575" i="6"/>
  <c r="AJ575" i="6" s="1"/>
  <c r="R760" i="6"/>
  <c r="AJ760" i="6" s="1"/>
  <c r="R730" i="6"/>
  <c r="AJ730" i="6" s="1"/>
  <c r="R655" i="6"/>
  <c r="AJ655" i="6" s="1"/>
  <c r="R565" i="6"/>
  <c r="AJ565" i="6" s="1"/>
  <c r="R485" i="6"/>
  <c r="AJ485" i="6" s="1"/>
  <c r="R355" i="6"/>
  <c r="AJ355" i="6" s="1"/>
  <c r="R475" i="6"/>
  <c r="AJ475" i="6" s="1"/>
  <c r="R345" i="6"/>
  <c r="AJ345" i="6" s="1"/>
  <c r="R470" i="6"/>
  <c r="AJ470" i="6" s="1"/>
  <c r="R405" i="6"/>
  <c r="AJ405" i="6" s="1"/>
  <c r="R295" i="6"/>
  <c r="AJ295" i="6" s="1"/>
  <c r="R745" i="6"/>
  <c r="AJ745" i="6" s="1"/>
  <c r="R630" i="6"/>
  <c r="AJ630" i="6" s="1"/>
  <c r="R550" i="6"/>
  <c r="AJ550" i="6" s="1"/>
  <c r="R520" i="6"/>
  <c r="AJ520" i="6" s="1"/>
  <c r="R450" i="6"/>
  <c r="AJ450" i="6" s="1"/>
  <c r="R240" i="6"/>
  <c r="AJ240" i="6" s="1"/>
  <c r="R195" i="6"/>
  <c r="AJ195" i="6" s="1"/>
  <c r="R260" i="6"/>
  <c r="AJ260" i="6" s="1"/>
  <c r="R140" i="6"/>
  <c r="AJ140" i="6" s="1"/>
  <c r="R50" i="6"/>
  <c r="AJ50" i="6" s="1"/>
  <c r="R35" i="6"/>
  <c r="AJ35" i="6" s="1"/>
  <c r="R700" i="6"/>
  <c r="AJ700" i="6" s="1"/>
  <c r="R680" i="6"/>
  <c r="AJ680" i="6" s="1"/>
  <c r="R615" i="6"/>
  <c r="AJ615" i="6" s="1"/>
  <c r="R585" i="6"/>
  <c r="AJ585" i="6" s="1"/>
  <c r="R515" i="6"/>
  <c r="AJ515" i="6" s="1"/>
  <c r="R750" i="6"/>
  <c r="AJ750" i="6" s="1"/>
  <c r="R625" i="6"/>
  <c r="AJ625" i="6" s="1"/>
  <c r="R535" i="6"/>
  <c r="AJ535" i="6" s="1"/>
  <c r="R400" i="6"/>
  <c r="AJ400" i="6" s="1"/>
  <c r="R290" i="6"/>
  <c r="AJ290" i="6" s="1"/>
  <c r="R350" i="6"/>
  <c r="AJ350" i="6" s="1"/>
  <c r="R285" i="6"/>
  <c r="AJ285" i="6" s="1"/>
  <c r="R735" i="6"/>
  <c r="AJ735" i="6" s="1"/>
  <c r="R640" i="6"/>
  <c r="AJ640" i="6" s="1"/>
  <c r="R540" i="6"/>
  <c r="AJ540" i="6" s="1"/>
  <c r="R430" i="6"/>
  <c r="AJ430" i="6" s="1"/>
  <c r="R305" i="6"/>
  <c r="AJ305" i="6" s="1"/>
  <c r="R185" i="6"/>
  <c r="AJ185" i="6" s="1"/>
  <c r="R145" i="6"/>
  <c r="AJ145" i="6" s="1"/>
  <c r="R100" i="6"/>
  <c r="AJ100" i="6" s="1"/>
  <c r="R40" i="6"/>
  <c r="AJ40" i="6" s="1"/>
  <c r="R715" i="6"/>
  <c r="AJ715" i="6" s="1"/>
  <c r="R695" i="6"/>
  <c r="AJ695" i="6" s="1"/>
  <c r="R670" i="6"/>
  <c r="AJ670" i="6" s="1"/>
  <c r="R580" i="6"/>
  <c r="AJ580" i="6" s="1"/>
  <c r="R510" i="6"/>
  <c r="AJ510" i="6" s="1"/>
  <c r="R740" i="6"/>
  <c r="AJ740" i="6" s="1"/>
  <c r="R665" i="6"/>
  <c r="AJ665" i="6" s="1"/>
  <c r="R525" i="6"/>
  <c r="AJ525" i="6" s="1"/>
  <c r="R445" i="6"/>
  <c r="AJ445" i="6" s="1"/>
  <c r="R300" i="6"/>
  <c r="AJ300" i="6" s="1"/>
  <c r="R490" i="6"/>
  <c r="AJ490" i="6" s="1"/>
  <c r="R385" i="6"/>
  <c r="AJ385" i="6" s="1"/>
  <c r="R765" i="6"/>
  <c r="AJ765" i="6" s="1"/>
  <c r="R725" i="6"/>
  <c r="AJ725" i="6" s="1"/>
  <c r="R620" i="6"/>
  <c r="AJ620" i="6" s="1"/>
  <c r="R500" i="6"/>
  <c r="AJ500" i="6" s="1"/>
  <c r="R255" i="6"/>
  <c r="AJ255" i="6" s="1"/>
  <c r="R205" i="6"/>
  <c r="AJ205" i="6" s="1"/>
  <c r="R190" i="6"/>
  <c r="AJ190" i="6" s="1"/>
  <c r="R95" i="6"/>
  <c r="AJ95" i="6" s="1"/>
  <c r="AD15" i="9"/>
  <c r="R365" i="6"/>
  <c r="AJ365" i="6" s="1"/>
  <c r="R210" i="6"/>
  <c r="AJ210" i="6" s="1"/>
  <c r="R30" i="6"/>
  <c r="AJ30" i="6" s="1"/>
  <c r="R325" i="6"/>
  <c r="AJ325" i="6" s="1"/>
  <c r="R170" i="6"/>
  <c r="AJ170" i="6" s="1"/>
  <c r="R15" i="6"/>
  <c r="AJ15" i="6" s="1"/>
  <c r="R130" i="6"/>
  <c r="AJ130" i="6" s="1"/>
  <c r="R270" i="6"/>
  <c r="AJ270" i="6" s="1"/>
  <c r="R70" i="6"/>
  <c r="AJ70" i="6" s="1"/>
  <c r="R360" i="6"/>
  <c r="AJ360" i="6" s="1"/>
  <c r="R110" i="6"/>
  <c r="AJ110" i="6" s="1"/>
  <c r="Z78" i="7"/>
  <c r="R570" i="6"/>
  <c r="AJ570" i="6" s="1"/>
  <c r="R720" i="6"/>
  <c r="AJ720" i="6" s="1"/>
  <c r="R545" i="6"/>
  <c r="AJ545" i="6" s="1"/>
  <c r="R425" i="6"/>
  <c r="AJ425" i="6" s="1"/>
  <c r="R340" i="6"/>
  <c r="AJ340" i="6" s="1"/>
  <c r="R650" i="6"/>
  <c r="AJ650" i="6" s="1"/>
  <c r="R495" i="6"/>
  <c r="AJ495" i="6" s="1"/>
  <c r="R245" i="6"/>
  <c r="AJ245" i="6" s="1"/>
  <c r="R150" i="6"/>
  <c r="AJ150" i="6" s="1"/>
  <c r="R45" i="6"/>
  <c r="AJ45" i="6" s="1"/>
  <c r="AD2" i="9"/>
  <c r="R230" i="6"/>
  <c r="AJ230" i="6" s="1"/>
  <c r="R10" i="6"/>
  <c r="AJ10" i="6" s="1"/>
  <c r="R235" i="6"/>
  <c r="AJ235" i="6" s="1"/>
  <c r="R60" i="6"/>
  <c r="AJ60" i="6" s="1"/>
  <c r="R65" i="6"/>
  <c r="AJ65" i="6" s="1"/>
  <c r="R115" i="6"/>
  <c r="AJ115" i="6" s="1"/>
  <c r="R175" i="6"/>
  <c r="AJ175" i="6" s="1"/>
  <c r="N230" i="5"/>
  <c r="N70" i="5"/>
  <c r="N166" i="5"/>
  <c r="R690" i="6"/>
  <c r="AJ690" i="6" s="1"/>
  <c r="R610" i="6"/>
  <c r="AJ610" i="6" s="1"/>
  <c r="R605" i="6"/>
  <c r="AJ605" i="6" s="1"/>
  <c r="R645" i="6"/>
  <c r="AJ645" i="6" s="1"/>
  <c r="R505" i="6"/>
  <c r="AJ505" i="6" s="1"/>
  <c r="R410" i="6"/>
  <c r="AJ410" i="6" s="1"/>
  <c r="R440" i="6"/>
  <c r="AJ440" i="6" s="1"/>
  <c r="R755" i="6"/>
  <c r="AJ755" i="6" s="1"/>
  <c r="R560" i="6"/>
  <c r="AJ560" i="6" s="1"/>
  <c r="R135" i="6"/>
  <c r="AJ135" i="6" s="1"/>
  <c r="AD9" i="9"/>
  <c r="R165" i="6"/>
  <c r="AJ165" i="6" s="1"/>
  <c r="R5" i="6"/>
  <c r="AJ5" i="6" s="1"/>
  <c r="R215" i="6"/>
  <c r="AJ215" i="6" s="1"/>
  <c r="R375" i="6"/>
  <c r="AJ375" i="6" s="1"/>
  <c r="R20" i="6"/>
  <c r="AJ20" i="6" s="1"/>
  <c r="R225" i="6"/>
  <c r="AJ225" i="6" s="1"/>
  <c r="R310" i="6"/>
  <c r="AJ310" i="6" s="1"/>
  <c r="Q14" i="3"/>
  <c r="N198" i="5"/>
  <c r="N262" i="5"/>
  <c r="R685" i="6"/>
  <c r="AJ685" i="6" s="1"/>
  <c r="R590" i="6"/>
  <c r="AJ590" i="6" s="1"/>
  <c r="R595" i="6"/>
  <c r="AJ595" i="6" s="1"/>
  <c r="R635" i="6"/>
  <c r="AJ635" i="6" s="1"/>
  <c r="R455" i="6"/>
  <c r="AJ455" i="6" s="1"/>
  <c r="R390" i="6"/>
  <c r="AJ390" i="6" s="1"/>
  <c r="R420" i="6"/>
  <c r="AJ420" i="6" s="1"/>
  <c r="R395" i="6"/>
  <c r="AJ395" i="6" s="1"/>
  <c r="R200" i="6"/>
  <c r="AJ200" i="6" s="1"/>
  <c r="R105" i="6"/>
  <c r="AJ105" i="6" s="1"/>
  <c r="O38" i="2"/>
  <c r="O29" i="2"/>
  <c r="K29" i="2"/>
  <c r="K38" i="2"/>
  <c r="K37" i="2"/>
  <c r="K28" i="2"/>
  <c r="R2" i="5"/>
  <c r="R230" i="5"/>
  <c r="V38" i="5"/>
  <c r="R135" i="5"/>
  <c r="V199" i="5"/>
  <c r="V167" i="5"/>
  <c r="Z166" i="6"/>
  <c r="AR166" i="6" s="1"/>
  <c r="Z271" i="6"/>
  <c r="AR271" i="6" s="1"/>
  <c r="V71" i="6"/>
  <c r="AN71" i="6" s="1"/>
  <c r="V276" i="6"/>
  <c r="AN276" i="6" s="1"/>
  <c r="Z170" i="6"/>
  <c r="AR170" i="6" s="1"/>
  <c r="Z70" i="6"/>
  <c r="AR70" i="6" s="1"/>
  <c r="R265" i="6"/>
  <c r="AJ265" i="6" s="1"/>
  <c r="R180" i="6"/>
  <c r="AJ180" i="6" s="1"/>
  <c r="R80" i="6"/>
  <c r="AJ80" i="6" s="1"/>
  <c r="Q76" i="6"/>
  <c r="AI76" i="6" s="1"/>
  <c r="Q71" i="6"/>
  <c r="AI71" i="6" s="1"/>
  <c r="Q126" i="6"/>
  <c r="R66" i="6"/>
  <c r="AJ66" i="6" s="1"/>
  <c r="R161" i="6"/>
  <c r="AJ161" i="6" s="1"/>
  <c r="R236" i="6"/>
  <c r="AJ236" i="6" s="1"/>
  <c r="V235" i="6"/>
  <c r="AN235" i="6" s="1"/>
  <c r="V280" i="6"/>
  <c r="AN280" i="6" s="1"/>
  <c r="V180" i="6"/>
  <c r="AN180" i="6" s="1"/>
  <c r="V106" i="6"/>
  <c r="AN106" i="6" s="1"/>
  <c r="V571" i="6"/>
  <c r="AN571" i="6" s="1"/>
  <c r="V626" i="6"/>
  <c r="AN626" i="6" s="1"/>
  <c r="Z420" i="6"/>
  <c r="AR420" i="6" s="1"/>
  <c r="Z600" i="6"/>
  <c r="AR600" i="6" s="1"/>
  <c r="Q101" i="6"/>
  <c r="AI101" i="6" s="1"/>
  <c r="Q481" i="6"/>
  <c r="AI481" i="6" s="1"/>
  <c r="Z196" i="6"/>
  <c r="AR196" i="6" s="1"/>
  <c r="R696" i="6"/>
  <c r="AJ696" i="6" s="1"/>
  <c r="V640" i="6"/>
  <c r="AN640" i="6" s="1"/>
  <c r="AP10" i="9"/>
  <c r="AC301" i="6"/>
  <c r="AU301" i="6" s="1"/>
  <c r="M39" i="5"/>
  <c r="M40" i="5" s="1"/>
  <c r="M63" i="5" s="1"/>
  <c r="M167" i="5"/>
  <c r="N134" i="5"/>
  <c r="R134" i="5"/>
  <c r="V166" i="5"/>
  <c r="N3" i="5"/>
  <c r="N167" i="5"/>
  <c r="R39" i="5"/>
  <c r="V231" i="5"/>
  <c r="Z11" i="6"/>
  <c r="AR11" i="6" s="1"/>
  <c r="Z116" i="6"/>
  <c r="AR116" i="6" s="1"/>
  <c r="Z216" i="6"/>
  <c r="AR216" i="6" s="1"/>
  <c r="Z321" i="6"/>
  <c r="AR321" i="6" s="1"/>
  <c r="V21" i="6"/>
  <c r="AN21" i="6" s="1"/>
  <c r="V121" i="6"/>
  <c r="AN121" i="6" s="1"/>
  <c r="V226" i="6"/>
  <c r="AN226" i="6" s="1"/>
  <c r="V331" i="6"/>
  <c r="AN331" i="6" s="1"/>
  <c r="Z280" i="6"/>
  <c r="AR280" i="6" s="1"/>
  <c r="Z325" i="6"/>
  <c r="AR325" i="6" s="1"/>
  <c r="Z315" i="6"/>
  <c r="AR315" i="6" s="1"/>
  <c r="Z220" i="6"/>
  <c r="AR220" i="6" s="1"/>
  <c r="R380" i="6"/>
  <c r="AJ380" i="6" s="1"/>
  <c r="R220" i="6"/>
  <c r="AJ220" i="6" s="1"/>
  <c r="R280" i="6"/>
  <c r="AJ280" i="6" s="1"/>
  <c r="R275" i="6"/>
  <c r="AJ275" i="6" s="1"/>
  <c r="Q11" i="6"/>
  <c r="Q361" i="6"/>
  <c r="AI361" i="6" s="1"/>
  <c r="Q311" i="6"/>
  <c r="Q326" i="6"/>
  <c r="AI326" i="6" s="1"/>
  <c r="R16" i="6"/>
  <c r="AJ16" i="6" s="1"/>
  <c r="R116" i="6"/>
  <c r="AJ116" i="6" s="1"/>
  <c r="R211" i="6"/>
  <c r="AJ211" i="6" s="1"/>
  <c r="V170" i="6"/>
  <c r="AN170" i="6" s="1"/>
  <c r="V265" i="6"/>
  <c r="AN265" i="6" s="1"/>
  <c r="V30" i="6"/>
  <c r="AN30" i="6" s="1"/>
  <c r="V10" i="6"/>
  <c r="AN10" i="6" s="1"/>
  <c r="Z7" i="7"/>
  <c r="AD21" i="9"/>
  <c r="V41" i="6"/>
  <c r="AN41" i="6" s="1"/>
  <c r="V686" i="6"/>
  <c r="AN686" i="6" s="1"/>
  <c r="V396" i="6"/>
  <c r="AN396" i="6" s="1"/>
  <c r="V646" i="6"/>
  <c r="AN646" i="6" s="1"/>
  <c r="Z190" i="6"/>
  <c r="AR190" i="6" s="1"/>
  <c r="Z650" i="6"/>
  <c r="AR650" i="6" s="1"/>
  <c r="Z535" i="6"/>
  <c r="AR535" i="6" s="1"/>
  <c r="R530" i="6"/>
  <c r="AJ530" i="6" s="1"/>
  <c r="R335" i="6"/>
  <c r="AJ335" i="6" s="1"/>
  <c r="R435" i="6"/>
  <c r="AJ435" i="6" s="1"/>
  <c r="Q556" i="6"/>
  <c r="AI556" i="6" s="1"/>
  <c r="Q406" i="6"/>
  <c r="AI406" i="6" s="1"/>
  <c r="Z701" i="6"/>
  <c r="AR701" i="6" s="1"/>
  <c r="Z661" i="6"/>
  <c r="AR661" i="6" s="1"/>
  <c r="R106" i="6"/>
  <c r="AJ106" i="6" s="1"/>
  <c r="R616" i="6"/>
  <c r="AJ616" i="6" s="1"/>
  <c r="R731" i="6"/>
  <c r="AJ731" i="6" s="1"/>
  <c r="V355" i="6"/>
  <c r="AN355" i="6" s="1"/>
  <c r="V695" i="6"/>
  <c r="AN695" i="6" s="1"/>
  <c r="Z26" i="7"/>
  <c r="Z98" i="7" s="1"/>
  <c r="Y68" i="7"/>
  <c r="Y134" i="7" s="1"/>
  <c r="AC679" i="6"/>
  <c r="AC429" i="6"/>
  <c r="AC284" i="6"/>
  <c r="AO50" i="9"/>
  <c r="AC114" i="6"/>
  <c r="AO62" i="9"/>
  <c r="AC574" i="6"/>
  <c r="AO5" i="9"/>
  <c r="AC184" i="6"/>
  <c r="AO37" i="9"/>
  <c r="AC724" i="6"/>
  <c r="AD56" i="9"/>
  <c r="AD50" i="9"/>
  <c r="C37" i="2"/>
  <c r="E37" i="2"/>
  <c r="D11" i="3" s="1"/>
  <c r="E10" i="3" s="1"/>
  <c r="D39" i="2"/>
  <c r="AC474" i="6"/>
  <c r="AC634" i="6"/>
  <c r="AF169" i="6"/>
  <c r="AR50" i="9"/>
  <c r="AO12" i="9"/>
  <c r="AC214" i="6"/>
  <c r="AF219" i="6"/>
  <c r="AF329" i="6"/>
  <c r="AC334" i="6"/>
  <c r="AC414" i="6"/>
  <c r="AF494" i="6"/>
  <c r="AF534" i="6"/>
  <c r="AC584" i="6"/>
  <c r="AC624" i="6"/>
  <c r="AC729" i="6"/>
  <c r="AC374" i="6"/>
  <c r="AF374" i="6"/>
  <c r="AF134" i="6"/>
  <c r="AC369" i="6"/>
  <c r="O39" i="2"/>
  <c r="AO30" i="9"/>
  <c r="AC324" i="6"/>
  <c r="AO24" i="9"/>
  <c r="AC534" i="6"/>
  <c r="AD5" i="9"/>
  <c r="AD24" i="9"/>
  <c r="I37" i="2"/>
  <c r="AC484" i="6"/>
  <c r="AC329" i="6"/>
  <c r="AC644" i="6"/>
  <c r="AF549" i="6"/>
  <c r="AF114" i="6"/>
  <c r="AR37" i="9"/>
  <c r="AO18" i="9"/>
  <c r="AF264" i="6"/>
  <c r="AC274" i="6"/>
  <c r="AF279" i="6"/>
  <c r="AC74" i="6"/>
  <c r="AF429" i="6"/>
  <c r="AC494" i="6"/>
  <c r="AC579" i="6"/>
  <c r="AD624" i="6"/>
  <c r="AF679" i="6"/>
  <c r="AF739" i="6"/>
  <c r="AC744" i="6"/>
  <c r="AF389" i="6"/>
  <c r="AC119" i="6"/>
  <c r="AC124" i="6"/>
  <c r="AC134" i="6"/>
  <c r="AC629" i="6"/>
  <c r="AD634" i="6"/>
  <c r="AC739" i="6"/>
  <c r="AC529" i="6"/>
  <c r="AC264" i="6"/>
  <c r="AC424" i="6"/>
  <c r="AC379" i="6"/>
  <c r="AC69" i="6"/>
  <c r="AC64" i="6"/>
  <c r="AO44" i="9"/>
  <c r="AC79" i="6"/>
  <c r="AD12" i="9"/>
  <c r="AD62" i="9"/>
  <c r="AH18" i="9"/>
  <c r="AC269" i="6"/>
  <c r="AC319" i="6"/>
  <c r="AF84" i="6"/>
  <c r="AF184" i="6"/>
  <c r="AF64" i="6"/>
  <c r="AR44" i="9"/>
  <c r="L39" i="2"/>
  <c r="AC234" i="6"/>
  <c r="AC364" i="6"/>
  <c r="AC179" i="6"/>
  <c r="AF74" i="6"/>
  <c r="AC419" i="6"/>
  <c r="AF589" i="6"/>
  <c r="AC594" i="6"/>
  <c r="AF734" i="6"/>
  <c r="W231" i="5"/>
  <c r="W199" i="5"/>
  <c r="W263" i="5"/>
  <c r="W39" i="5"/>
  <c r="AM10" i="9"/>
  <c r="AM54" i="9"/>
  <c r="AI61" i="7"/>
  <c r="AI128" i="7" s="1"/>
  <c r="AI47" i="7"/>
  <c r="AI116" i="7" s="1"/>
  <c r="AI20" i="7"/>
  <c r="AI92" i="7" s="1"/>
  <c r="AI7" i="7"/>
  <c r="W103" i="5"/>
  <c r="AM28" i="9"/>
  <c r="AI40" i="7"/>
  <c r="AI110" i="7" s="1"/>
  <c r="AM35" i="9"/>
  <c r="AI14" i="7"/>
  <c r="AI86" i="7" s="1"/>
  <c r="W295" i="5"/>
  <c r="W71" i="5"/>
  <c r="AM22" i="9"/>
  <c r="AI79" i="7"/>
  <c r="AM42" i="9"/>
  <c r="AI26" i="7"/>
  <c r="AI98" i="7" s="1"/>
  <c r="W3" i="5"/>
  <c r="O199" i="5"/>
  <c r="O167" i="5"/>
  <c r="O295" i="5"/>
  <c r="O71" i="5"/>
  <c r="AE42" i="9"/>
  <c r="AA20" i="7"/>
  <c r="AA92" i="7" s="1"/>
  <c r="S666" i="6"/>
  <c r="AK666" i="6" s="1"/>
  <c r="S636" i="6"/>
  <c r="AK636" i="6" s="1"/>
  <c r="S556" i="6"/>
  <c r="AK556" i="6" s="1"/>
  <c r="S526" i="6"/>
  <c r="AK526" i="6" s="1"/>
  <c r="S386" i="6"/>
  <c r="AK386" i="6" s="1"/>
  <c r="S701" i="6"/>
  <c r="AK701" i="6" s="1"/>
  <c r="S616" i="6"/>
  <c r="AK616" i="6" s="1"/>
  <c r="S506" i="6"/>
  <c r="AK506" i="6" s="1"/>
  <c r="S751" i="6"/>
  <c r="AK751" i="6" s="1"/>
  <c r="S766" i="6"/>
  <c r="AK766" i="6" s="1"/>
  <c r="O231" i="5"/>
  <c r="O263" i="5"/>
  <c r="AE3" i="9"/>
  <c r="S646" i="6"/>
  <c r="AK646" i="6" s="1"/>
  <c r="S546" i="6"/>
  <c r="AK546" i="6" s="1"/>
  <c r="S406" i="6"/>
  <c r="AK406" i="6" s="1"/>
  <c r="S306" i="6"/>
  <c r="AK306" i="6" s="1"/>
  <c r="S691" i="6"/>
  <c r="AK691" i="6" s="1"/>
  <c r="AE16" i="9"/>
  <c r="AA68" i="7"/>
  <c r="AA134" i="7" s="1"/>
  <c r="S661" i="6"/>
  <c r="AK661" i="6" s="1"/>
  <c r="S621" i="6"/>
  <c r="AK621" i="6" s="1"/>
  <c r="S541" i="6"/>
  <c r="AK541" i="6" s="1"/>
  <c r="S401" i="6"/>
  <c r="AK401" i="6" s="1"/>
  <c r="S346" i="6"/>
  <c r="AK346" i="6" s="1"/>
  <c r="S291" i="6"/>
  <c r="AK291" i="6" s="1"/>
  <c r="S696" i="6"/>
  <c r="AK696" i="6" s="1"/>
  <c r="S486" i="6"/>
  <c r="AK486" i="6" s="1"/>
  <c r="S731" i="6"/>
  <c r="AK731" i="6" s="1"/>
  <c r="S756" i="6"/>
  <c r="AK756" i="6" s="1"/>
  <c r="AE35" i="9"/>
  <c r="S206" i="6"/>
  <c r="AK206" i="6" s="1"/>
  <c r="S101" i="6"/>
  <c r="AK101" i="6" s="1"/>
  <c r="AA79" i="7"/>
  <c r="S451" i="6"/>
  <c r="AK451" i="6" s="1"/>
  <c r="S151" i="6"/>
  <c r="AK151" i="6" s="1"/>
  <c r="S611" i="6"/>
  <c r="AK611" i="6" s="1"/>
  <c r="S261" i="6"/>
  <c r="AK261" i="6" s="1"/>
  <c r="S146" i="6"/>
  <c r="AK146" i="6" s="1"/>
  <c r="S601" i="6"/>
  <c r="AK601" i="6" s="1"/>
  <c r="S266" i="6"/>
  <c r="AK266" i="6" s="1"/>
  <c r="S71" i="6"/>
  <c r="AK71" i="6" s="1"/>
  <c r="S171" i="6"/>
  <c r="AK171" i="6" s="1"/>
  <c r="S256" i="6"/>
  <c r="AK256" i="6" s="1"/>
  <c r="S66" i="6"/>
  <c r="AK66" i="6" s="1"/>
  <c r="S371" i="6"/>
  <c r="AK371" i="6" s="1"/>
  <c r="S166" i="6"/>
  <c r="AK166" i="6" s="1"/>
  <c r="S331" i="6"/>
  <c r="AK331" i="6" s="1"/>
  <c r="S161" i="6"/>
  <c r="AK161" i="6" s="1"/>
  <c r="S11" i="6"/>
  <c r="AK11" i="6" s="1"/>
  <c r="S131" i="6"/>
  <c r="AK131" i="6" s="1"/>
  <c r="S501" i="6"/>
  <c r="AK501" i="6" s="1"/>
  <c r="AE10" i="9"/>
  <c r="S51" i="6"/>
  <c r="AK51" i="6" s="1"/>
  <c r="R15" i="3"/>
  <c r="O135" i="5"/>
  <c r="O103" i="5"/>
  <c r="AA47" i="7"/>
  <c r="AA116" i="7" s="1"/>
  <c r="AA26" i="7"/>
  <c r="AA98" i="7" s="1"/>
  <c r="S626" i="6"/>
  <c r="AK626" i="6" s="1"/>
  <c r="S536" i="6"/>
  <c r="AK536" i="6" s="1"/>
  <c r="S396" i="6"/>
  <c r="AK396" i="6" s="1"/>
  <c r="S296" i="6"/>
  <c r="AK296" i="6" s="1"/>
  <c r="S681" i="6"/>
  <c r="AK681" i="6" s="1"/>
  <c r="S576" i="6"/>
  <c r="AK576" i="6" s="1"/>
  <c r="S481" i="6"/>
  <c r="AK481" i="6" s="1"/>
  <c r="S746" i="6"/>
  <c r="AK746" i="6" s="1"/>
  <c r="AE54" i="9"/>
  <c r="AA40" i="7"/>
  <c r="AA110" i="7" s="1"/>
  <c r="S651" i="6"/>
  <c r="AK651" i="6" s="1"/>
  <c r="S561" i="6"/>
  <c r="AK561" i="6" s="1"/>
  <c r="S531" i="6"/>
  <c r="AK531" i="6" s="1"/>
  <c r="S391" i="6"/>
  <c r="AK391" i="6" s="1"/>
  <c r="S671" i="6"/>
  <c r="AK671" i="6" s="1"/>
  <c r="S606" i="6"/>
  <c r="AK606" i="6" s="1"/>
  <c r="S436" i="6"/>
  <c r="AK436" i="6" s="1"/>
  <c r="S736" i="6"/>
  <c r="AK736" i="6" s="1"/>
  <c r="S286" i="6"/>
  <c r="AK286" i="6" s="1"/>
  <c r="S251" i="6"/>
  <c r="AK251" i="6" s="1"/>
  <c r="S46" i="6"/>
  <c r="AK46" i="6" s="1"/>
  <c r="S441" i="6"/>
  <c r="AK441" i="6" s="1"/>
  <c r="S96" i="6"/>
  <c r="AK96" i="6" s="1"/>
  <c r="S581" i="6"/>
  <c r="AK581" i="6" s="1"/>
  <c r="S246" i="6"/>
  <c r="AK246" i="6" s="1"/>
  <c r="S106" i="6"/>
  <c r="AK106" i="6" s="1"/>
  <c r="S141" i="6"/>
  <c r="AK141" i="6" s="1"/>
  <c r="S111" i="6"/>
  <c r="AK111" i="6" s="1"/>
  <c r="S76" i="6"/>
  <c r="AK76" i="6" s="1"/>
  <c r="S136" i="6"/>
  <c r="AK136" i="6" s="1"/>
  <c r="S361" i="6"/>
  <c r="AK361" i="6" s="1"/>
  <c r="S121" i="6"/>
  <c r="AK121" i="6" s="1"/>
  <c r="S761" i="6"/>
  <c r="AK761" i="6" s="1"/>
  <c r="S176" i="6"/>
  <c r="AK176" i="6" s="1"/>
  <c r="S6" i="6"/>
  <c r="AK6" i="6" s="1"/>
  <c r="S126" i="6"/>
  <c r="AK126" i="6" s="1"/>
  <c r="S21" i="6"/>
  <c r="AK21" i="6" s="1"/>
  <c r="S236" i="6"/>
  <c r="AK236" i="6" s="1"/>
  <c r="W134" i="5"/>
  <c r="W166" i="5"/>
  <c r="W70" i="5"/>
  <c r="W294" i="5"/>
  <c r="W198" i="5"/>
  <c r="W38" i="5"/>
  <c r="AM47" i="9"/>
  <c r="AM41" i="9"/>
  <c r="AI67" i="7"/>
  <c r="AI133" i="7" s="1"/>
  <c r="W2" i="5"/>
  <c r="AM34" i="9"/>
  <c r="AI60" i="7"/>
  <c r="AI127" i="7" s="1"/>
  <c r="AI46" i="7"/>
  <c r="AI115" i="7" s="1"/>
  <c r="W262" i="5"/>
  <c r="AM59" i="9"/>
  <c r="AM9" i="9"/>
  <c r="AI13" i="7"/>
  <c r="AI85" i="7" s="1"/>
  <c r="AM15" i="9"/>
  <c r="AI6" i="7"/>
  <c r="Z14" i="3"/>
  <c r="S198" i="5"/>
  <c r="S262" i="5"/>
  <c r="S38" i="5"/>
  <c r="S2" i="5"/>
  <c r="S230" i="5"/>
  <c r="S294" i="5"/>
  <c r="W595" i="6"/>
  <c r="AO595" i="6" s="1"/>
  <c r="W495" i="6"/>
  <c r="AO495" i="6" s="1"/>
  <c r="W725" i="6"/>
  <c r="AO725" i="6" s="1"/>
  <c r="W720" i="6"/>
  <c r="AO720" i="6" s="1"/>
  <c r="W715" i="6"/>
  <c r="AO715" i="6" s="1"/>
  <c r="W560" i="6"/>
  <c r="AO560" i="6" s="1"/>
  <c r="W680" i="6"/>
  <c r="AO680" i="6" s="1"/>
  <c r="W405" i="6"/>
  <c r="AO405" i="6" s="1"/>
  <c r="W685" i="6"/>
  <c r="AO685" i="6" s="1"/>
  <c r="W260" i="6"/>
  <c r="AO260" i="6" s="1"/>
  <c r="W140" i="6"/>
  <c r="AO140" i="6" s="1"/>
  <c r="W40" i="6"/>
  <c r="AO40" i="6" s="1"/>
  <c r="AE31" i="7"/>
  <c r="AE103" i="7" s="1"/>
  <c r="W580" i="6"/>
  <c r="AO580" i="6" s="1"/>
  <c r="W470" i="6"/>
  <c r="AO470" i="6" s="1"/>
  <c r="W765" i="6"/>
  <c r="AO765" i="6" s="1"/>
  <c r="W695" i="6"/>
  <c r="AO695" i="6" s="1"/>
  <c r="W550" i="6"/>
  <c r="AO550" i="6" s="1"/>
  <c r="W670" i="6"/>
  <c r="AO670" i="6" s="1"/>
  <c r="W565" i="6"/>
  <c r="AO565" i="6" s="1"/>
  <c r="W295" i="6"/>
  <c r="AO295" i="6" s="1"/>
  <c r="W425" i="6"/>
  <c r="AO425" i="6" s="1"/>
  <c r="W250" i="6"/>
  <c r="AO250" i="6" s="1"/>
  <c r="W35" i="6"/>
  <c r="AO35" i="6" s="1"/>
  <c r="AI47" i="9"/>
  <c r="AE78" i="7"/>
  <c r="AI9" i="9"/>
  <c r="W30" i="6"/>
  <c r="AO30" i="6" s="1"/>
  <c r="W330" i="6"/>
  <c r="AO330" i="6" s="1"/>
  <c r="W220" i="6"/>
  <c r="AO220" i="6" s="1"/>
  <c r="W60" i="6"/>
  <c r="AO60" i="6" s="1"/>
  <c r="W65" i="6"/>
  <c r="AO65" i="6" s="1"/>
  <c r="W120" i="6"/>
  <c r="AO120" i="6" s="1"/>
  <c r="W315" i="6"/>
  <c r="AO315" i="6" s="1"/>
  <c r="W20" i="6"/>
  <c r="AO20" i="6" s="1"/>
  <c r="W230" i="6"/>
  <c r="AO230" i="6" s="1"/>
  <c r="W75" i="6"/>
  <c r="AO75" i="6" s="1"/>
  <c r="S134" i="5"/>
  <c r="S102" i="5"/>
  <c r="AE19" i="7"/>
  <c r="AE91" i="7" s="1"/>
  <c r="W515" i="6"/>
  <c r="AO515" i="6" s="1"/>
  <c r="W485" i="6"/>
  <c r="AO485" i="6" s="1"/>
  <c r="W445" i="6"/>
  <c r="AO445" i="6" s="1"/>
  <c r="W415" i="6"/>
  <c r="AO415" i="6" s="1"/>
  <c r="W675" i="6"/>
  <c r="AO675" i="6" s="1"/>
  <c r="W540" i="6"/>
  <c r="AO540" i="6" s="1"/>
  <c r="W625" i="6"/>
  <c r="AO625" i="6" s="1"/>
  <c r="W390" i="6"/>
  <c r="AO390" i="6" s="1"/>
  <c r="W620" i="6"/>
  <c r="AO620" i="6" s="1"/>
  <c r="W240" i="6"/>
  <c r="AO240" i="6" s="1"/>
  <c r="W105" i="6"/>
  <c r="AO105" i="6" s="1"/>
  <c r="AI53" i="9"/>
  <c r="W610" i="6"/>
  <c r="AO610" i="6" s="1"/>
  <c r="W500" i="6"/>
  <c r="AO500" i="6" s="1"/>
  <c r="W750" i="6"/>
  <c r="AO750" i="6" s="1"/>
  <c r="W755" i="6"/>
  <c r="AO755" i="6" s="1"/>
  <c r="W400" i="6"/>
  <c r="AO400" i="6" s="1"/>
  <c r="W395" i="6"/>
  <c r="AO395" i="6" s="1"/>
  <c r="W655" i="6"/>
  <c r="AO655" i="6" s="1"/>
  <c r="W545" i="6"/>
  <c r="AO545" i="6" s="1"/>
  <c r="W705" i="6"/>
  <c r="AO705" i="6" s="1"/>
  <c r="W200" i="6"/>
  <c r="AO200" i="6" s="1"/>
  <c r="W155" i="6"/>
  <c r="AO155" i="6" s="1"/>
  <c r="W100" i="6"/>
  <c r="AO100" i="6" s="1"/>
  <c r="AE25" i="7"/>
  <c r="AE97" i="7" s="1"/>
  <c r="AE53" i="7"/>
  <c r="AE121" i="7" s="1"/>
  <c r="AE6" i="7"/>
  <c r="W235" i="6"/>
  <c r="AO235" i="6" s="1"/>
  <c r="W175" i="6"/>
  <c r="AO175" i="6" s="1"/>
  <c r="W165" i="6"/>
  <c r="AO165" i="6" s="1"/>
  <c r="W160" i="6"/>
  <c r="AO160" i="6" s="1"/>
  <c r="AE39" i="7"/>
  <c r="AE109" i="7" s="1"/>
  <c r="W325" i="6"/>
  <c r="AO325" i="6" s="1"/>
  <c r="W380" i="6"/>
  <c r="AO380" i="6" s="1"/>
  <c r="AI2" i="9"/>
  <c r="W180" i="6"/>
  <c r="AO180" i="6" s="1"/>
  <c r="W265" i="6"/>
  <c r="AO265" i="6" s="1"/>
  <c r="W171" i="6"/>
  <c r="AO171" i="6" s="1"/>
  <c r="S5" i="6"/>
  <c r="AK5" i="6" s="1"/>
  <c r="S380" i="6"/>
  <c r="AK380" i="6" s="1"/>
  <c r="AE47" i="9"/>
  <c r="S210" i="6"/>
  <c r="AK210" i="6" s="1"/>
  <c r="S80" i="6"/>
  <c r="AK80" i="6" s="1"/>
  <c r="S575" i="6"/>
  <c r="AK575" i="6" s="1"/>
  <c r="S65" i="6"/>
  <c r="AK65" i="6" s="1"/>
  <c r="S410" i="6"/>
  <c r="AK410" i="6" s="1"/>
  <c r="S115" i="6"/>
  <c r="AK115" i="6" s="1"/>
  <c r="S325" i="6"/>
  <c r="AK325" i="6" s="1"/>
  <c r="S475" i="6"/>
  <c r="AK475" i="6" s="1"/>
  <c r="S400" i="6"/>
  <c r="AK400" i="6" s="1"/>
  <c r="S680" i="6"/>
  <c r="AK680" i="6" s="1"/>
  <c r="S585" i="6"/>
  <c r="AK585" i="6" s="1"/>
  <c r="S250" i="6"/>
  <c r="AK250" i="6" s="1"/>
  <c r="S685" i="6"/>
  <c r="AK685" i="6" s="1"/>
  <c r="S485" i="6"/>
  <c r="AK485" i="6" s="1"/>
  <c r="S105" i="6"/>
  <c r="AK105" i="6" s="1"/>
  <c r="S540" i="6"/>
  <c r="AK540" i="6" s="1"/>
  <c r="S35" i="6"/>
  <c r="AK35" i="6" s="1"/>
  <c r="S645" i="6"/>
  <c r="AK645" i="6" s="1"/>
  <c r="S555" i="6"/>
  <c r="AK555" i="6" s="1"/>
  <c r="AA19" i="7"/>
  <c r="AA91" i="7" s="1"/>
  <c r="W10" i="6"/>
  <c r="AO10" i="6" s="1"/>
  <c r="W115" i="6"/>
  <c r="AO115" i="6" s="1"/>
  <c r="W275" i="6"/>
  <c r="AO275" i="6" s="1"/>
  <c r="W110" i="6"/>
  <c r="AO110" i="6" s="1"/>
  <c r="W320" i="6"/>
  <c r="AO320" i="6" s="1"/>
  <c r="W80" i="6"/>
  <c r="AO80" i="6" s="1"/>
  <c r="AI27" i="9"/>
  <c r="AE13" i="7"/>
  <c r="AE85" i="7" s="1"/>
  <c r="W135" i="6"/>
  <c r="AO135" i="6" s="1"/>
  <c r="W185" i="6"/>
  <c r="AO185" i="6" s="1"/>
  <c r="W345" i="6"/>
  <c r="AO345" i="6" s="1"/>
  <c r="W635" i="6"/>
  <c r="AO635" i="6" s="1"/>
  <c r="W630" i="6"/>
  <c r="AO630" i="6" s="1"/>
  <c r="W435" i="6"/>
  <c r="AO435" i="6" s="1"/>
  <c r="W440" i="6"/>
  <c r="AO440" i="6" s="1"/>
  <c r="W510" i="6"/>
  <c r="AO510" i="6" s="1"/>
  <c r="AE60" i="7"/>
  <c r="AE127" i="7" s="1"/>
  <c r="W150" i="6"/>
  <c r="AO150" i="6" s="1"/>
  <c r="W350" i="6"/>
  <c r="AO350" i="6" s="1"/>
  <c r="W285" i="6"/>
  <c r="AO285" i="6" s="1"/>
  <c r="W645" i="6"/>
  <c r="AO645" i="6" s="1"/>
  <c r="W650" i="6"/>
  <c r="AO650" i="6" s="1"/>
  <c r="W745" i="6"/>
  <c r="AO745" i="6" s="1"/>
  <c r="W455" i="6"/>
  <c r="AO455" i="6" s="1"/>
  <c r="W575" i="6"/>
  <c r="AO575" i="6" s="1"/>
  <c r="AE46" i="7"/>
  <c r="AE115" i="7" s="1"/>
  <c r="AI53" i="7"/>
  <c r="AI121" i="7" s="1"/>
  <c r="AI31" i="7"/>
  <c r="AI103" i="7" s="1"/>
  <c r="AM27" i="9"/>
  <c r="AQ15" i="9"/>
  <c r="AD14" i="3"/>
  <c r="AM67" i="7"/>
  <c r="AM133" i="7" s="1"/>
  <c r="S231" i="6"/>
  <c r="AK231" i="6" s="1"/>
  <c r="S61" i="6"/>
  <c r="AK61" i="6" s="1"/>
  <c r="S281" i="6"/>
  <c r="AK281" i="6" s="1"/>
  <c r="S26" i="6"/>
  <c r="AK26" i="6" s="1"/>
  <c r="S16" i="6"/>
  <c r="AK16" i="6" s="1"/>
  <c r="S226" i="6"/>
  <c r="AK226" i="6" s="1"/>
  <c r="S186" i="6"/>
  <c r="AK186" i="6" s="1"/>
  <c r="AE48" i="9"/>
  <c r="S741" i="6"/>
  <c r="AK741" i="6" s="1"/>
  <c r="S416" i="6"/>
  <c r="AK416" i="6" s="1"/>
  <c r="S516" i="6"/>
  <c r="AK516" i="6" s="1"/>
  <c r="S706" i="6"/>
  <c r="AK706" i="6" s="1"/>
  <c r="S356" i="6"/>
  <c r="AK356" i="6" s="1"/>
  <c r="AA14" i="7"/>
  <c r="AA86" i="7" s="1"/>
  <c r="S471" i="6"/>
  <c r="AK471" i="6" s="1"/>
  <c r="S476" i="6"/>
  <c r="S711" i="6"/>
  <c r="AK711" i="6" s="1"/>
  <c r="S431" i="6"/>
  <c r="AK431" i="6" s="1"/>
  <c r="S656" i="6"/>
  <c r="AK656" i="6" s="1"/>
  <c r="AE22" i="9"/>
  <c r="W166" i="6"/>
  <c r="AO166" i="6" s="1"/>
  <c r="W21" i="6"/>
  <c r="AO21" i="6" s="1"/>
  <c r="AI10" i="9"/>
  <c r="W81" i="6"/>
  <c r="AO81" i="6" s="1"/>
  <c r="W76" i="6"/>
  <c r="AO76" i="6" s="1"/>
  <c r="W691" i="6"/>
  <c r="AO691" i="6" s="1"/>
  <c r="W511" i="6"/>
  <c r="AO511" i="6" s="1"/>
  <c r="W86" i="6"/>
  <c r="AO86" i="6" s="1"/>
  <c r="W346" i="6"/>
  <c r="AO346" i="6" s="1"/>
  <c r="AE47" i="7"/>
  <c r="AE116" i="7" s="1"/>
  <c r="W436" i="6"/>
  <c r="AO436" i="6" s="1"/>
  <c r="AI22" i="9"/>
  <c r="W191" i="6"/>
  <c r="AO191" i="6" s="1"/>
  <c r="W456" i="6"/>
  <c r="AO456" i="6" s="1"/>
  <c r="W571" i="6"/>
  <c r="AO571" i="6" s="1"/>
  <c r="W306" i="6"/>
  <c r="AO306" i="6" s="1"/>
  <c r="W556" i="6"/>
  <c r="AO556" i="6" s="1"/>
  <c r="AE32" i="7"/>
  <c r="AE104" i="7" s="1"/>
  <c r="AI68" i="7"/>
  <c r="AI134" i="7" s="1"/>
  <c r="Z15" i="3"/>
  <c r="AM16" i="9"/>
  <c r="AA39" i="5"/>
  <c r="S166" i="5"/>
  <c r="O3" i="5"/>
  <c r="W167" i="5"/>
  <c r="S116" i="6"/>
  <c r="AK116" i="6" s="1"/>
  <c r="AC111" i="6"/>
  <c r="AU111" i="6" s="1"/>
  <c r="AQ28" i="9"/>
  <c r="AQ35" i="9"/>
  <c r="AA71" i="5"/>
  <c r="AM68" i="7"/>
  <c r="AM134" i="7" s="1"/>
  <c r="AM47" i="7"/>
  <c r="AM116" i="7" s="1"/>
  <c r="AQ3" i="9"/>
  <c r="AQ10" i="9"/>
  <c r="AA199" i="5"/>
  <c r="AQ22" i="9"/>
  <c r="AQ42" i="9"/>
  <c r="AA135" i="5"/>
  <c r="AD15" i="3"/>
  <c r="AA3" i="5"/>
  <c r="AA295" i="5"/>
  <c r="AM79" i="7"/>
  <c r="AA231" i="5"/>
  <c r="AM14" i="7"/>
  <c r="AM86" i="7" s="1"/>
  <c r="AQ60" i="9"/>
  <c r="AA263" i="5"/>
  <c r="AA103" i="5"/>
  <c r="AA167" i="5"/>
  <c r="AQ16" i="9"/>
  <c r="AM40" i="7"/>
  <c r="AM110" i="7" s="1"/>
  <c r="AM32" i="7"/>
  <c r="AM104" i="7" s="1"/>
  <c r="W766" i="6"/>
  <c r="AO766" i="6" s="1"/>
  <c r="S295" i="5"/>
  <c r="S103" i="5"/>
  <c r="S3" i="5"/>
  <c r="S71" i="5"/>
  <c r="AI48" i="9"/>
  <c r="AI28" i="9"/>
  <c r="AE40" i="7"/>
  <c r="AE110" i="7" s="1"/>
  <c r="W646" i="6"/>
  <c r="AO646" i="6" s="1"/>
  <c r="W566" i="6"/>
  <c r="AO566" i="6" s="1"/>
  <c r="W536" i="6"/>
  <c r="AO536" i="6" s="1"/>
  <c r="W341" i="6"/>
  <c r="AO341" i="6" s="1"/>
  <c r="W706" i="6"/>
  <c r="AO706" i="6" s="1"/>
  <c r="W611" i="6"/>
  <c r="AO611" i="6" s="1"/>
  <c r="W501" i="6"/>
  <c r="AO501" i="6" s="1"/>
  <c r="W741" i="6"/>
  <c r="AO741" i="6" s="1"/>
  <c r="W606" i="6"/>
  <c r="AO606" i="6" s="1"/>
  <c r="W206" i="6"/>
  <c r="AO206" i="6" s="1"/>
  <c r="W196" i="6"/>
  <c r="AO196" i="6" s="1"/>
  <c r="W136" i="6"/>
  <c r="AO136" i="6" s="1"/>
  <c r="AE61" i="7"/>
  <c r="AE128" i="7" s="1"/>
  <c r="W541" i="6"/>
  <c r="AO541" i="6" s="1"/>
  <c r="W446" i="6"/>
  <c r="AO446" i="6" s="1"/>
  <c r="AI35" i="9"/>
  <c r="W551" i="6"/>
  <c r="AO551" i="6" s="1"/>
  <c r="W711" i="6"/>
  <c r="AO711" i="6" s="1"/>
  <c r="W726" i="6"/>
  <c r="AO726" i="6" s="1"/>
  <c r="AE20" i="7"/>
  <c r="AE92" i="7" s="1"/>
  <c r="W521" i="6"/>
  <c r="AO521" i="6" s="1"/>
  <c r="W681" i="6"/>
  <c r="AO681" i="6" s="1"/>
  <c r="W106" i="6"/>
  <c r="AO106" i="6" s="1"/>
  <c r="W126" i="6"/>
  <c r="AO126" i="6" s="1"/>
  <c r="W381" i="6"/>
  <c r="AO381" i="6" s="1"/>
  <c r="W226" i="6"/>
  <c r="AO226" i="6" s="1"/>
  <c r="W751" i="6"/>
  <c r="AO751" i="6" s="1"/>
  <c r="W31" i="6"/>
  <c r="AO31" i="6" s="1"/>
  <c r="W366" i="6"/>
  <c r="AO366" i="6" s="1"/>
  <c r="W391" i="6"/>
  <c r="AO391" i="6" s="1"/>
  <c r="W371" i="6"/>
  <c r="AO371" i="6" s="1"/>
  <c r="W311" i="6"/>
  <c r="AO311" i="6" s="1"/>
  <c r="W231" i="6"/>
  <c r="AO231" i="6" s="1"/>
  <c r="W26" i="6"/>
  <c r="AO26" i="6" s="1"/>
  <c r="W266" i="6"/>
  <c r="AO266" i="6" s="1"/>
  <c r="W111" i="6"/>
  <c r="AO111" i="6" s="1"/>
  <c r="W271" i="6"/>
  <c r="AO271" i="6" s="1"/>
  <c r="S199" i="5"/>
  <c r="AI60" i="9"/>
  <c r="W546" i="6"/>
  <c r="AO546" i="6" s="1"/>
  <c r="W396" i="6"/>
  <c r="AO396" i="6" s="1"/>
  <c r="W296" i="6"/>
  <c r="AO296" i="6" s="1"/>
  <c r="W676" i="6"/>
  <c r="AO676" i="6" s="1"/>
  <c r="W451" i="6"/>
  <c r="AO451" i="6" s="1"/>
  <c r="W496" i="6"/>
  <c r="AO496" i="6" s="1"/>
  <c r="W441" i="6"/>
  <c r="AO441" i="6" s="1"/>
  <c r="W251" i="6"/>
  <c r="AO251" i="6" s="1"/>
  <c r="W101" i="6"/>
  <c r="AO101" i="6" s="1"/>
  <c r="W336" i="6"/>
  <c r="AO336" i="6" s="1"/>
  <c r="W156" i="6"/>
  <c r="AO156" i="6" s="1"/>
  <c r="W671" i="6"/>
  <c r="AO671" i="6" s="1"/>
  <c r="W506" i="6"/>
  <c r="AO506" i="6" s="1"/>
  <c r="AI54" i="9"/>
  <c r="W286" i="6"/>
  <c r="AO286" i="6" s="1"/>
  <c r="W246" i="6"/>
  <c r="AO246" i="6" s="1"/>
  <c r="W596" i="6"/>
  <c r="AO596" i="6" s="1"/>
  <c r="W221" i="6"/>
  <c r="AO221" i="6" s="1"/>
  <c r="W161" i="6"/>
  <c r="AO161" i="6" s="1"/>
  <c r="W151" i="6"/>
  <c r="AO151" i="6" s="1"/>
  <c r="W331" i="6"/>
  <c r="AO331" i="6" s="1"/>
  <c r="W321" i="6"/>
  <c r="AO321" i="6" s="1"/>
  <c r="W61" i="6"/>
  <c r="AO61" i="6" s="1"/>
  <c r="W316" i="6"/>
  <c r="AO316" i="6" s="1"/>
  <c r="AE68" i="7"/>
  <c r="AE134" i="7" s="1"/>
  <c r="W531" i="6"/>
  <c r="AO531" i="6" s="1"/>
  <c r="S263" i="5"/>
  <c r="AE79" i="7"/>
  <c r="W666" i="6"/>
  <c r="AO666" i="6" s="1"/>
  <c r="W626" i="6"/>
  <c r="AO626" i="6" s="1"/>
  <c r="W526" i="6"/>
  <c r="AO526" i="6" s="1"/>
  <c r="W386" i="6"/>
  <c r="AO386" i="6" s="1"/>
  <c r="W716" i="6"/>
  <c r="AO716" i="6" s="1"/>
  <c r="W426" i="6"/>
  <c r="AO426" i="6" s="1"/>
  <c r="W761" i="6"/>
  <c r="AO761" i="6" s="1"/>
  <c r="W586" i="6"/>
  <c r="AO586" i="6" s="1"/>
  <c r="W756" i="6"/>
  <c r="AO756" i="6" s="1"/>
  <c r="W241" i="6"/>
  <c r="AO241" i="6" s="1"/>
  <c r="W46" i="6"/>
  <c r="AO46" i="6" s="1"/>
  <c r="AE54" i="7"/>
  <c r="AE122" i="7" s="1"/>
  <c r="W701" i="6"/>
  <c r="AO701" i="6" s="1"/>
  <c r="W616" i="6"/>
  <c r="AO616" i="6" s="1"/>
  <c r="W96" i="6"/>
  <c r="AO96" i="6" s="1"/>
  <c r="AE14" i="7"/>
  <c r="AE86" i="7" s="1"/>
  <c r="W411" i="6"/>
  <c r="AO411" i="6" s="1"/>
  <c r="W481" i="6"/>
  <c r="AO481" i="6" s="1"/>
  <c r="W261" i="6"/>
  <c r="AO261" i="6" s="1"/>
  <c r="AE26" i="7"/>
  <c r="AE98" i="7" s="1"/>
  <c r="W356" i="6"/>
  <c r="AO356" i="6" s="1"/>
  <c r="W731" i="6"/>
  <c r="AO731" i="6" s="1"/>
  <c r="W36" i="6"/>
  <c r="AO36" i="6" s="1"/>
  <c r="W51" i="6"/>
  <c r="AO51" i="6" s="1"/>
  <c r="W66" i="6"/>
  <c r="AO66" i="6" s="1"/>
  <c r="W661" i="6"/>
  <c r="AO661" i="6" s="1"/>
  <c r="AE7" i="7"/>
  <c r="W176" i="6"/>
  <c r="AO176" i="6" s="1"/>
  <c r="W416" i="6"/>
  <c r="AO416" i="6" s="1"/>
  <c r="W211" i="6"/>
  <c r="AO211" i="6" s="1"/>
  <c r="W326" i="6"/>
  <c r="AO326" i="6" s="1"/>
  <c r="W16" i="6"/>
  <c r="AO16" i="6" s="1"/>
  <c r="AQ21" i="9"/>
  <c r="AM6" i="7"/>
  <c r="AA102" i="5"/>
  <c r="AM78" i="7"/>
  <c r="AQ2" i="9"/>
  <c r="AA38" i="5"/>
  <c r="AQ47" i="9"/>
  <c r="AA134" i="5"/>
  <c r="AQ34" i="9"/>
  <c r="AM46" i="7"/>
  <c r="AM115" i="7" s="1"/>
  <c r="AA230" i="5"/>
  <c r="AM31" i="7"/>
  <c r="AM103" i="7" s="1"/>
  <c r="AQ59" i="9"/>
  <c r="AA262" i="5"/>
  <c r="AM39" i="7"/>
  <c r="AM109" i="7" s="1"/>
  <c r="AA166" i="5"/>
  <c r="O70" i="5"/>
  <c r="O230" i="5"/>
  <c r="R14" i="3"/>
  <c r="O262" i="5"/>
  <c r="O294" i="5"/>
  <c r="O2" i="5"/>
  <c r="AA13" i="7"/>
  <c r="AA85" i="7" s="1"/>
  <c r="S440" i="6"/>
  <c r="AK440" i="6" s="1"/>
  <c r="S285" i="6"/>
  <c r="AK285" i="6" s="1"/>
  <c r="S705" i="6"/>
  <c r="AK705" i="6" s="1"/>
  <c r="S530" i="6"/>
  <c r="AK530" i="6" s="1"/>
  <c r="S535" i="6"/>
  <c r="AK535" i="6" s="1"/>
  <c r="S155" i="6"/>
  <c r="AK155" i="6" s="1"/>
  <c r="AE59" i="9"/>
  <c r="S495" i="6"/>
  <c r="AK495" i="6" s="1"/>
  <c r="S760" i="6"/>
  <c r="AK760" i="6" s="1"/>
  <c r="S695" i="6"/>
  <c r="AK695" i="6" s="1"/>
  <c r="S345" i="6"/>
  <c r="AK345" i="6" s="1"/>
  <c r="S195" i="6"/>
  <c r="AK195" i="6" s="1"/>
  <c r="S45" i="6"/>
  <c r="AK45" i="6" s="1"/>
  <c r="S615" i="6"/>
  <c r="AK615" i="6" s="1"/>
  <c r="S450" i="6"/>
  <c r="AK450" i="6" s="1"/>
  <c r="S340" i="6"/>
  <c r="AK340" i="6" s="1"/>
  <c r="S655" i="6"/>
  <c r="AK655" i="6" s="1"/>
  <c r="S190" i="6"/>
  <c r="AK190" i="6" s="1"/>
  <c r="S505" i="6"/>
  <c r="AK505" i="6" s="1"/>
  <c r="S720" i="6"/>
  <c r="AK720" i="6" s="1"/>
  <c r="S415" i="6"/>
  <c r="AK415" i="6" s="1"/>
  <c r="S305" i="6"/>
  <c r="AK305" i="6" s="1"/>
  <c r="S245" i="6"/>
  <c r="AK245" i="6" s="1"/>
  <c r="S95" i="6"/>
  <c r="AK95" i="6" s="1"/>
  <c r="S50" i="6"/>
  <c r="AK50" i="6" s="1"/>
  <c r="S170" i="6"/>
  <c r="AK170" i="6" s="1"/>
  <c r="S110" i="6"/>
  <c r="AK110" i="6" s="1"/>
  <c r="S30" i="6"/>
  <c r="AK30" i="6" s="1"/>
  <c r="S420" i="6"/>
  <c r="AK420" i="6" s="1"/>
  <c r="S200" i="6"/>
  <c r="AK200" i="6" s="1"/>
  <c r="S315" i="6"/>
  <c r="AK315" i="6" s="1"/>
  <c r="S275" i="6"/>
  <c r="AK275" i="6" s="1"/>
  <c r="S765" i="6"/>
  <c r="AK765" i="6" s="1"/>
  <c r="S240" i="6"/>
  <c r="AK240" i="6" s="1"/>
  <c r="S330" i="6"/>
  <c r="AK330" i="6" s="1"/>
  <c r="S270" i="6"/>
  <c r="AK270" i="6" s="1"/>
  <c r="S120" i="6"/>
  <c r="AK120" i="6" s="1"/>
  <c r="S60" i="6"/>
  <c r="AK60" i="6" s="1"/>
  <c r="S650" i="6"/>
  <c r="AK650" i="6" s="1"/>
  <c r="AE21" i="9"/>
  <c r="S500" i="6"/>
  <c r="AK500" i="6" s="1"/>
  <c r="O102" i="5"/>
  <c r="AE41" i="9"/>
  <c r="AE53" i="9"/>
  <c r="AA31" i="7"/>
  <c r="AA103" i="7" s="1"/>
  <c r="S600" i="6"/>
  <c r="AK600" i="6" s="1"/>
  <c r="S490" i="6"/>
  <c r="AK490" i="6" s="1"/>
  <c r="S725" i="6"/>
  <c r="AK725" i="6" s="1"/>
  <c r="S700" i="6"/>
  <c r="AK700" i="6" s="1"/>
  <c r="S660" i="6"/>
  <c r="AK660" i="6" s="1"/>
  <c r="S390" i="6"/>
  <c r="AK390" i="6" s="1"/>
  <c r="S335" i="6"/>
  <c r="AK335" i="6" s="1"/>
  <c r="S135" i="6"/>
  <c r="AK135" i="6" s="1"/>
  <c r="AA78" i="7"/>
  <c r="S455" i="6"/>
  <c r="AK455" i="6" s="1"/>
  <c r="S385" i="6"/>
  <c r="AK385" i="6" s="1"/>
  <c r="S640" i="6"/>
  <c r="AK640" i="6" s="1"/>
  <c r="S670" i="6"/>
  <c r="AK670" i="6" s="1"/>
  <c r="AE27" i="9"/>
  <c r="S590" i="6"/>
  <c r="AK590" i="6" s="1"/>
  <c r="S350" i="6"/>
  <c r="AK350" i="6" s="1"/>
  <c r="S630" i="6"/>
  <c r="AK630" i="6" s="1"/>
  <c r="S150" i="6"/>
  <c r="AK150" i="6" s="1"/>
  <c r="AA39" i="7"/>
  <c r="AA109" i="7" s="1"/>
  <c r="S480" i="6"/>
  <c r="AK480" i="6" s="1"/>
  <c r="S735" i="6"/>
  <c r="AK735" i="6" s="1"/>
  <c r="S675" i="6"/>
  <c r="AK675" i="6" s="1"/>
  <c r="S625" i="6"/>
  <c r="AK625" i="6" s="1"/>
  <c r="AE15" i="9"/>
  <c r="S425" i="6"/>
  <c r="AK425" i="6" s="1"/>
  <c r="S360" i="6"/>
  <c r="AK360" i="6" s="1"/>
  <c r="S160" i="6"/>
  <c r="AK160" i="6" s="1"/>
  <c r="AA6" i="7"/>
  <c r="S375" i="6"/>
  <c r="AK375" i="6" s="1"/>
  <c r="S230" i="6"/>
  <c r="AK230" i="6" s="1"/>
  <c r="S225" i="6"/>
  <c r="AK225" i="6" s="1"/>
  <c r="S715" i="6"/>
  <c r="AK715" i="6" s="1"/>
  <c r="S235" i="6"/>
  <c r="AK235" i="6" s="1"/>
  <c r="S165" i="6"/>
  <c r="AK165" i="6" s="1"/>
  <c r="S70" i="6"/>
  <c r="AK70" i="6" s="1"/>
  <c r="S180" i="6"/>
  <c r="AK180" i="6" s="1"/>
  <c r="S310" i="6"/>
  <c r="AK310" i="6" s="1"/>
  <c r="S130" i="6"/>
  <c r="AK130" i="6" s="1"/>
  <c r="S140" i="6"/>
  <c r="AK140" i="6" s="1"/>
  <c r="S25" i="6"/>
  <c r="AK25" i="6" s="1"/>
  <c r="S220" i="6"/>
  <c r="AK220" i="6" s="1"/>
  <c r="S665" i="6"/>
  <c r="AK665" i="6" s="1"/>
  <c r="AE2" i="9"/>
  <c r="AA25" i="7"/>
  <c r="AA97" i="7" s="1"/>
  <c r="S295" i="6"/>
  <c r="AK295" i="6" s="1"/>
  <c r="S610" i="6"/>
  <c r="AK610" i="6" s="1"/>
  <c r="S525" i="6"/>
  <c r="AK525" i="6" s="1"/>
  <c r="S435" i="6"/>
  <c r="AK435" i="6" s="1"/>
  <c r="S515" i="6"/>
  <c r="AK515" i="6" s="1"/>
  <c r="S185" i="6"/>
  <c r="AK185" i="6" s="1"/>
  <c r="S745" i="6"/>
  <c r="AK745" i="6" s="1"/>
  <c r="S85" i="6"/>
  <c r="AK85" i="6" s="1"/>
  <c r="S710" i="6"/>
  <c r="AK710" i="6" s="1"/>
  <c r="S470" i="6"/>
  <c r="AK470" i="6" s="1"/>
  <c r="AA67" i="7"/>
  <c r="AA133" i="7" s="1"/>
  <c r="AA46" i="7"/>
  <c r="AA115" i="7" s="1"/>
  <c r="W375" i="6"/>
  <c r="AO375" i="6" s="1"/>
  <c r="W70" i="6"/>
  <c r="AO70" i="6" s="1"/>
  <c r="AI21" i="9"/>
  <c r="W360" i="6"/>
  <c r="AO360" i="6" s="1"/>
  <c r="W130" i="6"/>
  <c r="AO130" i="6" s="1"/>
  <c r="V14" i="3"/>
  <c r="AE67" i="7"/>
  <c r="AE133" i="7" s="1"/>
  <c r="W145" i="6"/>
  <c r="AO145" i="6" s="1"/>
  <c r="W255" i="6"/>
  <c r="AO255" i="6" s="1"/>
  <c r="W410" i="6"/>
  <c r="AO410" i="6" s="1"/>
  <c r="W660" i="6"/>
  <c r="AO660" i="6" s="1"/>
  <c r="W740" i="6"/>
  <c r="AO740" i="6" s="1"/>
  <c r="W450" i="6"/>
  <c r="AO450" i="6" s="1"/>
  <c r="W570" i="6"/>
  <c r="AO570" i="6" s="1"/>
  <c r="AI34" i="9"/>
  <c r="W245" i="6"/>
  <c r="AO245" i="6" s="1"/>
  <c r="W520" i="6"/>
  <c r="AO520" i="6" s="1"/>
  <c r="W340" i="6"/>
  <c r="AO340" i="6" s="1"/>
  <c r="W665" i="6"/>
  <c r="AO665" i="6" s="1"/>
  <c r="W760" i="6"/>
  <c r="AO760" i="6" s="1"/>
  <c r="W475" i="6"/>
  <c r="AO475" i="6" s="1"/>
  <c r="W585" i="6"/>
  <c r="AO585" i="6" s="1"/>
  <c r="AI41" i="9"/>
  <c r="AM53" i="9"/>
  <c r="AA5" i="6"/>
  <c r="AA705" i="6" s="1"/>
  <c r="AS705" i="6" s="1"/>
  <c r="AA198" i="5"/>
  <c r="AM13" i="7"/>
  <c r="AM85" i="7" s="1"/>
  <c r="AQ41" i="9"/>
  <c r="AM53" i="7"/>
  <c r="AM121" i="7" s="1"/>
  <c r="S311" i="6"/>
  <c r="AK311" i="6" s="1"/>
  <c r="S366" i="6"/>
  <c r="AK366" i="6" s="1"/>
  <c r="S241" i="6"/>
  <c r="AK241" i="6" s="1"/>
  <c r="S181" i="6"/>
  <c r="AK181" i="6" s="1"/>
  <c r="S381" i="6"/>
  <c r="AK381" i="6" s="1"/>
  <c r="S41" i="6"/>
  <c r="AK41" i="6" s="1"/>
  <c r="S721" i="6"/>
  <c r="AK721" i="6" s="1"/>
  <c r="S196" i="6"/>
  <c r="AK196" i="6" s="1"/>
  <c r="AA7" i="7"/>
  <c r="S571" i="6"/>
  <c r="AK571" i="6" s="1"/>
  <c r="S586" i="6"/>
  <c r="AK586" i="6" s="1"/>
  <c r="S551" i="6"/>
  <c r="AK551" i="6" s="1"/>
  <c r="S726" i="6"/>
  <c r="AK726" i="6" s="1"/>
  <c r="S456" i="6"/>
  <c r="AK456" i="6" s="1"/>
  <c r="S716" i="6"/>
  <c r="AK716" i="6" s="1"/>
  <c r="W121" i="6"/>
  <c r="AO121" i="6" s="1"/>
  <c r="W581" i="6"/>
  <c r="AO581" i="6" s="1"/>
  <c r="W131" i="6"/>
  <c r="AO131" i="6" s="1"/>
  <c r="W71" i="6"/>
  <c r="AO71" i="6" s="1"/>
  <c r="W236" i="6"/>
  <c r="AO236" i="6" s="1"/>
  <c r="W181" i="6"/>
  <c r="AO181" i="6" s="1"/>
  <c r="W621" i="6"/>
  <c r="AO621" i="6" s="1"/>
  <c r="W291" i="6"/>
  <c r="AO291" i="6" s="1"/>
  <c r="W186" i="6"/>
  <c r="AO186" i="6" s="1"/>
  <c r="W601" i="6"/>
  <c r="AO601" i="6" s="1"/>
  <c r="W41" i="6"/>
  <c r="AO41" i="6" s="1"/>
  <c r="W476" i="6"/>
  <c r="AO476" i="6" s="1"/>
  <c r="W721" i="6"/>
  <c r="AO721" i="6" s="1"/>
  <c r="W591" i="6"/>
  <c r="AO591" i="6" s="1"/>
  <c r="W351" i="6"/>
  <c r="AO351" i="6" s="1"/>
  <c r="AI16" i="9"/>
  <c r="AA6" i="6"/>
  <c r="AA666" i="6" s="1"/>
  <c r="AS666" i="6" s="1"/>
  <c r="AI54" i="7"/>
  <c r="AI122" i="7" s="1"/>
  <c r="AM3" i="9"/>
  <c r="AM61" i="7"/>
  <c r="AM128" i="7" s="1"/>
  <c r="O38" i="5"/>
  <c r="S70" i="5"/>
  <c r="O39" i="5"/>
  <c r="S39" i="5"/>
  <c r="W135" i="5"/>
  <c r="L28" i="2"/>
  <c r="L37" i="2"/>
  <c r="D37" i="2"/>
  <c r="D28" i="2"/>
  <c r="AB169" i="6"/>
  <c r="AB129" i="6"/>
  <c r="N39" i="2"/>
  <c r="AB539" i="6"/>
  <c r="AG44" i="9"/>
  <c r="G39" i="2"/>
  <c r="AG37" i="9"/>
  <c r="AG12" i="9"/>
  <c r="AG62" i="9"/>
  <c r="L29" i="2"/>
  <c r="AG18" i="9"/>
  <c r="D29" i="2"/>
  <c r="H29" i="2"/>
  <c r="AB319" i="6"/>
  <c r="AK37" i="9"/>
  <c r="AB739" i="6"/>
  <c r="C29" i="2"/>
  <c r="C38" i="2"/>
  <c r="H28" i="2"/>
  <c r="H37" i="2"/>
  <c r="AK56" i="9"/>
  <c r="AK5" i="9"/>
  <c r="K39" i="2"/>
  <c r="AK50" i="9"/>
  <c r="AK30" i="9"/>
  <c r="AK18" i="9"/>
  <c r="AK24" i="9"/>
  <c r="AK62" i="9"/>
  <c r="AQ12" i="9"/>
  <c r="AN24" i="9"/>
  <c r="V19" i="7"/>
  <c r="AB584" i="6"/>
  <c r="AC756" i="6"/>
  <c r="AU756" i="6" s="1"/>
  <c r="V23" i="7"/>
  <c r="V26" i="7"/>
  <c r="V22" i="7"/>
  <c r="B139" i="5"/>
  <c r="D139" i="5"/>
  <c r="C153" i="5"/>
  <c r="D153" i="5"/>
  <c r="C123" i="5"/>
  <c r="B123" i="5"/>
  <c r="B215" i="5"/>
  <c r="D215" i="5"/>
  <c r="D113" i="5"/>
  <c r="A145" i="5"/>
  <c r="A212" i="5"/>
  <c r="D180" i="5"/>
  <c r="B180" i="5"/>
  <c r="B151" i="5"/>
  <c r="D151" i="5"/>
  <c r="AC71" i="6"/>
  <c r="AU71" i="6" s="1"/>
  <c r="B82" i="5"/>
  <c r="C82" i="5"/>
  <c r="A114" i="5"/>
  <c r="D44" i="5"/>
  <c r="A76" i="5"/>
  <c r="B44" i="5"/>
  <c r="D54" i="5"/>
  <c r="A86" i="5"/>
  <c r="X151" i="7"/>
  <c r="C151" i="5"/>
  <c r="A130" i="5"/>
  <c r="B98" i="5"/>
  <c r="C98" i="5"/>
  <c r="A128" i="5"/>
  <c r="B96" i="5"/>
  <c r="D96" i="5"/>
  <c r="C96" i="5"/>
  <c r="D64" i="5"/>
  <c r="B64" i="5"/>
  <c r="D58" i="5"/>
  <c r="A90" i="5"/>
  <c r="B58" i="5"/>
  <c r="D61" i="5"/>
  <c r="B61" i="5"/>
  <c r="A93" i="5"/>
  <c r="C61" i="5"/>
  <c r="D78" i="5"/>
  <c r="C78" i="5"/>
  <c r="A110" i="5"/>
  <c r="D84" i="5"/>
  <c r="C45" i="5"/>
  <c r="D65" i="5"/>
  <c r="A88" i="5"/>
  <c r="C55" i="5"/>
  <c r="D45" i="5"/>
  <c r="B56" i="5"/>
  <c r="D112" i="6"/>
  <c r="C113" i="6"/>
  <c r="C79" i="6"/>
  <c r="D78" i="6" s="1"/>
  <c r="E22" i="2"/>
  <c r="D23" i="2"/>
  <c r="C62" i="6"/>
  <c r="D61" i="6" s="1"/>
  <c r="C232" i="6"/>
  <c r="D231" i="6"/>
  <c r="D13" i="9"/>
  <c r="C18" i="9"/>
  <c r="C14" i="9"/>
  <c r="C147" i="6"/>
  <c r="D146" i="6" s="1"/>
  <c r="C198" i="6"/>
  <c r="D197" i="6" s="1"/>
  <c r="C249" i="6"/>
  <c r="D248" i="6" s="1"/>
  <c r="L39" i="7"/>
  <c r="L269" i="6"/>
  <c r="M29" i="2"/>
  <c r="M38" i="2"/>
  <c r="V20" i="7"/>
  <c r="L33" i="6"/>
  <c r="L101" i="6"/>
  <c r="V27" i="7"/>
  <c r="L84" i="6"/>
  <c r="V21" i="7"/>
  <c r="V25" i="7"/>
  <c r="AC36" i="6" l="1"/>
  <c r="AU36" i="6" s="1"/>
  <c r="AC26" i="6"/>
  <c r="AU26" i="6" s="1"/>
  <c r="AC716" i="6"/>
  <c r="AU716" i="6" s="1"/>
  <c r="AC481" i="6"/>
  <c r="AU481" i="6" s="1"/>
  <c r="AC186" i="6"/>
  <c r="AU186" i="6" s="1"/>
  <c r="AC51" i="6"/>
  <c r="AU51" i="6" s="1"/>
  <c r="AC566" i="6"/>
  <c r="AU566" i="6" s="1"/>
  <c r="AC276" i="6"/>
  <c r="AU276" i="6" s="1"/>
  <c r="AG650" i="6"/>
  <c r="AY650" i="6" s="1"/>
  <c r="E48" i="3"/>
  <c r="D181" i="6"/>
  <c r="E180" i="6" s="1"/>
  <c r="D130" i="6"/>
  <c r="E129" i="6" s="1"/>
  <c r="F80" i="5"/>
  <c r="F95" i="5"/>
  <c r="F96" i="5"/>
  <c r="F97" i="5"/>
  <c r="H71" i="5"/>
  <c r="F103" i="5" s="1"/>
  <c r="F88" i="5"/>
  <c r="F83" i="5"/>
  <c r="F84" i="5"/>
  <c r="F76" i="5"/>
  <c r="F74" i="5"/>
  <c r="F87" i="5"/>
  <c r="F86" i="5"/>
  <c r="F77" i="5"/>
  <c r="F81" i="5"/>
  <c r="F91" i="5"/>
  <c r="F75" i="5"/>
  <c r="F89" i="5"/>
  <c r="F90" i="5"/>
  <c r="F79" i="5"/>
  <c r="F78" i="5"/>
  <c r="F94" i="5"/>
  <c r="F85" i="5"/>
  <c r="F93" i="5"/>
  <c r="F92" i="5"/>
  <c r="M72" i="5"/>
  <c r="M91" i="5" s="1"/>
  <c r="D28" i="6"/>
  <c r="E27" i="6" s="1"/>
  <c r="Q487" i="6" s="1"/>
  <c r="E214" i="6"/>
  <c r="E95" i="6"/>
  <c r="E164" i="6"/>
  <c r="AC636" i="6"/>
  <c r="AU636" i="6" s="1"/>
  <c r="AC711" i="6"/>
  <c r="AU711" i="6" s="1"/>
  <c r="AC476" i="6"/>
  <c r="AU476" i="6" s="1"/>
  <c r="AC681" i="6"/>
  <c r="AU681" i="6" s="1"/>
  <c r="AC686" i="6"/>
  <c r="AU686" i="6" s="1"/>
  <c r="AC605" i="6"/>
  <c r="AU605" i="6" s="1"/>
  <c r="AC685" i="6"/>
  <c r="AU685" i="6" s="1"/>
  <c r="AC70" i="6"/>
  <c r="AU70" i="6" s="1"/>
  <c r="AC590" i="6"/>
  <c r="AU590" i="6" s="1"/>
  <c r="AC535" i="6"/>
  <c r="AU535" i="6" s="1"/>
  <c r="AC495" i="6"/>
  <c r="AU495" i="6" s="1"/>
  <c r="AC665" i="6"/>
  <c r="AU665" i="6" s="1"/>
  <c r="AC445" i="6"/>
  <c r="AU445" i="6" s="1"/>
  <c r="AC100" i="6"/>
  <c r="AU100" i="6" s="1"/>
  <c r="AC560" i="6"/>
  <c r="AU560" i="6" s="1"/>
  <c r="AC760" i="6"/>
  <c r="AU760" i="6" s="1"/>
  <c r="AC410" i="6"/>
  <c r="AU410" i="6" s="1"/>
  <c r="AC30" i="6"/>
  <c r="AU30" i="6" s="1"/>
  <c r="AG105" i="6"/>
  <c r="AY105" i="6" s="1"/>
  <c r="AC285" i="6"/>
  <c r="AU285" i="6" s="1"/>
  <c r="AC195" i="6"/>
  <c r="AU195" i="6" s="1"/>
  <c r="AC750" i="6"/>
  <c r="AU750" i="6" s="1"/>
  <c r="AC250" i="6"/>
  <c r="AU250" i="6" s="1"/>
  <c r="AB286" i="6"/>
  <c r="AT286" i="6" s="1"/>
  <c r="AB251" i="6"/>
  <c r="AT251" i="6" s="1"/>
  <c r="AC345" i="6"/>
  <c r="AU345" i="6" s="1"/>
  <c r="AC340" i="6"/>
  <c r="AU340" i="6" s="1"/>
  <c r="AC240" i="6"/>
  <c r="AU240" i="6" s="1"/>
  <c r="AC360" i="6"/>
  <c r="AU360" i="6" s="1"/>
  <c r="AC205" i="6"/>
  <c r="AU205" i="6" s="1"/>
  <c r="AC305" i="6"/>
  <c r="AU305" i="6" s="1"/>
  <c r="AG600" i="6"/>
  <c r="AY600" i="6" s="1"/>
  <c r="AB321" i="6"/>
  <c r="AT321" i="6" s="1"/>
  <c r="AC555" i="6"/>
  <c r="AU555" i="6" s="1"/>
  <c r="AC380" i="6"/>
  <c r="AU380" i="6" s="1"/>
  <c r="AC500" i="6"/>
  <c r="AU500" i="6" s="1"/>
  <c r="AC645" i="6"/>
  <c r="AU645" i="6" s="1"/>
  <c r="AC625" i="6"/>
  <c r="AU625" i="6" s="1"/>
  <c r="AC680" i="6"/>
  <c r="AU680" i="6" s="1"/>
  <c r="AB581" i="6"/>
  <c r="AT581" i="6" s="1"/>
  <c r="AG315" i="6"/>
  <c r="AY315" i="6" s="1"/>
  <c r="AG320" i="6"/>
  <c r="AY320" i="6" s="1"/>
  <c r="AB281" i="6"/>
  <c r="AT281" i="6" s="1"/>
  <c r="AC230" i="6"/>
  <c r="AU230" i="6" s="1"/>
  <c r="AC295" i="6"/>
  <c r="AU295" i="6" s="1"/>
  <c r="AC405" i="6"/>
  <c r="AU405" i="6" s="1"/>
  <c r="AC635" i="6"/>
  <c r="AU635" i="6" s="1"/>
  <c r="AC565" i="6"/>
  <c r="AU565" i="6" s="1"/>
  <c r="AC705" i="6"/>
  <c r="AU705" i="6" s="1"/>
  <c r="AC170" i="6"/>
  <c r="AU170" i="6" s="1"/>
  <c r="AC515" i="6"/>
  <c r="AU515" i="6" s="1"/>
  <c r="AC275" i="6"/>
  <c r="AU275" i="6" s="1"/>
  <c r="AC50" i="6"/>
  <c r="AU50" i="6" s="1"/>
  <c r="AG445" i="6"/>
  <c r="AY445" i="6" s="1"/>
  <c r="AC115" i="6"/>
  <c r="AU115" i="6" s="1"/>
  <c r="AC395" i="6"/>
  <c r="AU395" i="6" s="1"/>
  <c r="AB451" i="6"/>
  <c r="AT451" i="6" s="1"/>
  <c r="AG450" i="6"/>
  <c r="AY450" i="6" s="1"/>
  <c r="AG420" i="6"/>
  <c r="AY420" i="6" s="1"/>
  <c r="AB401" i="6"/>
  <c r="AT401" i="6" s="1"/>
  <c r="AC730" i="6"/>
  <c r="AU730" i="6" s="1"/>
  <c r="AC60" i="6"/>
  <c r="AU60" i="6" s="1"/>
  <c r="AC715" i="6"/>
  <c r="AU715" i="6" s="1"/>
  <c r="AC95" i="6"/>
  <c r="AU95" i="6" s="1"/>
  <c r="AC105" i="6"/>
  <c r="AU105" i="6" s="1"/>
  <c r="AC175" i="6"/>
  <c r="AU175" i="6" s="1"/>
  <c r="AC510" i="6"/>
  <c r="AU510" i="6" s="1"/>
  <c r="AC400" i="6"/>
  <c r="AU400" i="6" s="1"/>
  <c r="AG370" i="6"/>
  <c r="AY370" i="6" s="1"/>
  <c r="AC235" i="6"/>
  <c r="AU235" i="6" s="1"/>
  <c r="AC35" i="6"/>
  <c r="AU35" i="6" s="1"/>
  <c r="AC450" i="6"/>
  <c r="AU450" i="6" s="1"/>
  <c r="AC280" i="6"/>
  <c r="AU280" i="6" s="1"/>
  <c r="AC20" i="6"/>
  <c r="AU20" i="6" s="1"/>
  <c r="AC700" i="6"/>
  <c r="AU700" i="6" s="1"/>
  <c r="AG225" i="6"/>
  <c r="AY225" i="6" s="1"/>
  <c r="X158" i="7"/>
  <c r="X157" i="7"/>
  <c r="D225" i="5"/>
  <c r="A257" i="5"/>
  <c r="B225" i="5"/>
  <c r="C225" i="5"/>
  <c r="F98" i="5"/>
  <c r="F82" i="5"/>
  <c r="L271" i="6"/>
  <c r="A117" i="5"/>
  <c r="D85" i="5"/>
  <c r="B85" i="5"/>
  <c r="A173" i="5"/>
  <c r="B141" i="5"/>
  <c r="C141" i="5"/>
  <c r="D141" i="5"/>
  <c r="D80" i="5"/>
  <c r="B80" i="5"/>
  <c r="C80" i="5"/>
  <c r="A112" i="5"/>
  <c r="A185" i="5"/>
  <c r="B153" i="5"/>
  <c r="C94" i="5"/>
  <c r="A126" i="5"/>
  <c r="D94" i="5"/>
  <c r="B94" i="5"/>
  <c r="L46" i="3"/>
  <c r="D12" i="7"/>
  <c r="F11" i="7" s="1"/>
  <c r="C147" i="5"/>
  <c r="A179" i="5"/>
  <c r="B147" i="5"/>
  <c r="D147" i="5"/>
  <c r="B187" i="5"/>
  <c r="D187" i="5"/>
  <c r="C187" i="5"/>
  <c r="A219" i="5"/>
  <c r="D191" i="5"/>
  <c r="C191" i="5"/>
  <c r="B191" i="5"/>
  <c r="A223" i="5"/>
  <c r="A124" i="5"/>
  <c r="B92" i="5"/>
  <c r="C92" i="5"/>
  <c r="D92" i="5"/>
  <c r="F163" i="6"/>
  <c r="A143" i="5"/>
  <c r="B111" i="5"/>
  <c r="C111" i="5"/>
  <c r="D111" i="5"/>
  <c r="C113" i="5"/>
  <c r="B113" i="5"/>
  <c r="D235" i="5"/>
  <c r="A267" i="5"/>
  <c r="C235" i="5"/>
  <c r="B235" i="5"/>
  <c r="C247" i="5"/>
  <c r="D247" i="5"/>
  <c r="B247" i="5"/>
  <c r="A279" i="5"/>
  <c r="AG295" i="6"/>
  <c r="AY295" i="6" s="1"/>
  <c r="AB436" i="6"/>
  <c r="AT436" i="6" s="1"/>
  <c r="AB421" i="6"/>
  <c r="AT421" i="6" s="1"/>
  <c r="AC40" i="6"/>
  <c r="AU40" i="6" s="1"/>
  <c r="AC310" i="6"/>
  <c r="AU310" i="6" s="1"/>
  <c r="AC475" i="6"/>
  <c r="AU475" i="6" s="1"/>
  <c r="AC660" i="6"/>
  <c r="AU660" i="6" s="1"/>
  <c r="AC520" i="6"/>
  <c r="AU520" i="6" s="1"/>
  <c r="AC130" i="6"/>
  <c r="AU130" i="6" s="1"/>
  <c r="AC690" i="6"/>
  <c r="AU690" i="6" s="1"/>
  <c r="AC530" i="6"/>
  <c r="AU530" i="6" s="1"/>
  <c r="AC320" i="6"/>
  <c r="AU320" i="6" s="1"/>
  <c r="AC425" i="6"/>
  <c r="AU425" i="6" s="1"/>
  <c r="AC290" i="6"/>
  <c r="AU290" i="6" s="1"/>
  <c r="AB326" i="6"/>
  <c r="AT326" i="6" s="1"/>
  <c r="AC25" i="6"/>
  <c r="AU25" i="6" s="1"/>
  <c r="AC265" i="6"/>
  <c r="AU265" i="6" s="1"/>
  <c r="AC375" i="6"/>
  <c r="AU375" i="6" s="1"/>
  <c r="AC190" i="6"/>
  <c r="AU190" i="6" s="1"/>
  <c r="AC620" i="6"/>
  <c r="AU620" i="6" s="1"/>
  <c r="AG250" i="6"/>
  <c r="AY250" i="6" s="1"/>
  <c r="AC485" i="6"/>
  <c r="AU485" i="6" s="1"/>
  <c r="AC480" i="6"/>
  <c r="AU480" i="6" s="1"/>
  <c r="AC570" i="6"/>
  <c r="AU570" i="6" s="1"/>
  <c r="AG550" i="6"/>
  <c r="AY550" i="6" s="1"/>
  <c r="AC745" i="6"/>
  <c r="AU745" i="6" s="1"/>
  <c r="AC355" i="6"/>
  <c r="AU355" i="6" s="1"/>
  <c r="AC720" i="6"/>
  <c r="AU720" i="6" s="1"/>
  <c r="AC550" i="6"/>
  <c r="AU550" i="6" s="1"/>
  <c r="AC75" i="6"/>
  <c r="AU75" i="6" s="1"/>
  <c r="AB71" i="6"/>
  <c r="AT71" i="6" s="1"/>
  <c r="AB296" i="6"/>
  <c r="AT296" i="6" s="1"/>
  <c r="AB576" i="6"/>
  <c r="AT576" i="6" s="1"/>
  <c r="AC10" i="6"/>
  <c r="AU10" i="6" s="1"/>
  <c r="AC740" i="6"/>
  <c r="AU740" i="6" s="1"/>
  <c r="AC765" i="6"/>
  <c r="AU765" i="6" s="1"/>
  <c r="AC435" i="6"/>
  <c r="AU435" i="6" s="1"/>
  <c r="AC525" i="6"/>
  <c r="AU525" i="6" s="1"/>
  <c r="AC505" i="6"/>
  <c r="AU505" i="6" s="1"/>
  <c r="AC600" i="6"/>
  <c r="AU600" i="6" s="1"/>
  <c r="AC630" i="6"/>
  <c r="AU630" i="6" s="1"/>
  <c r="AC110" i="6"/>
  <c r="AU110" i="6" s="1"/>
  <c r="AC695" i="6"/>
  <c r="AU695" i="6" s="1"/>
  <c r="AC210" i="6"/>
  <c r="AU210" i="6" s="1"/>
  <c r="AC140" i="6"/>
  <c r="AU140" i="6" s="1"/>
  <c r="AB506" i="6"/>
  <c r="AT506" i="6" s="1"/>
  <c r="AC325" i="6"/>
  <c r="AU325" i="6" s="1"/>
  <c r="AC260" i="6"/>
  <c r="AU260" i="6" s="1"/>
  <c r="AC315" i="6"/>
  <c r="AU315" i="6" s="1"/>
  <c r="AU5" i="6"/>
  <c r="AC415" i="6"/>
  <c r="AU415" i="6" s="1"/>
  <c r="AC300" i="6"/>
  <c r="AU300" i="6" s="1"/>
  <c r="AC125" i="6"/>
  <c r="AU125" i="6" s="1"/>
  <c r="AC80" i="6"/>
  <c r="AU80" i="6" s="1"/>
  <c r="AC580" i="6"/>
  <c r="AU580" i="6" s="1"/>
  <c r="AC615" i="6"/>
  <c r="AU615" i="6" s="1"/>
  <c r="AB166" i="6"/>
  <c r="AT166" i="6" s="1"/>
  <c r="AC200" i="6"/>
  <c r="AU200" i="6" s="1"/>
  <c r="AC390" i="6"/>
  <c r="AU390" i="6" s="1"/>
  <c r="AC135" i="6"/>
  <c r="AU135" i="6" s="1"/>
  <c r="AG710" i="6"/>
  <c r="AY710" i="6" s="1"/>
  <c r="AB636" i="6"/>
  <c r="AT636" i="6" s="1"/>
  <c r="AB411" i="6"/>
  <c r="AT411" i="6" s="1"/>
  <c r="AB566" i="6"/>
  <c r="AT566" i="6" s="1"/>
  <c r="AC655" i="6"/>
  <c r="AU655" i="6" s="1"/>
  <c r="AC370" i="6"/>
  <c r="AU370" i="6" s="1"/>
  <c r="AC440" i="6"/>
  <c r="AU440" i="6" s="1"/>
  <c r="AC575" i="6"/>
  <c r="AU575" i="6" s="1"/>
  <c r="AC650" i="6"/>
  <c r="AU650" i="6" s="1"/>
  <c r="AC540" i="6"/>
  <c r="AU540" i="6" s="1"/>
  <c r="AC670" i="6"/>
  <c r="AU670" i="6" s="1"/>
  <c r="AC225" i="6"/>
  <c r="AU225" i="6" s="1"/>
  <c r="AC595" i="6"/>
  <c r="AU595" i="6" s="1"/>
  <c r="AC255" i="6"/>
  <c r="AU255" i="6" s="1"/>
  <c r="AC610" i="6"/>
  <c r="AU610" i="6" s="1"/>
  <c r="AC180" i="6"/>
  <c r="AU180" i="6" s="1"/>
  <c r="AC165" i="6"/>
  <c r="AU165" i="6" s="1"/>
  <c r="AC160" i="6"/>
  <c r="AU160" i="6" s="1"/>
  <c r="AC215" i="6"/>
  <c r="AU215" i="6" s="1"/>
  <c r="AC330" i="6"/>
  <c r="AU330" i="6" s="1"/>
  <c r="AB116" i="6"/>
  <c r="AT116" i="6" s="1"/>
  <c r="AC220" i="6"/>
  <c r="AU220" i="6" s="1"/>
  <c r="AC145" i="6"/>
  <c r="AU145" i="6" s="1"/>
  <c r="AC585" i="6"/>
  <c r="AU585" i="6" s="1"/>
  <c r="AC335" i="6"/>
  <c r="AU335" i="6" s="1"/>
  <c r="AC120" i="6"/>
  <c r="AU120" i="6" s="1"/>
  <c r="AC365" i="6"/>
  <c r="AU365" i="6" s="1"/>
  <c r="AC385" i="6"/>
  <c r="AU385" i="6" s="1"/>
  <c r="AC675" i="6"/>
  <c r="AU675" i="6" s="1"/>
  <c r="AC545" i="6"/>
  <c r="AU545" i="6" s="1"/>
  <c r="AC185" i="6"/>
  <c r="AU185" i="6" s="1"/>
  <c r="AC455" i="6"/>
  <c r="AU455" i="6" s="1"/>
  <c r="AC755" i="6"/>
  <c r="AU755" i="6" s="1"/>
  <c r="AG435" i="6"/>
  <c r="AY435" i="6" s="1"/>
  <c r="AC430" i="6"/>
  <c r="AU430" i="6" s="1"/>
  <c r="AC65" i="6"/>
  <c r="AU65" i="6" s="1"/>
  <c r="AC15" i="6"/>
  <c r="AU15" i="6" s="1"/>
  <c r="AC640" i="6"/>
  <c r="AU640" i="6" s="1"/>
  <c r="AC710" i="6"/>
  <c r="AU710" i="6" s="1"/>
  <c r="AC350" i="6"/>
  <c r="AU350" i="6" s="1"/>
  <c r="AG405" i="6"/>
  <c r="AY405" i="6" s="1"/>
  <c r="AC386" i="6"/>
  <c r="AU386" i="6" s="1"/>
  <c r="AC326" i="6"/>
  <c r="AU326" i="6" s="1"/>
  <c r="AC746" i="6"/>
  <c r="AU746" i="6" s="1"/>
  <c r="AC116" i="6"/>
  <c r="AU116" i="6" s="1"/>
  <c r="AC586" i="6"/>
  <c r="AU586" i="6" s="1"/>
  <c r="AC626" i="6"/>
  <c r="AU626" i="6" s="1"/>
  <c r="AC361" i="6"/>
  <c r="AU361" i="6" s="1"/>
  <c r="AC11" i="6"/>
  <c r="AU11" i="6" s="1"/>
  <c r="AC151" i="6"/>
  <c r="AU151" i="6" s="1"/>
  <c r="AC251" i="6"/>
  <c r="AU251" i="6" s="1"/>
  <c r="AC106" i="6"/>
  <c r="AU106" i="6" s="1"/>
  <c r="AC146" i="6"/>
  <c r="AU146" i="6" s="1"/>
  <c r="AC661" i="6"/>
  <c r="AU661" i="6" s="1"/>
  <c r="AC306" i="6"/>
  <c r="AU306" i="6" s="1"/>
  <c r="AC526" i="6"/>
  <c r="AU526" i="6" s="1"/>
  <c r="AC126" i="6"/>
  <c r="AU126" i="6" s="1"/>
  <c r="AC196" i="6"/>
  <c r="AU196" i="6" s="1"/>
  <c r="AC416" i="6"/>
  <c r="AU416" i="6" s="1"/>
  <c r="AC101" i="6"/>
  <c r="AU101" i="6" s="1"/>
  <c r="AC246" i="6"/>
  <c r="AU246" i="6" s="1"/>
  <c r="AC761" i="6"/>
  <c r="AU761" i="6" s="1"/>
  <c r="AC271" i="6"/>
  <c r="AU271" i="6" s="1"/>
  <c r="AC256" i="6"/>
  <c r="AU256" i="6" s="1"/>
  <c r="AC431" i="6"/>
  <c r="AU431" i="6" s="1"/>
  <c r="AC631" i="6"/>
  <c r="AU631" i="6" s="1"/>
  <c r="AC121" i="6"/>
  <c r="AU121" i="6" s="1"/>
  <c r="AC426" i="6"/>
  <c r="AU426" i="6" s="1"/>
  <c r="AC451" i="6"/>
  <c r="AU451" i="6" s="1"/>
  <c r="AC241" i="6"/>
  <c r="AU241" i="6" s="1"/>
  <c r="AC216" i="6"/>
  <c r="AU216" i="6" s="1"/>
  <c r="AC236" i="6"/>
  <c r="AU236" i="6" s="1"/>
  <c r="AC591" i="6"/>
  <c r="AU591" i="6" s="1"/>
  <c r="AC611" i="6"/>
  <c r="AU611" i="6" s="1"/>
  <c r="AC311" i="6"/>
  <c r="AU311" i="6" s="1"/>
  <c r="AC501" i="6"/>
  <c r="AU501" i="6" s="1"/>
  <c r="AC96" i="6"/>
  <c r="AU96" i="6" s="1"/>
  <c r="AC666" i="6"/>
  <c r="AU666" i="6" s="1"/>
  <c r="AC696" i="6"/>
  <c r="AU696" i="6" s="1"/>
  <c r="AC66" i="6"/>
  <c r="AU66" i="6" s="1"/>
  <c r="AC176" i="6"/>
  <c r="AU176" i="6" s="1"/>
  <c r="AC321" i="6"/>
  <c r="AU321" i="6" s="1"/>
  <c r="AC721" i="6"/>
  <c r="AU721" i="6" s="1"/>
  <c r="AC651" i="6"/>
  <c r="AU651" i="6" s="1"/>
  <c r="AC536" i="6"/>
  <c r="AU536" i="6" s="1"/>
  <c r="AC346" i="6"/>
  <c r="AU346" i="6" s="1"/>
  <c r="AC621" i="6"/>
  <c r="AU621" i="6" s="1"/>
  <c r="AC316" i="6"/>
  <c r="AU316" i="6" s="1"/>
  <c r="AC21" i="6"/>
  <c r="AU21" i="6" s="1"/>
  <c r="AC541" i="6"/>
  <c r="AU541" i="6" s="1"/>
  <c r="AC281" i="6"/>
  <c r="AU281" i="6" s="1"/>
  <c r="AC676" i="6"/>
  <c r="AU676" i="6" s="1"/>
  <c r="AC86" i="6"/>
  <c r="AU86" i="6" s="1"/>
  <c r="AC521" i="6"/>
  <c r="AU521" i="6" s="1"/>
  <c r="AB645" i="6"/>
  <c r="AT645" i="6" s="1"/>
  <c r="R29" i="7"/>
  <c r="R35" i="7" s="1"/>
  <c r="T29" i="7"/>
  <c r="T35" i="7" s="1"/>
  <c r="J29" i="7"/>
  <c r="J35" i="7" s="1"/>
  <c r="G48" i="3"/>
  <c r="N29" i="7"/>
  <c r="N35" i="7" s="1"/>
  <c r="AB225" i="6"/>
  <c r="AT225" i="6" s="1"/>
  <c r="AC701" i="6"/>
  <c r="AU701" i="6" s="1"/>
  <c r="AC606" i="6"/>
  <c r="AU606" i="6" s="1"/>
  <c r="AG481" i="6"/>
  <c r="AY481" i="6" s="1"/>
  <c r="AB270" i="6"/>
  <c r="AT270" i="6" s="1"/>
  <c r="AB280" i="6"/>
  <c r="AT280" i="6" s="1"/>
  <c r="AG590" i="6"/>
  <c r="AY590" i="6" s="1"/>
  <c r="AC45" i="6"/>
  <c r="AU45" i="6" s="1"/>
  <c r="AC470" i="6"/>
  <c r="AU470" i="6" s="1"/>
  <c r="AC270" i="6"/>
  <c r="AU270" i="6" s="1"/>
  <c r="AC725" i="6"/>
  <c r="AU725" i="6" s="1"/>
  <c r="AC245" i="6"/>
  <c r="AU245" i="6" s="1"/>
  <c r="AC150" i="6"/>
  <c r="AU150" i="6" s="1"/>
  <c r="AC735" i="6"/>
  <c r="AU735" i="6" s="1"/>
  <c r="AC85" i="6"/>
  <c r="AU85" i="6" s="1"/>
  <c r="AC490" i="6"/>
  <c r="AU490" i="6" s="1"/>
  <c r="AG145" i="6"/>
  <c r="AY145" i="6" s="1"/>
  <c r="AC420" i="6"/>
  <c r="AU420" i="6" s="1"/>
  <c r="AB386" i="6"/>
  <c r="AT386" i="6" s="1"/>
  <c r="AB111" i="6"/>
  <c r="AT111" i="6" s="1"/>
  <c r="AB691" i="6"/>
  <c r="AT691" i="6" s="1"/>
  <c r="AB741" i="6"/>
  <c r="AT741" i="6" s="1"/>
  <c r="AB406" i="6"/>
  <c r="AT406" i="6" s="1"/>
  <c r="AB756" i="6"/>
  <c r="AT756" i="6" s="1"/>
  <c r="AB106" i="6"/>
  <c r="AT106" i="6" s="1"/>
  <c r="AB146" i="6"/>
  <c r="AT146" i="6" s="1"/>
  <c r="AB596" i="6"/>
  <c r="AT596" i="6" s="1"/>
  <c r="AB176" i="6"/>
  <c r="AT176" i="6" s="1"/>
  <c r="AG510" i="6"/>
  <c r="AY510" i="6" s="1"/>
  <c r="AG275" i="6"/>
  <c r="AY275" i="6" s="1"/>
  <c r="AG15" i="6"/>
  <c r="AY15" i="6" s="1"/>
  <c r="AG185" i="6"/>
  <c r="AY185" i="6" s="1"/>
  <c r="AG35" i="6"/>
  <c r="AY35" i="6" s="1"/>
  <c r="AG170" i="6"/>
  <c r="AY170" i="6" s="1"/>
  <c r="AB496" i="6"/>
  <c r="AT496" i="6" s="1"/>
  <c r="AB196" i="6"/>
  <c r="AT196" i="6" s="1"/>
  <c r="AC41" i="6"/>
  <c r="AU41" i="6" s="1"/>
  <c r="AG40" i="6"/>
  <c r="AY40" i="6" s="1"/>
  <c r="AG120" i="6"/>
  <c r="AY120" i="6" s="1"/>
  <c r="AC161" i="6"/>
  <c r="AU161" i="6" s="1"/>
  <c r="AC726" i="6"/>
  <c r="AU726" i="6" s="1"/>
  <c r="AC46" i="6"/>
  <c r="AU46" i="6" s="1"/>
  <c r="AC286" i="6"/>
  <c r="AU286" i="6" s="1"/>
  <c r="AC391" i="6"/>
  <c r="AU391" i="6" s="1"/>
  <c r="AB16" i="6"/>
  <c r="AT16" i="6" s="1"/>
  <c r="AB766" i="6"/>
  <c r="AT766" i="6" s="1"/>
  <c r="AB131" i="6"/>
  <c r="AT131" i="6" s="1"/>
  <c r="AB696" i="6"/>
  <c r="AT696" i="6" s="1"/>
  <c r="AB256" i="6"/>
  <c r="AT256" i="6" s="1"/>
  <c r="AC16" i="6"/>
  <c r="AU16" i="6" s="1"/>
  <c r="AC226" i="6"/>
  <c r="AU226" i="6" s="1"/>
  <c r="AF511" i="6"/>
  <c r="AX511" i="6" s="1"/>
  <c r="AB476" i="6"/>
  <c r="AT476" i="6" s="1"/>
  <c r="AB651" i="6"/>
  <c r="AT651" i="6" s="1"/>
  <c r="AB81" i="6"/>
  <c r="AT81" i="6" s="1"/>
  <c r="AB395" i="6"/>
  <c r="AT395" i="6" s="1"/>
  <c r="AG115" i="6"/>
  <c r="AY115" i="6" s="1"/>
  <c r="AG680" i="6"/>
  <c r="AY680" i="6" s="1"/>
  <c r="AC641" i="6"/>
  <c r="AU641" i="6" s="1"/>
  <c r="AG95" i="6"/>
  <c r="AY95" i="6" s="1"/>
  <c r="AG700" i="6"/>
  <c r="AY700" i="6" s="1"/>
  <c r="AG705" i="6"/>
  <c r="AY705" i="6" s="1"/>
  <c r="AG480" i="6"/>
  <c r="AY480" i="6" s="1"/>
  <c r="AG660" i="6"/>
  <c r="AY660" i="6" s="1"/>
  <c r="AG410" i="6"/>
  <c r="AY410" i="6" s="1"/>
  <c r="AG45" i="6"/>
  <c r="AY45" i="6" s="1"/>
  <c r="AB201" i="6"/>
  <c r="AT201" i="6" s="1"/>
  <c r="AG455" i="6"/>
  <c r="AY455" i="6" s="1"/>
  <c r="AG210" i="6"/>
  <c r="AY210" i="6" s="1"/>
  <c r="AG335" i="6"/>
  <c r="AY335" i="6" s="1"/>
  <c r="AG695" i="6"/>
  <c r="AY695" i="6" s="1"/>
  <c r="AG395" i="6"/>
  <c r="AY395" i="6" s="1"/>
  <c r="AY5" i="6"/>
  <c r="AG60" i="6"/>
  <c r="AY60" i="6" s="1"/>
  <c r="AG740" i="6"/>
  <c r="AY740" i="6" s="1"/>
  <c r="AG310" i="6"/>
  <c r="AY310" i="6" s="1"/>
  <c r="AB646" i="6"/>
  <c r="AT646" i="6" s="1"/>
  <c r="AB341" i="6"/>
  <c r="AT341" i="6" s="1"/>
  <c r="AB721" i="6"/>
  <c r="AT721" i="6" s="1"/>
  <c r="AB656" i="6"/>
  <c r="AT656" i="6" s="1"/>
  <c r="AB231" i="6"/>
  <c r="AT231" i="6" s="1"/>
  <c r="AB676" i="6"/>
  <c r="AT676" i="6" s="1"/>
  <c r="AT6" i="6"/>
  <c r="AB346" i="6"/>
  <c r="AT346" i="6" s="1"/>
  <c r="AG715" i="6"/>
  <c r="AY715" i="6" s="1"/>
  <c r="AG340" i="6"/>
  <c r="AY340" i="6" s="1"/>
  <c r="AG175" i="6"/>
  <c r="AY175" i="6" s="1"/>
  <c r="AG425" i="6"/>
  <c r="AY425" i="6" s="1"/>
  <c r="AG675" i="6"/>
  <c r="AY675" i="6" s="1"/>
  <c r="AG610" i="6"/>
  <c r="AY610" i="6" s="1"/>
  <c r="AG50" i="6"/>
  <c r="AY50" i="6" s="1"/>
  <c r="AG325" i="6"/>
  <c r="AY325" i="6" s="1"/>
  <c r="AG220" i="6"/>
  <c r="AY220" i="6" s="1"/>
  <c r="AC381" i="6"/>
  <c r="AU381" i="6" s="1"/>
  <c r="AG625" i="6"/>
  <c r="AY625" i="6" s="1"/>
  <c r="AC601" i="6"/>
  <c r="AU601" i="6" s="1"/>
  <c r="AC291" i="6"/>
  <c r="AU291" i="6" s="1"/>
  <c r="AC731" i="6"/>
  <c r="AU731" i="6" s="1"/>
  <c r="AC751" i="6"/>
  <c r="AU751" i="6" s="1"/>
  <c r="AC671" i="6"/>
  <c r="AU671" i="6" s="1"/>
  <c r="AC81" i="6"/>
  <c r="AU81" i="6" s="1"/>
  <c r="AC341" i="6"/>
  <c r="AU341" i="6" s="1"/>
  <c r="AC596" i="6"/>
  <c r="AU596" i="6" s="1"/>
  <c r="AG575" i="6"/>
  <c r="AY575" i="6" s="1"/>
  <c r="AB125" i="6"/>
  <c r="AT125" i="6" s="1"/>
  <c r="AC571" i="6"/>
  <c r="AU571" i="6" s="1"/>
  <c r="AC496" i="6"/>
  <c r="AU496" i="6" s="1"/>
  <c r="AC456" i="6"/>
  <c r="AU456" i="6" s="1"/>
  <c r="AC511" i="6"/>
  <c r="AU511" i="6" s="1"/>
  <c r="AU6" i="6"/>
  <c r="AC231" i="6"/>
  <c r="AU231" i="6" s="1"/>
  <c r="AC221" i="6"/>
  <c r="AU221" i="6" s="1"/>
  <c r="AC406" i="6"/>
  <c r="AU406" i="6" s="1"/>
  <c r="AC371" i="6"/>
  <c r="AU371" i="6" s="1"/>
  <c r="AC516" i="6"/>
  <c r="AU516" i="6" s="1"/>
  <c r="AC551" i="6"/>
  <c r="AU551" i="6" s="1"/>
  <c r="AC131" i="6"/>
  <c r="AU131" i="6" s="1"/>
  <c r="AC331" i="6"/>
  <c r="AU331" i="6" s="1"/>
  <c r="AC506" i="6"/>
  <c r="AU506" i="6" s="1"/>
  <c r="AC366" i="6"/>
  <c r="AU366" i="6" s="1"/>
  <c r="AB761" i="6"/>
  <c r="AT761" i="6" s="1"/>
  <c r="AB36" i="6"/>
  <c r="AT36" i="6" s="1"/>
  <c r="AB211" i="6"/>
  <c r="AT211" i="6" s="1"/>
  <c r="AB276" i="6"/>
  <c r="AT276" i="6" s="1"/>
  <c r="AB746" i="6"/>
  <c r="AT746" i="6" s="1"/>
  <c r="AB331" i="6"/>
  <c r="AT331" i="6" s="1"/>
  <c r="AB246" i="6"/>
  <c r="AT246" i="6" s="1"/>
  <c r="AB21" i="6"/>
  <c r="AT21" i="6" s="1"/>
  <c r="AC656" i="6"/>
  <c r="AU656" i="6" s="1"/>
  <c r="AC706" i="6"/>
  <c r="AU706" i="6" s="1"/>
  <c r="AC191" i="6"/>
  <c r="AU191" i="6" s="1"/>
  <c r="AC736" i="6"/>
  <c r="AU736" i="6" s="1"/>
  <c r="AC581" i="6"/>
  <c r="AU581" i="6" s="1"/>
  <c r="AG30" i="6"/>
  <c r="AY30" i="6" s="1"/>
  <c r="AC171" i="6"/>
  <c r="AU171" i="6" s="1"/>
  <c r="AC351" i="6"/>
  <c r="AU351" i="6" s="1"/>
  <c r="AG155" i="6"/>
  <c r="AY155" i="6" s="1"/>
  <c r="AG260" i="6"/>
  <c r="AY260" i="6" s="1"/>
  <c r="AG215" i="6"/>
  <c r="AY215" i="6" s="1"/>
  <c r="AG555" i="6"/>
  <c r="AY555" i="6" s="1"/>
  <c r="AB50" i="6"/>
  <c r="AT50" i="6" s="1"/>
  <c r="AC556" i="6"/>
  <c r="AU556" i="6" s="1"/>
  <c r="AC336" i="6"/>
  <c r="AU336" i="6" s="1"/>
  <c r="AC471" i="6"/>
  <c r="AU471" i="6" s="1"/>
  <c r="AC741" i="6"/>
  <c r="AU741" i="6" s="1"/>
  <c r="AC411" i="6"/>
  <c r="AU411" i="6" s="1"/>
  <c r="AC211" i="6"/>
  <c r="AU211" i="6" s="1"/>
  <c r="AC486" i="6"/>
  <c r="AU486" i="6" s="1"/>
  <c r="AC206" i="6"/>
  <c r="AU206" i="6" s="1"/>
  <c r="AB500" i="6"/>
  <c r="AT500" i="6" s="1"/>
  <c r="AG505" i="6"/>
  <c r="AY505" i="6" s="1"/>
  <c r="AC376" i="6"/>
  <c r="AU376" i="6" s="1"/>
  <c r="AC166" i="6"/>
  <c r="AU166" i="6" s="1"/>
  <c r="AC261" i="6"/>
  <c r="AU261" i="6" s="1"/>
  <c r="AC531" i="6"/>
  <c r="AU531" i="6" s="1"/>
  <c r="AC421" i="6"/>
  <c r="AU421" i="6" s="1"/>
  <c r="AC61" i="6"/>
  <c r="AU61" i="6" s="1"/>
  <c r="AC76" i="6"/>
  <c r="AU76" i="6" s="1"/>
  <c r="AC646" i="6"/>
  <c r="AU646" i="6" s="1"/>
  <c r="AC546" i="6"/>
  <c r="AU546" i="6" s="1"/>
  <c r="AC356" i="6"/>
  <c r="AU356" i="6" s="1"/>
  <c r="AC396" i="6"/>
  <c r="AU396" i="6" s="1"/>
  <c r="AC766" i="6"/>
  <c r="AU766" i="6" s="1"/>
  <c r="AC266" i="6"/>
  <c r="AU266" i="6" s="1"/>
  <c r="AC31" i="6"/>
  <c r="AU31" i="6" s="1"/>
  <c r="AC156" i="6"/>
  <c r="AU156" i="6" s="1"/>
  <c r="AC616" i="6"/>
  <c r="AU616" i="6" s="1"/>
  <c r="AC441" i="6"/>
  <c r="AU441" i="6" s="1"/>
  <c r="AC136" i="6"/>
  <c r="AU136" i="6" s="1"/>
  <c r="AC576" i="6"/>
  <c r="AU576" i="6" s="1"/>
  <c r="AB61" i="6"/>
  <c r="AT61" i="6" s="1"/>
  <c r="AB206" i="6"/>
  <c r="AT206" i="6" s="1"/>
  <c r="AB126" i="6"/>
  <c r="AT126" i="6" s="1"/>
  <c r="AB351" i="6"/>
  <c r="AT351" i="6" s="1"/>
  <c r="AB41" i="6"/>
  <c r="AT41" i="6" s="1"/>
  <c r="AB261" i="6"/>
  <c r="AT261" i="6" s="1"/>
  <c r="AB161" i="6"/>
  <c r="AT161" i="6" s="1"/>
  <c r="AB376" i="6"/>
  <c r="AT376" i="6" s="1"/>
  <c r="AB366" i="6"/>
  <c r="AT366" i="6" s="1"/>
  <c r="AB391" i="6"/>
  <c r="AT391" i="6" s="1"/>
  <c r="AB486" i="6"/>
  <c r="AT486" i="6" s="1"/>
  <c r="AB571" i="6"/>
  <c r="AT571" i="6" s="1"/>
  <c r="AB521" i="6"/>
  <c r="AT521" i="6" s="1"/>
  <c r="AC561" i="6"/>
  <c r="AU561" i="6" s="1"/>
  <c r="AC401" i="6"/>
  <c r="AU401" i="6" s="1"/>
  <c r="AC446" i="6"/>
  <c r="AU446" i="6" s="1"/>
  <c r="AC201" i="6"/>
  <c r="AU201" i="6" s="1"/>
  <c r="AC691" i="6"/>
  <c r="AU691" i="6" s="1"/>
  <c r="AC296" i="6"/>
  <c r="AU296" i="6" s="1"/>
  <c r="AC141" i="6"/>
  <c r="AU141" i="6" s="1"/>
  <c r="AC491" i="6"/>
  <c r="AU491" i="6" s="1"/>
  <c r="AB590" i="6"/>
  <c r="AT590" i="6" s="1"/>
  <c r="AB66" i="6"/>
  <c r="AT66" i="6" s="1"/>
  <c r="AB616" i="6"/>
  <c r="AT616" i="6" s="1"/>
  <c r="AB726" i="6"/>
  <c r="AT726" i="6" s="1"/>
  <c r="AB191" i="6"/>
  <c r="AT191" i="6" s="1"/>
  <c r="AB356" i="6"/>
  <c r="AT356" i="6" s="1"/>
  <c r="AG195" i="6"/>
  <c r="AY195" i="6" s="1"/>
  <c r="AG485" i="6"/>
  <c r="AY485" i="6" s="1"/>
  <c r="AG640" i="6"/>
  <c r="AY640" i="6" s="1"/>
  <c r="AG765" i="6"/>
  <c r="AY765" i="6" s="1"/>
  <c r="AG560" i="6"/>
  <c r="AY560" i="6" s="1"/>
  <c r="AG355" i="6"/>
  <c r="AY355" i="6" s="1"/>
  <c r="AG255" i="6"/>
  <c r="AY255" i="6" s="1"/>
  <c r="AG730" i="6"/>
  <c r="AY730" i="6" s="1"/>
  <c r="AB456" i="6"/>
  <c r="AT456" i="6" s="1"/>
  <c r="AC436" i="6"/>
  <c r="AU436" i="6" s="1"/>
  <c r="AG85" i="6"/>
  <c r="AY85" i="6" s="1"/>
  <c r="AG125" i="6"/>
  <c r="AY125" i="6" s="1"/>
  <c r="AG200" i="6"/>
  <c r="AY200" i="6" s="1"/>
  <c r="AG390" i="6"/>
  <c r="AY390" i="6" s="1"/>
  <c r="AG605" i="6"/>
  <c r="AY605" i="6" s="1"/>
  <c r="AG635" i="6"/>
  <c r="AY635" i="6" s="1"/>
  <c r="AG475" i="6"/>
  <c r="AY475" i="6" s="1"/>
  <c r="AG750" i="6"/>
  <c r="AY750" i="6" s="1"/>
  <c r="AG350" i="6"/>
  <c r="AY350" i="6" s="1"/>
  <c r="AG150" i="6"/>
  <c r="AY150" i="6" s="1"/>
  <c r="AF640" i="6"/>
  <c r="AX640" i="6" s="1"/>
  <c r="AB291" i="6"/>
  <c r="AT291" i="6" s="1"/>
  <c r="AB501" i="6"/>
  <c r="AT501" i="6" s="1"/>
  <c r="AB446" i="6"/>
  <c r="AT446" i="6" s="1"/>
  <c r="AB561" i="6"/>
  <c r="AT561" i="6" s="1"/>
  <c r="AB181" i="6"/>
  <c r="AT181" i="6" s="1"/>
  <c r="AB511" i="6"/>
  <c r="AT511" i="6" s="1"/>
  <c r="AB611" i="6"/>
  <c r="AT611" i="6" s="1"/>
  <c r="AB671" i="6"/>
  <c r="AT671" i="6" s="1"/>
  <c r="AB216" i="6"/>
  <c r="AT216" i="6" s="1"/>
  <c r="AB586" i="6"/>
  <c r="AT586" i="6" s="1"/>
  <c r="AB171" i="6"/>
  <c r="AT171" i="6" s="1"/>
  <c r="AB441" i="6"/>
  <c r="AT441" i="6" s="1"/>
  <c r="AG540" i="6"/>
  <c r="AY540" i="6" s="1"/>
  <c r="AB301" i="6"/>
  <c r="AT301" i="6" s="1"/>
  <c r="AB316" i="6"/>
  <c r="AT316" i="6" s="1"/>
  <c r="AB426" i="6"/>
  <c r="AT426" i="6" s="1"/>
  <c r="AB556" i="6"/>
  <c r="AT556" i="6" s="1"/>
  <c r="AB626" i="6"/>
  <c r="AT626" i="6" s="1"/>
  <c r="AB491" i="6"/>
  <c r="AT491" i="6" s="1"/>
  <c r="AB481" i="6"/>
  <c r="AT481" i="6" s="1"/>
  <c r="AB541" i="6"/>
  <c r="AT541" i="6" s="1"/>
  <c r="AG100" i="6"/>
  <c r="AY100" i="6" s="1"/>
  <c r="AG135" i="6"/>
  <c r="AY135" i="6" s="1"/>
  <c r="AG20" i="6"/>
  <c r="AY20" i="6" s="1"/>
  <c r="AG760" i="6"/>
  <c r="AY760" i="6" s="1"/>
  <c r="AG535" i="6"/>
  <c r="AY535" i="6" s="1"/>
  <c r="AG430" i="6"/>
  <c r="AY430" i="6" s="1"/>
  <c r="AG620" i="6"/>
  <c r="AY620" i="6" s="1"/>
  <c r="AG490" i="6"/>
  <c r="AY490" i="6" s="1"/>
  <c r="AG165" i="6"/>
  <c r="AY165" i="6" s="1"/>
  <c r="AG285" i="6"/>
  <c r="AY285" i="6" s="1"/>
  <c r="AG130" i="6"/>
  <c r="AY130" i="6" s="1"/>
  <c r="AG415" i="6"/>
  <c r="AY415" i="6" s="1"/>
  <c r="AG375" i="6"/>
  <c r="AY375" i="6" s="1"/>
  <c r="AG690" i="6"/>
  <c r="AY690" i="6" s="1"/>
  <c r="AG755" i="6"/>
  <c r="AY755" i="6" s="1"/>
  <c r="AG380" i="6"/>
  <c r="AY380" i="6" s="1"/>
  <c r="AG595" i="6"/>
  <c r="AY595" i="6" s="1"/>
  <c r="AG10" i="6"/>
  <c r="AY10" i="6" s="1"/>
  <c r="AB731" i="6"/>
  <c r="AT731" i="6" s="1"/>
  <c r="AB681" i="6"/>
  <c r="AT681" i="6" s="1"/>
  <c r="AG670" i="6"/>
  <c r="AY670" i="6" s="1"/>
  <c r="AG65" i="6"/>
  <c r="AY65" i="6" s="1"/>
  <c r="AG190" i="6"/>
  <c r="AY190" i="6" s="1"/>
  <c r="AG110" i="6"/>
  <c r="AY110" i="6" s="1"/>
  <c r="AG80" i="6"/>
  <c r="AY80" i="6" s="1"/>
  <c r="AG495" i="6"/>
  <c r="AY495" i="6" s="1"/>
  <c r="AG245" i="6"/>
  <c r="AY245" i="6" s="1"/>
  <c r="AG280" i="6"/>
  <c r="AY280" i="6" s="1"/>
  <c r="AG385" i="6"/>
  <c r="AY385" i="6" s="1"/>
  <c r="AG235" i="6"/>
  <c r="AY235" i="6" s="1"/>
  <c r="AG725" i="6"/>
  <c r="AY725" i="6" s="1"/>
  <c r="AG360" i="6"/>
  <c r="AY360" i="6" s="1"/>
  <c r="AG565" i="6"/>
  <c r="AY565" i="6" s="1"/>
  <c r="AB551" i="6"/>
  <c r="AT551" i="6" s="1"/>
  <c r="AB431" i="6"/>
  <c r="AT431" i="6" s="1"/>
  <c r="AB536" i="6"/>
  <c r="AT536" i="6" s="1"/>
  <c r="AB141" i="6"/>
  <c r="AT141" i="6" s="1"/>
  <c r="AB221" i="6"/>
  <c r="AT221" i="6" s="1"/>
  <c r="AB526" i="6"/>
  <c r="AT526" i="6" s="1"/>
  <c r="AB531" i="6"/>
  <c r="AT531" i="6" s="1"/>
  <c r="AB51" i="6"/>
  <c r="AT51" i="6" s="1"/>
  <c r="AB416" i="6"/>
  <c r="AT416" i="6" s="1"/>
  <c r="AB241" i="6"/>
  <c r="AT241" i="6" s="1"/>
  <c r="AB336" i="6"/>
  <c r="AT336" i="6" s="1"/>
  <c r="AB76" i="6"/>
  <c r="AT76" i="6" s="1"/>
  <c r="AB306" i="6"/>
  <c r="AT306" i="6" s="1"/>
  <c r="AB226" i="6"/>
  <c r="AT226" i="6" s="1"/>
  <c r="AB666" i="6"/>
  <c r="AT666" i="6" s="1"/>
  <c r="AG735" i="6"/>
  <c r="AY735" i="6" s="1"/>
  <c r="AF425" i="6"/>
  <c r="AX425" i="6" s="1"/>
  <c r="AF181" i="6"/>
  <c r="AX181" i="6" s="1"/>
  <c r="AG530" i="6"/>
  <c r="AY530" i="6" s="1"/>
  <c r="AG160" i="6"/>
  <c r="AY160" i="6" s="1"/>
  <c r="AG305" i="6"/>
  <c r="AY305" i="6" s="1"/>
  <c r="AG330" i="6"/>
  <c r="AY330" i="6" s="1"/>
  <c r="AG240" i="6"/>
  <c r="AY240" i="6" s="1"/>
  <c r="AG265" i="6"/>
  <c r="AY265" i="6" s="1"/>
  <c r="AA610" i="6"/>
  <c r="AS610" i="6" s="1"/>
  <c r="AG345" i="6"/>
  <c r="AY345" i="6" s="1"/>
  <c r="AB186" i="6"/>
  <c r="AT186" i="6" s="1"/>
  <c r="AB641" i="6"/>
  <c r="AT641" i="6" s="1"/>
  <c r="AB546" i="6"/>
  <c r="AT546" i="6" s="1"/>
  <c r="AB236" i="6"/>
  <c r="AT236" i="6" s="1"/>
  <c r="AB601" i="6"/>
  <c r="AT601" i="6" s="1"/>
  <c r="AB736" i="6"/>
  <c r="AT736" i="6" s="1"/>
  <c r="AB46" i="6"/>
  <c r="AT46" i="6" s="1"/>
  <c r="AB156" i="6"/>
  <c r="AT156" i="6" s="1"/>
  <c r="AB711" i="6"/>
  <c r="AT711" i="6" s="1"/>
  <c r="AB31" i="6"/>
  <c r="AT31" i="6" s="1"/>
  <c r="AB661" i="6"/>
  <c r="AT661" i="6" s="1"/>
  <c r="AB11" i="6"/>
  <c r="AT11" i="6" s="1"/>
  <c r="AB371" i="6"/>
  <c r="AT371" i="6" s="1"/>
  <c r="AB701" i="6"/>
  <c r="AT701" i="6" s="1"/>
  <c r="AB591" i="6"/>
  <c r="AT591" i="6" s="1"/>
  <c r="AB751" i="6"/>
  <c r="AT751" i="6" s="1"/>
  <c r="AB686" i="6"/>
  <c r="AT686" i="6" s="1"/>
  <c r="AB606" i="6"/>
  <c r="AT606" i="6" s="1"/>
  <c r="AB381" i="6"/>
  <c r="AT381" i="6" s="1"/>
  <c r="AB151" i="6"/>
  <c r="AT151" i="6" s="1"/>
  <c r="AB266" i="6"/>
  <c r="AT266" i="6" s="1"/>
  <c r="AB396" i="6"/>
  <c r="AT396" i="6" s="1"/>
  <c r="AB631" i="6"/>
  <c r="AT631" i="6" s="1"/>
  <c r="AB471" i="6"/>
  <c r="AT471" i="6" s="1"/>
  <c r="AB26" i="6"/>
  <c r="AT26" i="6" s="1"/>
  <c r="AB516" i="6"/>
  <c r="AT516" i="6" s="1"/>
  <c r="AB706" i="6"/>
  <c r="AT706" i="6" s="1"/>
  <c r="AG580" i="6"/>
  <c r="AY580" i="6" s="1"/>
  <c r="AB121" i="6"/>
  <c r="AT121" i="6" s="1"/>
  <c r="AB86" i="6"/>
  <c r="AT86" i="6" s="1"/>
  <c r="AB96" i="6"/>
  <c r="AT96" i="6" s="1"/>
  <c r="AB136" i="6"/>
  <c r="AT136" i="6" s="1"/>
  <c r="AB621" i="6"/>
  <c r="AT621" i="6" s="1"/>
  <c r="AB361" i="6"/>
  <c r="AT361" i="6" s="1"/>
  <c r="AG745" i="6"/>
  <c r="AY745" i="6" s="1"/>
  <c r="AG585" i="6"/>
  <c r="AY585" i="6" s="1"/>
  <c r="AG645" i="6"/>
  <c r="AY645" i="6" s="1"/>
  <c r="AG290" i="6"/>
  <c r="AY290" i="6" s="1"/>
  <c r="AG655" i="6"/>
  <c r="AY655" i="6" s="1"/>
  <c r="AG270" i="6"/>
  <c r="AY270" i="6" s="1"/>
  <c r="AG25" i="6"/>
  <c r="AY25" i="6" s="1"/>
  <c r="AG300" i="6"/>
  <c r="AY300" i="6" s="1"/>
  <c r="AG570" i="6"/>
  <c r="AY570" i="6" s="1"/>
  <c r="AG630" i="6"/>
  <c r="AY630" i="6" s="1"/>
  <c r="AG140" i="6"/>
  <c r="AY140" i="6" s="1"/>
  <c r="AG500" i="6"/>
  <c r="AY500" i="6" s="1"/>
  <c r="AG525" i="6"/>
  <c r="AY525" i="6" s="1"/>
  <c r="AG400" i="6"/>
  <c r="AY400" i="6" s="1"/>
  <c r="AG180" i="6"/>
  <c r="AY180" i="6" s="1"/>
  <c r="AG70" i="6"/>
  <c r="AY70" i="6" s="1"/>
  <c r="AG515" i="6"/>
  <c r="AY515" i="6" s="1"/>
  <c r="AG545" i="6"/>
  <c r="AY545" i="6" s="1"/>
  <c r="AG470" i="6"/>
  <c r="AY470" i="6" s="1"/>
  <c r="AB311" i="6"/>
  <c r="AT311" i="6" s="1"/>
  <c r="AB101" i="6"/>
  <c r="AT101" i="6" s="1"/>
  <c r="AI5" i="6"/>
  <c r="AG665" i="6"/>
  <c r="AY665" i="6" s="1"/>
  <c r="AG685" i="6"/>
  <c r="AY685" i="6" s="1"/>
  <c r="AG230" i="6"/>
  <c r="AY230" i="6" s="1"/>
  <c r="AG365" i="6"/>
  <c r="AY365" i="6" s="1"/>
  <c r="AG720" i="6"/>
  <c r="AY720" i="6" s="1"/>
  <c r="AG205" i="6"/>
  <c r="AY205" i="6" s="1"/>
  <c r="AG615" i="6"/>
  <c r="AY615" i="6" s="1"/>
  <c r="AG440" i="6"/>
  <c r="AY440" i="6" s="1"/>
  <c r="AG520" i="6"/>
  <c r="AY520" i="6" s="1"/>
  <c r="AB271" i="6"/>
  <c r="AT271" i="6" s="1"/>
  <c r="AB360" i="6"/>
  <c r="AT360" i="6" s="1"/>
  <c r="AB320" i="6"/>
  <c r="AT320" i="6" s="1"/>
  <c r="AB150" i="6"/>
  <c r="AT150" i="6" s="1"/>
  <c r="AB490" i="6"/>
  <c r="AT490" i="6" s="1"/>
  <c r="AB745" i="6"/>
  <c r="AT745" i="6" s="1"/>
  <c r="AB385" i="6"/>
  <c r="AT385" i="6" s="1"/>
  <c r="AB205" i="6"/>
  <c r="AT205" i="6" s="1"/>
  <c r="AB685" i="6"/>
  <c r="AT685" i="6" s="1"/>
  <c r="AB735" i="6"/>
  <c r="AT735" i="6" s="1"/>
  <c r="AB570" i="6"/>
  <c r="AT570" i="6" s="1"/>
  <c r="AB665" i="6"/>
  <c r="AT665" i="6" s="1"/>
  <c r="AB405" i="6"/>
  <c r="AT405" i="6" s="1"/>
  <c r="AB550" i="6"/>
  <c r="AT550" i="6" s="1"/>
  <c r="AB430" i="6"/>
  <c r="AT430" i="6" s="1"/>
  <c r="AB585" i="6"/>
  <c r="AT585" i="6" s="1"/>
  <c r="AB650" i="6"/>
  <c r="AT650" i="6" s="1"/>
  <c r="AB215" i="6"/>
  <c r="AT215" i="6" s="1"/>
  <c r="AB435" i="6"/>
  <c r="AT435" i="6" s="1"/>
  <c r="AB480" i="6"/>
  <c r="AT480" i="6" s="1"/>
  <c r="AB535" i="6"/>
  <c r="AT535" i="6" s="1"/>
  <c r="AB70" i="6"/>
  <c r="AT70" i="6" s="1"/>
  <c r="AB75" i="6"/>
  <c r="AT75" i="6" s="1"/>
  <c r="AB670" i="6"/>
  <c r="AT670" i="6" s="1"/>
  <c r="AB555" i="6"/>
  <c r="AT555" i="6" s="1"/>
  <c r="AB185" i="6"/>
  <c r="AT185" i="6" s="1"/>
  <c r="AB540" i="6"/>
  <c r="AT540" i="6" s="1"/>
  <c r="AB700" i="6"/>
  <c r="AT700" i="6" s="1"/>
  <c r="AB265" i="6"/>
  <c r="AT265" i="6" s="1"/>
  <c r="AB400" i="6"/>
  <c r="AT400" i="6" s="1"/>
  <c r="AF16" i="6"/>
  <c r="AX16" i="6" s="1"/>
  <c r="AE174" i="6"/>
  <c r="AG5" i="9"/>
  <c r="AG30" i="9"/>
  <c r="AG50" i="9"/>
  <c r="AB314" i="6"/>
  <c r="AE69" i="6"/>
  <c r="AF384" i="6"/>
  <c r="AF274" i="6"/>
  <c r="AF174" i="6"/>
  <c r="AD584" i="6"/>
  <c r="AF239" i="6"/>
  <c r="AF674" i="6"/>
  <c r="AF599" i="6"/>
  <c r="AF339" i="6"/>
  <c r="AG419" i="6"/>
  <c r="AP30" i="9"/>
  <c r="AP5" i="9"/>
  <c r="AD124" i="6"/>
  <c r="AD429" i="6"/>
  <c r="AD174" i="6"/>
  <c r="AD384" i="6"/>
  <c r="AF744" i="6"/>
  <c r="AF544" i="6"/>
  <c r="AD369" i="6"/>
  <c r="AD334" i="6"/>
  <c r="AD64" i="6"/>
  <c r="AD319" i="6"/>
  <c r="AD164" i="6"/>
  <c r="AD674" i="6"/>
  <c r="AD84" i="6"/>
  <c r="AD494" i="6"/>
  <c r="AP44" i="9"/>
  <c r="AD329" i="6"/>
  <c r="AG671" i="6"/>
  <c r="AY671" i="6" s="1"/>
  <c r="AG686" i="6"/>
  <c r="AY686" i="6" s="1"/>
  <c r="AG266" i="6"/>
  <c r="AY266" i="6" s="1"/>
  <c r="AG746" i="6"/>
  <c r="AY746" i="6" s="1"/>
  <c r="AG371" i="6"/>
  <c r="AY371" i="6" s="1"/>
  <c r="AG731" i="6"/>
  <c r="AY731" i="6" s="1"/>
  <c r="AG641" i="6"/>
  <c r="AY641" i="6" s="1"/>
  <c r="AG346" i="6"/>
  <c r="AY346" i="6" s="1"/>
  <c r="AG501" i="6"/>
  <c r="AY501" i="6" s="1"/>
  <c r="AG101" i="6"/>
  <c r="AY101" i="6" s="1"/>
  <c r="AG606" i="6"/>
  <c r="AY606" i="6" s="1"/>
  <c r="AG376" i="6"/>
  <c r="AY376" i="6" s="1"/>
  <c r="AG141" i="6"/>
  <c r="AY141" i="6" s="1"/>
  <c r="AG11" i="6"/>
  <c r="AY11" i="6" s="1"/>
  <c r="AG436" i="6"/>
  <c r="AY436" i="6" s="1"/>
  <c r="AE200" i="6"/>
  <c r="AW200" i="6" s="1"/>
  <c r="AE555" i="6"/>
  <c r="AW555" i="6" s="1"/>
  <c r="AE225" i="6"/>
  <c r="AW225" i="6" s="1"/>
  <c r="AG586" i="6"/>
  <c r="AY586" i="6" s="1"/>
  <c r="AG676" i="6"/>
  <c r="AY676" i="6" s="1"/>
  <c r="AG341" i="6"/>
  <c r="AY341" i="6" s="1"/>
  <c r="AG546" i="6"/>
  <c r="AY546" i="6" s="1"/>
  <c r="AG416" i="6"/>
  <c r="AY416" i="6" s="1"/>
  <c r="AG386" i="6"/>
  <c r="AY386" i="6" s="1"/>
  <c r="AG326" i="6"/>
  <c r="AY326" i="6" s="1"/>
  <c r="AG246" i="6"/>
  <c r="AY246" i="6" s="1"/>
  <c r="AG226" i="6"/>
  <c r="AY226" i="6" s="1"/>
  <c r="AG211" i="6"/>
  <c r="AY211" i="6" s="1"/>
  <c r="AG511" i="6"/>
  <c r="AY511" i="6" s="1"/>
  <c r="AG611" i="6"/>
  <c r="AY611" i="6" s="1"/>
  <c r="AG26" i="6"/>
  <c r="AY26" i="6" s="1"/>
  <c r="AG361" i="6"/>
  <c r="AY361" i="6" s="1"/>
  <c r="AG16" i="6"/>
  <c r="AY16" i="6" s="1"/>
  <c r="AG566" i="6"/>
  <c r="AY566" i="6" s="1"/>
  <c r="AG126" i="6"/>
  <c r="AY126" i="6" s="1"/>
  <c r="AG166" i="6"/>
  <c r="AY166" i="6" s="1"/>
  <c r="AG531" i="6"/>
  <c r="AY531" i="6" s="1"/>
  <c r="AG356" i="6"/>
  <c r="AY356" i="6" s="1"/>
  <c r="AG201" i="6"/>
  <c r="AY201" i="6" s="1"/>
  <c r="AG256" i="6"/>
  <c r="AY256" i="6" s="1"/>
  <c r="AG576" i="6"/>
  <c r="AY576" i="6" s="1"/>
  <c r="Q577" i="6"/>
  <c r="AI577" i="6" s="1"/>
  <c r="AI578" i="6" s="1"/>
  <c r="AG766" i="6"/>
  <c r="AY766" i="6" s="1"/>
  <c r="AG186" i="6"/>
  <c r="AY186" i="6" s="1"/>
  <c r="AG616" i="6"/>
  <c r="AY616" i="6" s="1"/>
  <c r="AG296" i="6"/>
  <c r="AY296" i="6" s="1"/>
  <c r="AG651" i="6"/>
  <c r="AY651" i="6" s="1"/>
  <c r="AG741" i="6"/>
  <c r="AY741" i="6" s="1"/>
  <c r="AG486" i="6"/>
  <c r="AY486" i="6" s="1"/>
  <c r="AG696" i="6"/>
  <c r="AY696" i="6" s="1"/>
  <c r="AG241" i="6"/>
  <c r="AY241" i="6" s="1"/>
  <c r="AG636" i="6"/>
  <c r="AY636" i="6" s="1"/>
  <c r="AG146" i="6"/>
  <c r="AY146" i="6" s="1"/>
  <c r="AG111" i="6"/>
  <c r="AY111" i="6" s="1"/>
  <c r="AG71" i="6"/>
  <c r="AY71" i="6" s="1"/>
  <c r="AG96" i="6"/>
  <c r="AY96" i="6" s="1"/>
  <c r="AG321" i="6"/>
  <c r="AY321" i="6" s="1"/>
  <c r="AG286" i="6"/>
  <c r="AY286" i="6" s="1"/>
  <c r="AG301" i="6"/>
  <c r="AY301" i="6" s="1"/>
  <c r="AG561" i="6"/>
  <c r="AY561" i="6" s="1"/>
  <c r="AG31" i="6"/>
  <c r="AY31" i="6" s="1"/>
  <c r="AG761" i="6"/>
  <c r="AY761" i="6" s="1"/>
  <c r="AG456" i="6"/>
  <c r="AY456" i="6" s="1"/>
  <c r="AG726" i="6"/>
  <c r="AY726" i="6" s="1"/>
  <c r="AG66" i="6"/>
  <c r="AY66" i="6" s="1"/>
  <c r="AG221" i="6"/>
  <c r="AY221" i="6" s="1"/>
  <c r="AG496" i="6"/>
  <c r="AY496" i="6" s="1"/>
  <c r="AG316" i="6"/>
  <c r="AY316" i="6" s="1"/>
  <c r="AG196" i="6"/>
  <c r="AY196" i="6" s="1"/>
  <c r="AG431" i="6"/>
  <c r="AY431" i="6" s="1"/>
  <c r="AG306" i="6"/>
  <c r="AY306" i="6" s="1"/>
  <c r="AG556" i="6"/>
  <c r="AY556" i="6" s="1"/>
  <c r="AG81" i="6"/>
  <c r="AY81" i="6" s="1"/>
  <c r="AG171" i="6"/>
  <c r="AY171" i="6" s="1"/>
  <c r="AG156" i="6"/>
  <c r="AY156" i="6" s="1"/>
  <c r="AG721" i="6"/>
  <c r="AY721" i="6" s="1"/>
  <c r="AG206" i="6"/>
  <c r="AY206" i="6" s="1"/>
  <c r="AG476" i="6"/>
  <c r="AY476" i="6" s="1"/>
  <c r="AG151" i="6"/>
  <c r="AY151" i="6" s="1"/>
  <c r="AG396" i="6"/>
  <c r="AY396" i="6" s="1"/>
  <c r="AG41" i="6"/>
  <c r="AY41" i="6" s="1"/>
  <c r="AG666" i="6"/>
  <c r="AY666" i="6" s="1"/>
  <c r="AG711" i="6"/>
  <c r="AY711" i="6" s="1"/>
  <c r="AG631" i="6"/>
  <c r="AY631" i="6" s="1"/>
  <c r="AG716" i="6"/>
  <c r="AY716" i="6" s="1"/>
  <c r="AG391" i="6"/>
  <c r="AY391" i="6" s="1"/>
  <c r="AG21" i="6"/>
  <c r="AY21" i="6" s="1"/>
  <c r="AG216" i="6"/>
  <c r="AY216" i="6" s="1"/>
  <c r="AG571" i="6"/>
  <c r="AY571" i="6" s="1"/>
  <c r="AG736" i="6"/>
  <c r="AY736" i="6" s="1"/>
  <c r="AG261" i="6"/>
  <c r="AY261" i="6" s="1"/>
  <c r="AG756" i="6"/>
  <c r="AY756" i="6" s="1"/>
  <c r="AG521" i="6"/>
  <c r="AY521" i="6" s="1"/>
  <c r="AG281" i="6"/>
  <c r="AY281" i="6" s="1"/>
  <c r="AG136" i="6"/>
  <c r="AY136" i="6" s="1"/>
  <c r="AG751" i="6"/>
  <c r="AY751" i="6" s="1"/>
  <c r="AG446" i="6"/>
  <c r="AY446" i="6" s="1"/>
  <c r="AG106" i="6"/>
  <c r="AY106" i="6" s="1"/>
  <c r="AG506" i="6"/>
  <c r="AY506" i="6" s="1"/>
  <c r="AG51" i="6"/>
  <c r="AY51" i="6" s="1"/>
  <c r="AG271" i="6"/>
  <c r="AY271" i="6" s="1"/>
  <c r="AG131" i="6"/>
  <c r="AY131" i="6" s="1"/>
  <c r="AG591" i="6"/>
  <c r="AY591" i="6" s="1"/>
  <c r="AG276" i="6"/>
  <c r="AY276" i="6" s="1"/>
  <c r="AG516" i="6"/>
  <c r="AY516" i="6" s="1"/>
  <c r="AG406" i="6"/>
  <c r="AY406" i="6" s="1"/>
  <c r="AG86" i="6"/>
  <c r="AY86" i="6" s="1"/>
  <c r="AG541" i="6"/>
  <c r="AY541" i="6" s="1"/>
  <c r="AG36" i="6"/>
  <c r="AY36" i="6" s="1"/>
  <c r="AG251" i="6"/>
  <c r="AY251" i="6" s="1"/>
  <c r="AG121" i="6"/>
  <c r="AY121" i="6" s="1"/>
  <c r="AG411" i="6"/>
  <c r="AY411" i="6" s="1"/>
  <c r="AG491" i="6"/>
  <c r="AY491" i="6" s="1"/>
  <c r="AY6" i="6"/>
  <c r="AG161" i="6"/>
  <c r="AY161" i="6" s="1"/>
  <c r="AG176" i="6"/>
  <c r="AY176" i="6" s="1"/>
  <c r="AG441" i="6"/>
  <c r="AY441" i="6" s="1"/>
  <c r="AG451" i="6"/>
  <c r="AY451" i="6" s="1"/>
  <c r="AG601" i="6"/>
  <c r="AY601" i="6" s="1"/>
  <c r="AG236" i="6"/>
  <c r="AY236" i="6" s="1"/>
  <c r="AG191" i="6"/>
  <c r="AY191" i="6" s="1"/>
  <c r="AG46" i="6"/>
  <c r="AY46" i="6" s="1"/>
  <c r="AG551" i="6"/>
  <c r="AY551" i="6" s="1"/>
  <c r="AG366" i="6"/>
  <c r="AY366" i="6" s="1"/>
  <c r="AG351" i="6"/>
  <c r="AY351" i="6" s="1"/>
  <c r="AG681" i="6"/>
  <c r="AY681" i="6" s="1"/>
  <c r="AG331" i="6"/>
  <c r="AY331" i="6" s="1"/>
  <c r="AG336" i="6"/>
  <c r="AY336" i="6" s="1"/>
  <c r="AG291" i="6"/>
  <c r="AY291" i="6" s="1"/>
  <c r="AG691" i="6"/>
  <c r="AY691" i="6" s="1"/>
  <c r="AG581" i="6"/>
  <c r="AY581" i="6" s="1"/>
  <c r="AG656" i="6"/>
  <c r="AY656" i="6" s="1"/>
  <c r="AG661" i="6"/>
  <c r="AY661" i="6" s="1"/>
  <c r="AD566" i="6"/>
  <c r="AV566" i="6" s="1"/>
  <c r="AG381" i="6"/>
  <c r="AY381" i="6" s="1"/>
  <c r="AG401" i="6"/>
  <c r="AY401" i="6" s="1"/>
  <c r="AG181" i="6"/>
  <c r="AY181" i="6" s="1"/>
  <c r="AG426" i="6"/>
  <c r="AY426" i="6" s="1"/>
  <c r="AG61" i="6"/>
  <c r="AY61" i="6" s="1"/>
  <c r="AG536" i="6"/>
  <c r="AY536" i="6" s="1"/>
  <c r="AG116" i="6"/>
  <c r="AY116" i="6" s="1"/>
  <c r="AG76" i="6"/>
  <c r="AY76" i="6" s="1"/>
  <c r="AG421" i="6"/>
  <c r="AY421" i="6" s="1"/>
  <c r="AG626" i="6"/>
  <c r="AY626" i="6" s="1"/>
  <c r="AG646" i="6"/>
  <c r="AY646" i="6" s="1"/>
  <c r="AF235" i="6"/>
  <c r="AX235" i="6" s="1"/>
  <c r="I48" i="3"/>
  <c r="AF626" i="6"/>
  <c r="AX626" i="6" s="1"/>
  <c r="AF291" i="6"/>
  <c r="AX291" i="6" s="1"/>
  <c r="P495" i="6"/>
  <c r="N4" i="5"/>
  <c r="F29" i="7"/>
  <c r="F35" i="7" s="1"/>
  <c r="AG471" i="6"/>
  <c r="AY471" i="6" s="1"/>
  <c r="AG231" i="6"/>
  <c r="AY231" i="6" s="1"/>
  <c r="AG706" i="6"/>
  <c r="AY706" i="6" s="1"/>
  <c r="AG311" i="6"/>
  <c r="AY311" i="6" s="1"/>
  <c r="AG526" i="6"/>
  <c r="AY526" i="6" s="1"/>
  <c r="AG621" i="6"/>
  <c r="AY621" i="6" s="1"/>
  <c r="AG701" i="6"/>
  <c r="AY701" i="6" s="1"/>
  <c r="AF26" i="6"/>
  <c r="AX26" i="6" s="1"/>
  <c r="AD696" i="6"/>
  <c r="AV696" i="6" s="1"/>
  <c r="AF455" i="6"/>
  <c r="AX455" i="6" s="1"/>
  <c r="AF61" i="6"/>
  <c r="AX61" i="6" s="1"/>
  <c r="AF260" i="6"/>
  <c r="AX260" i="6" s="1"/>
  <c r="AE391" i="6"/>
  <c r="AW391" i="6" s="1"/>
  <c r="AE351" i="6"/>
  <c r="AW351" i="6" s="1"/>
  <c r="AE181" i="6"/>
  <c r="AW181" i="6" s="1"/>
  <c r="AE686" i="6"/>
  <c r="AW686" i="6" s="1"/>
  <c r="AE631" i="6"/>
  <c r="AW631" i="6" s="1"/>
  <c r="AE241" i="6"/>
  <c r="AW241" i="6" s="1"/>
  <c r="AD246" i="6"/>
  <c r="AV246" i="6" s="1"/>
  <c r="AA350" i="6"/>
  <c r="AS350" i="6" s="1"/>
  <c r="AE711" i="6"/>
  <c r="AW711" i="6" s="1"/>
  <c r="AF570" i="6"/>
  <c r="AX570" i="6" s="1"/>
  <c r="AF241" i="6"/>
  <c r="AX241" i="6" s="1"/>
  <c r="AF101" i="6"/>
  <c r="AX101" i="6" s="1"/>
  <c r="AF616" i="6"/>
  <c r="AX616" i="6" s="1"/>
  <c r="AE731" i="6"/>
  <c r="AW731" i="6" s="1"/>
  <c r="AE246" i="6"/>
  <c r="AW246" i="6" s="1"/>
  <c r="AE601" i="6"/>
  <c r="AW601" i="6" s="1"/>
  <c r="AD331" i="6"/>
  <c r="AV331" i="6" s="1"/>
  <c r="AD576" i="6"/>
  <c r="AV576" i="6" s="1"/>
  <c r="AF566" i="6"/>
  <c r="AX566" i="6" s="1"/>
  <c r="AA386" i="6"/>
  <c r="AS386" i="6" s="1"/>
  <c r="AD396" i="6"/>
  <c r="AV396" i="6" s="1"/>
  <c r="AE96" i="6"/>
  <c r="AW96" i="6" s="1"/>
  <c r="AF315" i="6"/>
  <c r="AX315" i="6" s="1"/>
  <c r="AA576" i="6"/>
  <c r="AS576" i="6" s="1"/>
  <c r="AE621" i="6"/>
  <c r="AW621" i="6" s="1"/>
  <c r="AF495" i="6"/>
  <c r="AX495" i="6" s="1"/>
  <c r="AF621" i="6"/>
  <c r="AX621" i="6" s="1"/>
  <c r="AF356" i="6"/>
  <c r="AX356" i="6" s="1"/>
  <c r="M65" i="5"/>
  <c r="AE176" i="6"/>
  <c r="AW176" i="6" s="1"/>
  <c r="AE436" i="6"/>
  <c r="AW436" i="6" s="1"/>
  <c r="AD721" i="6"/>
  <c r="AV721" i="6" s="1"/>
  <c r="AD401" i="6"/>
  <c r="AV401" i="6" s="1"/>
  <c r="AF145" i="6"/>
  <c r="AX145" i="6" s="1"/>
  <c r="AF196" i="6"/>
  <c r="AX196" i="6" s="1"/>
  <c r="AS5" i="6"/>
  <c r="AF615" i="6"/>
  <c r="AX615" i="6" s="1"/>
  <c r="AF436" i="6"/>
  <c r="AX436" i="6" s="1"/>
  <c r="AF500" i="6"/>
  <c r="AX500" i="6" s="1"/>
  <c r="AF250" i="6"/>
  <c r="AX250" i="6" s="1"/>
  <c r="AF765" i="6"/>
  <c r="AX765" i="6" s="1"/>
  <c r="AF180" i="6"/>
  <c r="AX180" i="6" s="1"/>
  <c r="AF261" i="6"/>
  <c r="AX261" i="6" s="1"/>
  <c r="AF516" i="6"/>
  <c r="AX516" i="6" s="1"/>
  <c r="AF246" i="6"/>
  <c r="AX246" i="6" s="1"/>
  <c r="AF471" i="6"/>
  <c r="AX471" i="6" s="1"/>
  <c r="AF531" i="6"/>
  <c r="AX531" i="6" s="1"/>
  <c r="AF481" i="6"/>
  <c r="AX481" i="6" s="1"/>
  <c r="AF151" i="6"/>
  <c r="AX151" i="6" s="1"/>
  <c r="AF736" i="6"/>
  <c r="AX736" i="6" s="1"/>
  <c r="AF540" i="6"/>
  <c r="AX540" i="6" s="1"/>
  <c r="AF165" i="6"/>
  <c r="AX165" i="6" s="1"/>
  <c r="AF215" i="6"/>
  <c r="AX215" i="6" s="1"/>
  <c r="AF141" i="6"/>
  <c r="AX141" i="6" s="1"/>
  <c r="AF111" i="6"/>
  <c r="AX111" i="6" s="1"/>
  <c r="AF451" i="6"/>
  <c r="AX451" i="6" s="1"/>
  <c r="AF625" i="6"/>
  <c r="AX625" i="6" s="1"/>
  <c r="AE520" i="6"/>
  <c r="AW520" i="6" s="1"/>
  <c r="AE235" i="6"/>
  <c r="AW235" i="6" s="1"/>
  <c r="AF400" i="6"/>
  <c r="AX400" i="6" s="1"/>
  <c r="AF650" i="6"/>
  <c r="AX650" i="6" s="1"/>
  <c r="AF560" i="6"/>
  <c r="AX560" i="6" s="1"/>
  <c r="AF445" i="6"/>
  <c r="AX445" i="6" s="1"/>
  <c r="AF75" i="6"/>
  <c r="AX75" i="6" s="1"/>
  <c r="AF645" i="6"/>
  <c r="AX645" i="6" s="1"/>
  <c r="AF415" i="6"/>
  <c r="AX415" i="6" s="1"/>
  <c r="AF385" i="6"/>
  <c r="AX385" i="6" s="1"/>
  <c r="AF431" i="6"/>
  <c r="AX431" i="6" s="1"/>
  <c r="AF136" i="6"/>
  <c r="AX136" i="6" s="1"/>
  <c r="AF376" i="6"/>
  <c r="AX376" i="6" s="1"/>
  <c r="AF391" i="6"/>
  <c r="AX391" i="6" s="1"/>
  <c r="AF681" i="6"/>
  <c r="AX681" i="6" s="1"/>
  <c r="AF476" i="6"/>
  <c r="AX476" i="6" s="1"/>
  <c r="AF646" i="6"/>
  <c r="AX646" i="6" s="1"/>
  <c r="AF401" i="6"/>
  <c r="AX401" i="6" s="1"/>
  <c r="AE665" i="6"/>
  <c r="AW665" i="6" s="1"/>
  <c r="AF380" i="6"/>
  <c r="AX380" i="6" s="1"/>
  <c r="AF25" i="6"/>
  <c r="AX25" i="6" s="1"/>
  <c r="AF331" i="6"/>
  <c r="AX331" i="6" s="1"/>
  <c r="AF236" i="6"/>
  <c r="AX236" i="6" s="1"/>
  <c r="AF296" i="6"/>
  <c r="AX296" i="6" s="1"/>
  <c r="AF735" i="6"/>
  <c r="AX735" i="6" s="1"/>
  <c r="AE585" i="6"/>
  <c r="AW585" i="6" s="1"/>
  <c r="AE175" i="6"/>
  <c r="AW175" i="6" s="1"/>
  <c r="AF610" i="6"/>
  <c r="AX610" i="6" s="1"/>
  <c r="AF290" i="6"/>
  <c r="AX290" i="6" s="1"/>
  <c r="AF45" i="6"/>
  <c r="AX45" i="6" s="1"/>
  <c r="AF740" i="6"/>
  <c r="AX740" i="6" s="1"/>
  <c r="AF225" i="6"/>
  <c r="AX225" i="6" s="1"/>
  <c r="AF635" i="6"/>
  <c r="AX635" i="6" s="1"/>
  <c r="AF105" i="6"/>
  <c r="AX105" i="6" s="1"/>
  <c r="AF71" i="6"/>
  <c r="AX71" i="6" s="1"/>
  <c r="AF366" i="6"/>
  <c r="AX366" i="6" s="1"/>
  <c r="AF701" i="6"/>
  <c r="AX701" i="6" s="1"/>
  <c r="AF201" i="6"/>
  <c r="AX201" i="6" s="1"/>
  <c r="AF426" i="6"/>
  <c r="AX426" i="6" s="1"/>
  <c r="AF266" i="6"/>
  <c r="AX266" i="6" s="1"/>
  <c r="AF721" i="6"/>
  <c r="AX721" i="6" s="1"/>
  <c r="AF341" i="6"/>
  <c r="AX341" i="6" s="1"/>
  <c r="AE245" i="6"/>
  <c r="AW245" i="6" s="1"/>
  <c r="AF730" i="6"/>
  <c r="AX730" i="6" s="1"/>
  <c r="AF530" i="6"/>
  <c r="AX530" i="6" s="1"/>
  <c r="AF185" i="6"/>
  <c r="AX185" i="6" s="1"/>
  <c r="AF651" i="6"/>
  <c r="AX651" i="6" s="1"/>
  <c r="AF541" i="6"/>
  <c r="AX541" i="6" s="1"/>
  <c r="AF271" i="6"/>
  <c r="AX271" i="6" s="1"/>
  <c r="AF575" i="6"/>
  <c r="AX575" i="6" s="1"/>
  <c r="AE35" i="6"/>
  <c r="AW35" i="6" s="1"/>
  <c r="Q362" i="6"/>
  <c r="AI362" i="6" s="1"/>
  <c r="AE260" i="6"/>
  <c r="AW260" i="6" s="1"/>
  <c r="AF520" i="6"/>
  <c r="AX520" i="6" s="1"/>
  <c r="AE195" i="6"/>
  <c r="AW195" i="6" s="1"/>
  <c r="AF475" i="6"/>
  <c r="AX475" i="6" s="1"/>
  <c r="AF190" i="6"/>
  <c r="AX190" i="6" s="1"/>
  <c r="M43" i="5"/>
  <c r="M54" i="5"/>
  <c r="M52" i="5"/>
  <c r="AF146" i="6"/>
  <c r="AX146" i="6" s="1"/>
  <c r="AF36" i="6"/>
  <c r="AX36" i="6" s="1"/>
  <c r="AF281" i="6"/>
  <c r="AX281" i="6" s="1"/>
  <c r="AF51" i="6"/>
  <c r="AX51" i="6" s="1"/>
  <c r="AF216" i="6"/>
  <c r="AX216" i="6" s="1"/>
  <c r="AF766" i="6"/>
  <c r="AX766" i="6" s="1"/>
  <c r="AF381" i="6"/>
  <c r="AX381" i="6" s="1"/>
  <c r="AF326" i="6"/>
  <c r="AX326" i="6" s="1"/>
  <c r="AF606" i="6"/>
  <c r="AX606" i="6" s="1"/>
  <c r="AF576" i="6"/>
  <c r="AX576" i="6" s="1"/>
  <c r="AF221" i="6"/>
  <c r="AX221" i="6" s="1"/>
  <c r="AF371" i="6"/>
  <c r="AX371" i="6" s="1"/>
  <c r="AF586" i="6"/>
  <c r="AX586" i="6" s="1"/>
  <c r="AF346" i="6"/>
  <c r="AX346" i="6" s="1"/>
  <c r="AF336" i="6"/>
  <c r="AX336" i="6" s="1"/>
  <c r="AF321" i="6"/>
  <c r="AX321" i="6" s="1"/>
  <c r="AF456" i="6"/>
  <c r="AX456" i="6" s="1"/>
  <c r="AF421" i="6"/>
  <c r="AX421" i="6" s="1"/>
  <c r="AF231" i="6"/>
  <c r="AX231" i="6" s="1"/>
  <c r="AF286" i="6"/>
  <c r="AX286" i="6" s="1"/>
  <c r="AF171" i="6"/>
  <c r="AX171" i="6" s="1"/>
  <c r="AF226" i="6"/>
  <c r="AX226" i="6" s="1"/>
  <c r="AF206" i="6"/>
  <c r="AX206" i="6" s="1"/>
  <c r="AF191" i="6"/>
  <c r="AX191" i="6" s="1"/>
  <c r="AF126" i="6"/>
  <c r="AX126" i="6" s="1"/>
  <c r="AF66" i="6"/>
  <c r="AX66" i="6" s="1"/>
  <c r="AF641" i="6"/>
  <c r="AX641" i="6" s="1"/>
  <c r="AF21" i="6"/>
  <c r="AX21" i="6" s="1"/>
  <c r="AF636" i="6"/>
  <c r="AX636" i="6" s="1"/>
  <c r="AF406" i="6"/>
  <c r="AX406" i="6" s="1"/>
  <c r="AF416" i="6"/>
  <c r="AX416" i="6" s="1"/>
  <c r="AF491" i="6"/>
  <c r="AX491" i="6" s="1"/>
  <c r="AF496" i="6"/>
  <c r="AX496" i="6" s="1"/>
  <c r="AF316" i="6"/>
  <c r="AX316" i="6" s="1"/>
  <c r="AF741" i="6"/>
  <c r="AX741" i="6" s="1"/>
  <c r="AF106" i="6"/>
  <c r="AX106" i="6" s="1"/>
  <c r="AF551" i="6"/>
  <c r="AX551" i="6" s="1"/>
  <c r="AF656" i="6"/>
  <c r="AX656" i="6" s="1"/>
  <c r="AF211" i="6"/>
  <c r="AX211" i="6" s="1"/>
  <c r="AX6" i="6"/>
  <c r="AF711" i="6"/>
  <c r="AX711" i="6" s="1"/>
  <c r="AF561" i="6"/>
  <c r="AX561" i="6" s="1"/>
  <c r="AF121" i="6"/>
  <c r="AX121" i="6" s="1"/>
  <c r="AF546" i="6"/>
  <c r="AX546" i="6" s="1"/>
  <c r="AF186" i="6"/>
  <c r="AX186" i="6" s="1"/>
  <c r="AF506" i="6"/>
  <c r="AX506" i="6" s="1"/>
  <c r="AF411" i="6"/>
  <c r="AX411" i="6" s="1"/>
  <c r="AF571" i="6"/>
  <c r="AX571" i="6" s="1"/>
  <c r="AF716" i="6"/>
  <c r="AX716" i="6" s="1"/>
  <c r="AF276" i="6"/>
  <c r="AX276" i="6" s="1"/>
  <c r="AF696" i="6"/>
  <c r="AX696" i="6" s="1"/>
  <c r="AF726" i="6"/>
  <c r="AX726" i="6" s="1"/>
  <c r="AF31" i="6"/>
  <c r="AX31" i="6" s="1"/>
  <c r="AF695" i="6"/>
  <c r="AX695" i="6" s="1"/>
  <c r="AF330" i="6"/>
  <c r="AX330" i="6" s="1"/>
  <c r="AF545" i="6"/>
  <c r="AX545" i="6" s="1"/>
  <c r="AF750" i="6"/>
  <c r="AX750" i="6" s="1"/>
  <c r="AF580" i="6"/>
  <c r="AX580" i="6" s="1"/>
  <c r="AX5" i="6"/>
  <c r="AF745" i="6"/>
  <c r="AX745" i="6" s="1"/>
  <c r="AF65" i="6"/>
  <c r="AX65" i="6" s="1"/>
  <c r="AF470" i="6"/>
  <c r="AX470" i="6" s="1"/>
  <c r="AF605" i="6"/>
  <c r="AX605" i="6" s="1"/>
  <c r="AF725" i="6"/>
  <c r="AX725" i="6" s="1"/>
  <c r="AF585" i="6"/>
  <c r="AX585" i="6" s="1"/>
  <c r="AF70" i="6"/>
  <c r="AX70" i="6" s="1"/>
  <c r="AF360" i="6"/>
  <c r="AX360" i="6" s="1"/>
  <c r="AF85" i="6"/>
  <c r="AX85" i="6" s="1"/>
  <c r="AF195" i="6"/>
  <c r="AX195" i="6" s="1"/>
  <c r="AF80" i="6"/>
  <c r="AX80" i="6" s="1"/>
  <c r="AF175" i="6"/>
  <c r="AX175" i="6" s="1"/>
  <c r="AF510" i="6"/>
  <c r="AX510" i="6" s="1"/>
  <c r="AF435" i="6"/>
  <c r="AX435" i="6" s="1"/>
  <c r="AF450" i="6"/>
  <c r="AX450" i="6" s="1"/>
  <c r="AF370" i="6"/>
  <c r="AX370" i="6" s="1"/>
  <c r="AF265" i="6"/>
  <c r="AX265" i="6" s="1"/>
  <c r="AF50" i="6"/>
  <c r="AX50" i="6" s="1"/>
  <c r="AF270" i="6"/>
  <c r="AX270" i="6" s="1"/>
  <c r="AF410" i="6"/>
  <c r="AX410" i="6" s="1"/>
  <c r="AF480" i="6"/>
  <c r="AX480" i="6" s="1"/>
  <c r="AF10" i="6"/>
  <c r="AX10" i="6" s="1"/>
  <c r="AF170" i="6"/>
  <c r="AX170" i="6" s="1"/>
  <c r="AF95" i="6"/>
  <c r="AX95" i="6" s="1"/>
  <c r="AF140" i="6"/>
  <c r="AX140" i="6" s="1"/>
  <c r="AF335" i="6"/>
  <c r="AX335" i="6" s="1"/>
  <c r="AF630" i="6"/>
  <c r="AX630" i="6" s="1"/>
  <c r="AF690" i="6"/>
  <c r="AX690" i="6" s="1"/>
  <c r="AF30" i="6"/>
  <c r="AX30" i="6" s="1"/>
  <c r="AF320" i="6"/>
  <c r="AX320" i="6" s="1"/>
  <c r="AF505" i="6"/>
  <c r="AX505" i="6" s="1"/>
  <c r="AF680" i="6"/>
  <c r="AX680" i="6" s="1"/>
  <c r="AF120" i="6"/>
  <c r="AX120" i="6" s="1"/>
  <c r="AF310" i="6"/>
  <c r="AX310" i="6" s="1"/>
  <c r="AF655" i="6"/>
  <c r="AX655" i="6" s="1"/>
  <c r="AF705" i="6"/>
  <c r="AX705" i="6" s="1"/>
  <c r="AF200" i="6"/>
  <c r="AX200" i="6" s="1"/>
  <c r="AF555" i="6"/>
  <c r="AX555" i="6" s="1"/>
  <c r="AF255" i="6"/>
  <c r="AX255" i="6" s="1"/>
  <c r="AF525" i="6"/>
  <c r="AX525" i="6" s="1"/>
  <c r="AF285" i="6"/>
  <c r="AX285" i="6" s="1"/>
  <c r="AF755" i="6"/>
  <c r="AX755" i="6" s="1"/>
  <c r="AF110" i="6"/>
  <c r="AX110" i="6" s="1"/>
  <c r="AF590" i="6"/>
  <c r="AX590" i="6" s="1"/>
  <c r="AF440" i="6"/>
  <c r="AX440" i="6" s="1"/>
  <c r="AF295" i="6"/>
  <c r="AX295" i="6" s="1"/>
  <c r="AF300" i="6"/>
  <c r="AX300" i="6" s="1"/>
  <c r="AF160" i="6"/>
  <c r="AX160" i="6" s="1"/>
  <c r="AF485" i="6"/>
  <c r="AX485" i="6" s="1"/>
  <c r="AF660" i="6"/>
  <c r="AX660" i="6" s="1"/>
  <c r="AF390" i="6"/>
  <c r="AX390" i="6" s="1"/>
  <c r="AF395" i="6"/>
  <c r="AX395" i="6" s="1"/>
  <c r="AF535" i="6"/>
  <c r="AX535" i="6" s="1"/>
  <c r="AF600" i="6"/>
  <c r="AX600" i="6" s="1"/>
  <c r="AF420" i="6"/>
  <c r="AX420" i="6" s="1"/>
  <c r="AF130" i="6"/>
  <c r="AX130" i="6" s="1"/>
  <c r="AF565" i="6"/>
  <c r="AX565" i="6" s="1"/>
  <c r="AF135" i="6"/>
  <c r="AX135" i="6" s="1"/>
  <c r="AF670" i="6"/>
  <c r="AX670" i="6" s="1"/>
  <c r="AF35" i="6"/>
  <c r="AX35" i="6" s="1"/>
  <c r="AF620" i="6"/>
  <c r="AX620" i="6" s="1"/>
  <c r="AF595" i="6"/>
  <c r="AX595" i="6" s="1"/>
  <c r="AF490" i="6"/>
  <c r="AX490" i="6" s="1"/>
  <c r="AF706" i="6"/>
  <c r="AX706" i="6" s="1"/>
  <c r="AF691" i="6"/>
  <c r="AX691" i="6" s="1"/>
  <c r="AF301" i="6"/>
  <c r="AX301" i="6" s="1"/>
  <c r="AF41" i="6"/>
  <c r="AX41" i="6" s="1"/>
  <c r="AF11" i="6"/>
  <c r="AX11" i="6" s="1"/>
  <c r="AF556" i="6"/>
  <c r="AX556" i="6" s="1"/>
  <c r="AF676" i="6"/>
  <c r="AX676" i="6" s="1"/>
  <c r="AF591" i="6"/>
  <c r="AX591" i="6" s="1"/>
  <c r="AF536" i="6"/>
  <c r="AX536" i="6" s="1"/>
  <c r="AF116" i="6"/>
  <c r="AX116" i="6" s="1"/>
  <c r="AF601" i="6"/>
  <c r="AX601" i="6" s="1"/>
  <c r="AF361" i="6"/>
  <c r="AX361" i="6" s="1"/>
  <c r="AF396" i="6"/>
  <c r="AX396" i="6" s="1"/>
  <c r="AF166" i="6"/>
  <c r="AX166" i="6" s="1"/>
  <c r="AF176" i="6"/>
  <c r="AX176" i="6" s="1"/>
  <c r="AF306" i="6"/>
  <c r="AX306" i="6" s="1"/>
  <c r="AF685" i="6"/>
  <c r="AX685" i="6" s="1"/>
  <c r="AF15" i="6"/>
  <c r="AX15" i="6" s="1"/>
  <c r="AF325" i="6"/>
  <c r="AX325" i="6" s="1"/>
  <c r="AF220" i="6"/>
  <c r="AX220" i="6" s="1"/>
  <c r="AF665" i="6"/>
  <c r="AX665" i="6" s="1"/>
  <c r="AF60" i="6"/>
  <c r="AX60" i="6" s="1"/>
  <c r="AF596" i="6"/>
  <c r="AX596" i="6" s="1"/>
  <c r="AF251" i="6"/>
  <c r="AX251" i="6" s="1"/>
  <c r="AF751" i="6"/>
  <c r="AX751" i="6" s="1"/>
  <c r="AF351" i="6"/>
  <c r="AX351" i="6" s="1"/>
  <c r="AF311" i="6"/>
  <c r="AX311" i="6" s="1"/>
  <c r="AF156" i="6"/>
  <c r="AX156" i="6" s="1"/>
  <c r="AF275" i="6"/>
  <c r="AX275" i="6" s="1"/>
  <c r="AF345" i="6"/>
  <c r="AX345" i="6" s="1"/>
  <c r="AF240" i="6"/>
  <c r="AX240" i="6" s="1"/>
  <c r="AF355" i="6"/>
  <c r="AX355" i="6" s="1"/>
  <c r="AF405" i="6"/>
  <c r="AX405" i="6" s="1"/>
  <c r="AF20" i="6"/>
  <c r="AX20" i="6" s="1"/>
  <c r="AI531" i="6"/>
  <c r="Q532" i="6"/>
  <c r="AI533" i="6" s="1"/>
  <c r="AF446" i="6"/>
  <c r="AX446" i="6" s="1"/>
  <c r="AF365" i="6"/>
  <c r="AX365" i="6" s="1"/>
  <c r="AD655" i="6"/>
  <c r="AV655" i="6" s="1"/>
  <c r="AD255" i="6"/>
  <c r="AV255" i="6" s="1"/>
  <c r="AF210" i="6"/>
  <c r="AX210" i="6" s="1"/>
  <c r="AF675" i="6"/>
  <c r="AX675" i="6" s="1"/>
  <c r="AF715" i="6"/>
  <c r="AX715" i="6" s="1"/>
  <c r="AF550" i="6"/>
  <c r="AX550" i="6" s="1"/>
  <c r="AF125" i="6"/>
  <c r="AX125" i="6" s="1"/>
  <c r="AF430" i="6"/>
  <c r="AX430" i="6" s="1"/>
  <c r="AF350" i="6"/>
  <c r="AX350" i="6" s="1"/>
  <c r="AF710" i="6"/>
  <c r="AX710" i="6" s="1"/>
  <c r="AF280" i="6"/>
  <c r="AX280" i="6" s="1"/>
  <c r="AF161" i="6"/>
  <c r="AX161" i="6" s="1"/>
  <c r="AF686" i="6"/>
  <c r="AX686" i="6" s="1"/>
  <c r="AF581" i="6"/>
  <c r="AX581" i="6" s="1"/>
  <c r="AF386" i="6"/>
  <c r="AX386" i="6" s="1"/>
  <c r="AF76" i="6"/>
  <c r="AX76" i="6" s="1"/>
  <c r="AF756" i="6"/>
  <c r="AX756" i="6" s="1"/>
  <c r="AF746" i="6"/>
  <c r="AX746" i="6" s="1"/>
  <c r="AF96" i="6"/>
  <c r="AX96" i="6" s="1"/>
  <c r="AF671" i="6"/>
  <c r="AX671" i="6" s="1"/>
  <c r="AF256" i="6"/>
  <c r="AX256" i="6" s="1"/>
  <c r="AF521" i="6"/>
  <c r="AX521" i="6" s="1"/>
  <c r="AF486" i="6"/>
  <c r="AX486" i="6" s="1"/>
  <c r="AF611" i="6"/>
  <c r="AX611" i="6" s="1"/>
  <c r="AF46" i="6"/>
  <c r="AX46" i="6" s="1"/>
  <c r="AF441" i="6"/>
  <c r="AX441" i="6" s="1"/>
  <c r="AF761" i="6"/>
  <c r="AX761" i="6" s="1"/>
  <c r="AF131" i="6"/>
  <c r="AX131" i="6" s="1"/>
  <c r="AF40" i="6"/>
  <c r="AX40" i="6" s="1"/>
  <c r="AF700" i="6"/>
  <c r="AX700" i="6" s="1"/>
  <c r="AF115" i="6"/>
  <c r="AX115" i="6" s="1"/>
  <c r="AF100" i="6"/>
  <c r="AX100" i="6" s="1"/>
  <c r="AF760" i="6"/>
  <c r="AX760" i="6" s="1"/>
  <c r="AF205" i="6"/>
  <c r="AX205" i="6" s="1"/>
  <c r="AF731" i="6"/>
  <c r="AX731" i="6" s="1"/>
  <c r="AF661" i="6"/>
  <c r="AX661" i="6" s="1"/>
  <c r="AF526" i="6"/>
  <c r="AX526" i="6" s="1"/>
  <c r="AF501" i="6"/>
  <c r="AX501" i="6" s="1"/>
  <c r="AF81" i="6"/>
  <c r="AX81" i="6" s="1"/>
  <c r="AF631" i="6"/>
  <c r="AX631" i="6" s="1"/>
  <c r="AF666" i="6"/>
  <c r="AX666" i="6" s="1"/>
  <c r="AF150" i="6"/>
  <c r="AX150" i="6" s="1"/>
  <c r="AF245" i="6"/>
  <c r="AX245" i="6" s="1"/>
  <c r="AF230" i="6"/>
  <c r="AX230" i="6" s="1"/>
  <c r="AF720" i="6"/>
  <c r="AX720" i="6" s="1"/>
  <c r="AF515" i="6"/>
  <c r="AX515" i="6" s="1"/>
  <c r="M49" i="5"/>
  <c r="M45" i="5"/>
  <c r="M48" i="5"/>
  <c r="M51" i="5"/>
  <c r="M47" i="5"/>
  <c r="AF375" i="6"/>
  <c r="AX375" i="6" s="1"/>
  <c r="AF155" i="6"/>
  <c r="AX155" i="6" s="1"/>
  <c r="AF305" i="6"/>
  <c r="AX305" i="6" s="1"/>
  <c r="AE666" i="6"/>
  <c r="AW666" i="6" s="1"/>
  <c r="AE526" i="6"/>
  <c r="AW526" i="6" s="1"/>
  <c r="AE131" i="6"/>
  <c r="AW131" i="6" s="1"/>
  <c r="AE286" i="6"/>
  <c r="AW286" i="6" s="1"/>
  <c r="AE61" i="6"/>
  <c r="AW61" i="6" s="1"/>
  <c r="AE611" i="6"/>
  <c r="AW611" i="6" s="1"/>
  <c r="AE256" i="6"/>
  <c r="AW256" i="6" s="1"/>
  <c r="AE381" i="6"/>
  <c r="AW381" i="6" s="1"/>
  <c r="AE151" i="6"/>
  <c r="AW151" i="6" s="1"/>
  <c r="AE726" i="6"/>
  <c r="AW726" i="6" s="1"/>
  <c r="AE751" i="6"/>
  <c r="AW751" i="6" s="1"/>
  <c r="AE21" i="6"/>
  <c r="AW21" i="6" s="1"/>
  <c r="AE16" i="6"/>
  <c r="AW16" i="6" s="1"/>
  <c r="AE671" i="6"/>
  <c r="AW671" i="6" s="1"/>
  <c r="AE451" i="6"/>
  <c r="AW451" i="6" s="1"/>
  <c r="AE696" i="6"/>
  <c r="AW696" i="6" s="1"/>
  <c r="AE161" i="6"/>
  <c r="AW161" i="6" s="1"/>
  <c r="AE306" i="6"/>
  <c r="AW306" i="6" s="1"/>
  <c r="AA446" i="6"/>
  <c r="AS446" i="6" s="1"/>
  <c r="AE450" i="6"/>
  <c r="AW450" i="6" s="1"/>
  <c r="AE415" i="6"/>
  <c r="AW415" i="6" s="1"/>
  <c r="AE305" i="6"/>
  <c r="AW305" i="6" s="1"/>
  <c r="AA656" i="6"/>
  <c r="AS656" i="6" s="1"/>
  <c r="AA120" i="6"/>
  <c r="AS120" i="6" s="1"/>
  <c r="Q117" i="6"/>
  <c r="R117" i="6" s="1"/>
  <c r="R118" i="6" s="1"/>
  <c r="R119" i="6" s="1"/>
  <c r="AE135" i="6"/>
  <c r="AW135" i="6" s="1"/>
  <c r="AE405" i="6"/>
  <c r="AW405" i="6" s="1"/>
  <c r="AE420" i="6"/>
  <c r="AW420" i="6" s="1"/>
  <c r="AE630" i="6"/>
  <c r="AW630" i="6" s="1"/>
  <c r="AE215" i="6"/>
  <c r="AW215" i="6" s="1"/>
  <c r="AE60" i="6"/>
  <c r="AW60" i="6" s="1"/>
  <c r="AE720" i="6"/>
  <c r="AW720" i="6" s="1"/>
  <c r="AE10" i="6"/>
  <c r="AW10" i="6" s="1"/>
  <c r="AE645" i="6"/>
  <c r="AW645" i="6" s="1"/>
  <c r="AE115" i="6"/>
  <c r="AW115" i="6" s="1"/>
  <c r="AE475" i="6"/>
  <c r="AW475" i="6" s="1"/>
  <c r="AE365" i="6"/>
  <c r="AW365" i="6" s="1"/>
  <c r="Q123" i="6"/>
  <c r="Q124" i="6" s="1"/>
  <c r="AE685" i="6"/>
  <c r="AW685" i="6" s="1"/>
  <c r="AE610" i="6"/>
  <c r="AW610" i="6" s="1"/>
  <c r="AE440" i="6"/>
  <c r="AW440" i="6" s="1"/>
  <c r="AE595" i="6"/>
  <c r="AW595" i="6" s="1"/>
  <c r="AE165" i="6"/>
  <c r="AW165" i="6" s="1"/>
  <c r="AE185" i="6"/>
  <c r="AW185" i="6" s="1"/>
  <c r="AE470" i="6"/>
  <c r="AW470" i="6" s="1"/>
  <c r="AE550" i="6"/>
  <c r="AW550" i="6" s="1"/>
  <c r="AE330" i="6"/>
  <c r="AW330" i="6" s="1"/>
  <c r="AE710" i="6"/>
  <c r="AW710" i="6" s="1"/>
  <c r="AA211" i="6"/>
  <c r="AS211" i="6" s="1"/>
  <c r="AA145" i="6"/>
  <c r="AS145" i="6" s="1"/>
  <c r="AA320" i="6"/>
  <c r="AS320" i="6" s="1"/>
  <c r="AE760" i="6"/>
  <c r="AW760" i="6" s="1"/>
  <c r="AE435" i="6"/>
  <c r="AW435" i="6" s="1"/>
  <c r="AE700" i="6"/>
  <c r="AW700" i="6" s="1"/>
  <c r="AE65" i="6"/>
  <c r="AW65" i="6" s="1"/>
  <c r="AE540" i="6"/>
  <c r="AW540" i="6" s="1"/>
  <c r="AE255" i="6"/>
  <c r="AW255" i="6" s="1"/>
  <c r="AE325" i="6"/>
  <c r="AW325" i="6" s="1"/>
  <c r="AE750" i="6"/>
  <c r="AW750" i="6" s="1"/>
  <c r="AE605" i="6"/>
  <c r="AW605" i="6" s="1"/>
  <c r="AE130" i="6"/>
  <c r="AW130" i="6" s="1"/>
  <c r="AE184" i="6"/>
  <c r="AE624" i="6"/>
  <c r="AE539" i="6"/>
  <c r="AE84" i="6"/>
  <c r="AE494" i="6"/>
  <c r="AE529" i="6"/>
  <c r="AL62" i="9"/>
  <c r="AA429" i="6"/>
  <c r="AE434" i="6"/>
  <c r="AD365" i="6"/>
  <c r="AV365" i="6" s="1"/>
  <c r="AB300" i="6"/>
  <c r="AT300" i="6" s="1"/>
  <c r="AB690" i="6"/>
  <c r="AT690" i="6" s="1"/>
  <c r="AB545" i="6"/>
  <c r="AT545" i="6" s="1"/>
  <c r="AB60" i="6"/>
  <c r="AT60" i="6" s="1"/>
  <c r="AB710" i="6"/>
  <c r="AT710" i="6" s="1"/>
  <c r="AB165" i="6"/>
  <c r="AT165" i="6" s="1"/>
  <c r="AB340" i="6"/>
  <c r="AT340" i="6" s="1"/>
  <c r="AB140" i="6"/>
  <c r="AT140" i="6" s="1"/>
  <c r="AB615" i="6"/>
  <c r="AT615" i="6" s="1"/>
  <c r="AB610" i="6"/>
  <c r="AT610" i="6" s="1"/>
  <c r="AB695" i="6"/>
  <c r="AT695" i="6" s="1"/>
  <c r="AB420" i="6"/>
  <c r="AT420" i="6" s="1"/>
  <c r="AB530" i="6"/>
  <c r="AT530" i="6" s="1"/>
  <c r="AB600" i="6"/>
  <c r="AT600" i="6" s="1"/>
  <c r="AB25" i="6"/>
  <c r="AT25" i="6" s="1"/>
  <c r="AB525" i="6"/>
  <c r="AT525" i="6" s="1"/>
  <c r="AB605" i="6"/>
  <c r="AT605" i="6" s="1"/>
  <c r="AB260" i="6"/>
  <c r="AT260" i="6" s="1"/>
  <c r="AB680" i="6"/>
  <c r="AT680" i="6" s="1"/>
  <c r="AB640" i="6"/>
  <c r="AT640" i="6" s="1"/>
  <c r="AB35" i="6"/>
  <c r="AT35" i="6" s="1"/>
  <c r="AB595" i="6"/>
  <c r="AT595" i="6" s="1"/>
  <c r="AB170" i="6"/>
  <c r="AT170" i="6" s="1"/>
  <c r="AB755" i="6"/>
  <c r="AT755" i="6" s="1"/>
  <c r="AB80" i="6"/>
  <c r="AT80" i="6" s="1"/>
  <c r="AB630" i="6"/>
  <c r="AT630" i="6" s="1"/>
  <c r="AB390" i="6"/>
  <c r="AT390" i="6" s="1"/>
  <c r="AB305" i="6"/>
  <c r="AT305" i="6" s="1"/>
  <c r="AB370" i="6"/>
  <c r="AT370" i="6" s="1"/>
  <c r="AB190" i="6"/>
  <c r="AT190" i="6" s="1"/>
  <c r="AB380" i="6"/>
  <c r="AT380" i="6" s="1"/>
  <c r="AB720" i="6"/>
  <c r="AT720" i="6" s="1"/>
  <c r="AB355" i="6"/>
  <c r="AT355" i="6" s="1"/>
  <c r="AB470" i="6"/>
  <c r="AT470" i="6" s="1"/>
  <c r="AB495" i="6"/>
  <c r="AT495" i="6" s="1"/>
  <c r="AB620" i="6"/>
  <c r="AT620" i="6" s="1"/>
  <c r="AB705" i="6"/>
  <c r="AT705" i="6" s="1"/>
  <c r="AD185" i="6"/>
  <c r="AV185" i="6" s="1"/>
  <c r="AB730" i="6"/>
  <c r="AT730" i="6" s="1"/>
  <c r="AB195" i="6"/>
  <c r="AT195" i="6" s="1"/>
  <c r="AB485" i="6"/>
  <c r="AT485" i="6" s="1"/>
  <c r="AB415" i="6"/>
  <c r="AT415" i="6" s="1"/>
  <c r="AB725" i="6"/>
  <c r="AT725" i="6" s="1"/>
  <c r="AB45" i="6"/>
  <c r="AT45" i="6" s="1"/>
  <c r="AB330" i="6"/>
  <c r="AT330" i="6" s="1"/>
  <c r="AB180" i="6"/>
  <c r="AT180" i="6" s="1"/>
  <c r="AB580" i="6"/>
  <c r="AT580" i="6" s="1"/>
  <c r="AB65" i="6"/>
  <c r="AT65" i="6" s="1"/>
  <c r="AB450" i="6"/>
  <c r="AT450" i="6" s="1"/>
  <c r="AB290" i="6"/>
  <c r="AT290" i="6" s="1"/>
  <c r="AB565" i="6"/>
  <c r="AT565" i="6" s="1"/>
  <c r="AB120" i="6"/>
  <c r="AT120" i="6" s="1"/>
  <c r="AB635" i="6"/>
  <c r="AT635" i="6" s="1"/>
  <c r="AB145" i="6"/>
  <c r="AT145" i="6" s="1"/>
  <c r="AB115" i="6"/>
  <c r="AT115" i="6" s="1"/>
  <c r="AB315" i="6"/>
  <c r="AT315" i="6" s="1"/>
  <c r="AB210" i="6"/>
  <c r="AT210" i="6" s="1"/>
  <c r="AB765" i="6"/>
  <c r="AT765" i="6" s="1"/>
  <c r="AB425" i="6"/>
  <c r="AT425" i="6" s="1"/>
  <c r="AB85" i="6"/>
  <c r="AT85" i="6" s="1"/>
  <c r="AB160" i="6"/>
  <c r="AT160" i="6" s="1"/>
  <c r="AB200" i="6"/>
  <c r="AT200" i="6" s="1"/>
  <c r="AB715" i="6"/>
  <c r="AT715" i="6" s="1"/>
  <c r="AB750" i="6"/>
  <c r="AT750" i="6" s="1"/>
  <c r="AB740" i="6"/>
  <c r="AT740" i="6" s="1"/>
  <c r="AB155" i="6"/>
  <c r="AT155" i="6" s="1"/>
  <c r="AB105" i="6"/>
  <c r="AT105" i="6" s="1"/>
  <c r="AB575" i="6"/>
  <c r="AT575" i="6" s="1"/>
  <c r="AB455" i="6"/>
  <c r="AT455" i="6" s="1"/>
  <c r="AB235" i="6"/>
  <c r="AT235" i="6" s="1"/>
  <c r="AB475" i="6"/>
  <c r="AT475" i="6" s="1"/>
  <c r="AB110" i="6"/>
  <c r="AT110" i="6" s="1"/>
  <c r="AB365" i="6"/>
  <c r="AT365" i="6" s="1"/>
  <c r="AB505" i="6"/>
  <c r="AT505" i="6" s="1"/>
  <c r="AB560" i="6"/>
  <c r="AT560" i="6" s="1"/>
  <c r="AD520" i="6"/>
  <c r="AV520" i="6" s="1"/>
  <c r="AB625" i="6"/>
  <c r="AT625" i="6" s="1"/>
  <c r="AB375" i="6"/>
  <c r="AT375" i="6" s="1"/>
  <c r="AB295" i="6"/>
  <c r="AT295" i="6" s="1"/>
  <c r="AB350" i="6"/>
  <c r="AT350" i="6" s="1"/>
  <c r="AB285" i="6"/>
  <c r="AT285" i="6" s="1"/>
  <c r="AB230" i="6"/>
  <c r="AT230" i="6" s="1"/>
  <c r="AB675" i="6"/>
  <c r="AT675" i="6" s="1"/>
  <c r="AB520" i="6"/>
  <c r="AT520" i="6" s="1"/>
  <c r="AB10" i="6"/>
  <c r="AT10" i="6" s="1"/>
  <c r="AB175" i="6"/>
  <c r="AT175" i="6" s="1"/>
  <c r="AB135" i="6"/>
  <c r="AT135" i="6" s="1"/>
  <c r="AB410" i="6"/>
  <c r="AT410" i="6" s="1"/>
  <c r="AB15" i="6"/>
  <c r="AT15" i="6" s="1"/>
  <c r="AB250" i="6"/>
  <c r="AT250" i="6" s="1"/>
  <c r="AB440" i="6"/>
  <c r="AT440" i="6" s="1"/>
  <c r="AB20" i="6"/>
  <c r="AT20" i="6" s="1"/>
  <c r="AB325" i="6"/>
  <c r="AT325" i="6" s="1"/>
  <c r="AB255" i="6"/>
  <c r="AT255" i="6" s="1"/>
  <c r="AB275" i="6"/>
  <c r="AT275" i="6" s="1"/>
  <c r="AB515" i="6"/>
  <c r="AT515" i="6" s="1"/>
  <c r="AB345" i="6"/>
  <c r="AT345" i="6" s="1"/>
  <c r="AB310" i="6"/>
  <c r="AT310" i="6" s="1"/>
  <c r="AB335" i="6"/>
  <c r="AT335" i="6" s="1"/>
  <c r="AT5" i="6"/>
  <c r="AB660" i="6"/>
  <c r="AT660" i="6" s="1"/>
  <c r="AB95" i="6"/>
  <c r="AT95" i="6" s="1"/>
  <c r="AB220" i="6"/>
  <c r="AT220" i="6" s="1"/>
  <c r="AB245" i="6"/>
  <c r="AT245" i="6" s="1"/>
  <c r="AB40" i="6"/>
  <c r="AT40" i="6" s="1"/>
  <c r="AB130" i="6"/>
  <c r="AT130" i="6" s="1"/>
  <c r="AB445" i="6"/>
  <c r="AT445" i="6" s="1"/>
  <c r="AB760" i="6"/>
  <c r="AT760" i="6" s="1"/>
  <c r="AB240" i="6"/>
  <c r="AT240" i="6" s="1"/>
  <c r="AD415" i="6"/>
  <c r="AV415" i="6" s="1"/>
  <c r="AB30" i="6"/>
  <c r="AT30" i="6" s="1"/>
  <c r="AB510" i="6"/>
  <c r="AT510" i="6" s="1"/>
  <c r="AB100" i="6"/>
  <c r="AT100" i="6" s="1"/>
  <c r="AF179" i="6"/>
  <c r="AF729" i="6"/>
  <c r="AE694" i="6"/>
  <c r="AE739" i="6"/>
  <c r="AQ18" i="9"/>
  <c r="AE689" i="6"/>
  <c r="AQ56" i="9"/>
  <c r="AE364" i="6"/>
  <c r="AE574" i="6"/>
  <c r="AE734" i="6"/>
  <c r="AQ50" i="9"/>
  <c r="AE319" i="6"/>
  <c r="AE474" i="6"/>
  <c r="AE119" i="6"/>
  <c r="AE334" i="6"/>
  <c r="AE589" i="6"/>
  <c r="AE639" i="6"/>
  <c r="AG24" i="9"/>
  <c r="AG56" i="9"/>
  <c r="AE264" i="6"/>
  <c r="AE549" i="6"/>
  <c r="AQ44" i="9"/>
  <c r="AE74" i="6"/>
  <c r="AE179" i="6"/>
  <c r="AF694" i="6"/>
  <c r="AF314" i="6"/>
  <c r="AF289" i="6"/>
  <c r="AR56" i="9"/>
  <c r="AF124" i="6"/>
  <c r="AD379" i="6"/>
  <c r="AF699" i="6"/>
  <c r="AG599" i="6"/>
  <c r="AF574" i="6"/>
  <c r="AF414" i="6"/>
  <c r="AF284" i="6"/>
  <c r="AF214" i="6"/>
  <c r="AR18" i="9"/>
  <c r="AF164" i="6"/>
  <c r="AF649" i="6"/>
  <c r="AF724" i="6"/>
  <c r="AF434" i="6"/>
  <c r="AF229" i="6"/>
  <c r="AF119" i="6"/>
  <c r="AD744" i="6"/>
  <c r="AD474" i="6"/>
  <c r="AD314" i="6"/>
  <c r="AD69" i="6"/>
  <c r="AD134" i="6"/>
  <c r="AD284" i="6"/>
  <c r="AP12" i="9"/>
  <c r="AD374" i="6"/>
  <c r="AD734" i="6"/>
  <c r="AD544" i="6"/>
  <c r="AD414" i="6"/>
  <c r="AD224" i="6"/>
  <c r="AD114" i="6"/>
  <c r="AE489" i="6"/>
  <c r="AD489" i="6"/>
  <c r="AD179" i="6"/>
  <c r="AF129" i="6"/>
  <c r="AC434" i="6"/>
  <c r="AE724" i="6"/>
  <c r="AQ62" i="9"/>
  <c r="AE224" i="6"/>
  <c r="AE79" i="6"/>
  <c r="AE164" i="6"/>
  <c r="AL30" i="9"/>
  <c r="AG374" i="6"/>
  <c r="AD689" i="6"/>
  <c r="AF594" i="6"/>
  <c r="AF529" i="6"/>
  <c r="AF324" i="6"/>
  <c r="AF69" i="6"/>
  <c r="AR62" i="9"/>
  <c r="AF639" i="6"/>
  <c r="AF629" i="6"/>
  <c r="AF369" i="6"/>
  <c r="AF684" i="6"/>
  <c r="AF579" i="6"/>
  <c r="AF224" i="6"/>
  <c r="AR24" i="9"/>
  <c r="AF489" i="6"/>
  <c r="AD639" i="6"/>
  <c r="AD684" i="6"/>
  <c r="AD424" i="6"/>
  <c r="AD74" i="6"/>
  <c r="AP24" i="9"/>
  <c r="AD539" i="6"/>
  <c r="AD479" i="6"/>
  <c r="AD264" i="6"/>
  <c r="AL12" i="9"/>
  <c r="AD724" i="6"/>
  <c r="AD694" i="6"/>
  <c r="AD524" i="6"/>
  <c r="AD324" i="6"/>
  <c r="AP56" i="9"/>
  <c r="AD629" i="6"/>
  <c r="AE744" i="6"/>
  <c r="AD434" i="6"/>
  <c r="AD364" i="6"/>
  <c r="AE324" i="6"/>
  <c r="AB629" i="6"/>
  <c r="AB534" i="6"/>
  <c r="AB384" i="6"/>
  <c r="AB74" i="6"/>
  <c r="AB594" i="6"/>
  <c r="AB174" i="6"/>
  <c r="AB419" i="6"/>
  <c r="AN37" i="9"/>
  <c r="AN30" i="9"/>
  <c r="AH30" i="9"/>
  <c r="AE62" i="9"/>
  <c r="AB679" i="6"/>
  <c r="AG389" i="6"/>
  <c r="AF624" i="6"/>
  <c r="AG84" i="6"/>
  <c r="AB474" i="6"/>
  <c r="AB284" i="6"/>
  <c r="AN62" i="9"/>
  <c r="AB624" i="6"/>
  <c r="AB724" i="6"/>
  <c r="AH24" i="9"/>
  <c r="AA589" i="6"/>
  <c r="AA739" i="6"/>
  <c r="AE24" i="9"/>
  <c r="AA694" i="6"/>
  <c r="AA729" i="6"/>
  <c r="AD529" i="6"/>
  <c r="AF499" i="6"/>
  <c r="AC524" i="6"/>
  <c r="AC279" i="6"/>
  <c r="AC229" i="6"/>
  <c r="AB84" i="6"/>
  <c r="AB489" i="6"/>
  <c r="AB184" i="6"/>
  <c r="AB274" i="6"/>
  <c r="AB229" i="6"/>
  <c r="AB424" i="6"/>
  <c r="AB484" i="6"/>
  <c r="AB269" i="6"/>
  <c r="AB744" i="6"/>
  <c r="AB414" i="6"/>
  <c r="AB69" i="6"/>
  <c r="AB729" i="6"/>
  <c r="AB694" i="6"/>
  <c r="AB589" i="6"/>
  <c r="AH37" i="9"/>
  <c r="AM18" i="9"/>
  <c r="AD234" i="6"/>
  <c r="AA424" i="6"/>
  <c r="AB79" i="6"/>
  <c r="AF479" i="6"/>
  <c r="AD37" i="9"/>
  <c r="AC734" i="6"/>
  <c r="AC219" i="6"/>
  <c r="AB634" i="6"/>
  <c r="AB364" i="6"/>
  <c r="AB114" i="6"/>
  <c r="AN50" i="9"/>
  <c r="AB574" i="6"/>
  <c r="AB639" i="6"/>
  <c r="AN18" i="9"/>
  <c r="AB434" i="6"/>
  <c r="AN5" i="9"/>
  <c r="AA419" i="6"/>
  <c r="AB494" i="6"/>
  <c r="AM12" i="9"/>
  <c r="AG589" i="6"/>
  <c r="AG634" i="6"/>
  <c r="AG429" i="6"/>
  <c r="AB324" i="6"/>
  <c r="AB579" i="6"/>
  <c r="AB524" i="6"/>
  <c r="AB369" i="6"/>
  <c r="AB214" i="6"/>
  <c r="AB124" i="6"/>
  <c r="AB379" i="6"/>
  <c r="AN56" i="9"/>
  <c r="AB134" i="6"/>
  <c r="AH50" i="9"/>
  <c r="AA264" i="6"/>
  <c r="AA414" i="6"/>
  <c r="AE44" i="9"/>
  <c r="AA629" i="6"/>
  <c r="AA744" i="6"/>
  <c r="AE5" i="9"/>
  <c r="AA169" i="6"/>
  <c r="AA689" i="6"/>
  <c r="AB334" i="6"/>
  <c r="AB674" i="6"/>
  <c r="AB479" i="6"/>
  <c r="AB264" i="6"/>
  <c r="AB529" i="6"/>
  <c r="AE314" i="6"/>
  <c r="AB734" i="6"/>
  <c r="AB544" i="6"/>
  <c r="AE419" i="6"/>
  <c r="AB164" i="6"/>
  <c r="AE679" i="6"/>
  <c r="AB429" i="6"/>
  <c r="AB279" i="6"/>
  <c r="AB684" i="6"/>
  <c r="AB179" i="6"/>
  <c r="AB64" i="6"/>
  <c r="AB234" i="6"/>
  <c r="AB644" i="6"/>
  <c r="AN44" i="9"/>
  <c r="AB119" i="6"/>
  <c r="AN12" i="9"/>
  <c r="AE439" i="6"/>
  <c r="AE274" i="6"/>
  <c r="AE579" i="6"/>
  <c r="AE429" i="6"/>
  <c r="AE239" i="6"/>
  <c r="AE749" i="6"/>
  <c r="AG134" i="6"/>
  <c r="AL18" i="9"/>
  <c r="AG384" i="6"/>
  <c r="AG739" i="6"/>
  <c r="AG529" i="6"/>
  <c r="AE18" i="9"/>
  <c r="AA679" i="6"/>
  <c r="AA84" i="6"/>
  <c r="AM24" i="9"/>
  <c r="AA639" i="6"/>
  <c r="AA579" i="6"/>
  <c r="AA179" i="6"/>
  <c r="AA174" i="6"/>
  <c r="AM62" i="9"/>
  <c r="AA644" i="6"/>
  <c r="AA539" i="6"/>
  <c r="AA184" i="6"/>
  <c r="AD739" i="6"/>
  <c r="AA734" i="6"/>
  <c r="AF379" i="6"/>
  <c r="AF364" i="6"/>
  <c r="AF439" i="6"/>
  <c r="AB219" i="6"/>
  <c r="AG324" i="6"/>
  <c r="AF689" i="6"/>
  <c r="AF524" i="6"/>
  <c r="AG289" i="6"/>
  <c r="AG744" i="6"/>
  <c r="AB374" i="6"/>
  <c r="AC224" i="6"/>
  <c r="AA64" i="6"/>
  <c r="AA529" i="6"/>
  <c r="AA229" i="6"/>
  <c r="AA364" i="6"/>
  <c r="AG379" i="6"/>
  <c r="AA534" i="6"/>
  <c r="AA269" i="6"/>
  <c r="AA384" i="6"/>
  <c r="AM37" i="9"/>
  <c r="AA119" i="6"/>
  <c r="AA524" i="6"/>
  <c r="AD574" i="6"/>
  <c r="AB329" i="6"/>
  <c r="AF634" i="6"/>
  <c r="AF424" i="6"/>
  <c r="AR30" i="9"/>
  <c r="AD119" i="6"/>
  <c r="AG74" i="6"/>
  <c r="AB689" i="6"/>
  <c r="AG489" i="6"/>
  <c r="AB224" i="6"/>
  <c r="AC684" i="6"/>
  <c r="AG699" i="6"/>
  <c r="E41" i="2"/>
  <c r="AE56" i="9"/>
  <c r="AE50" i="9"/>
  <c r="AE12" i="9"/>
  <c r="AE30" i="9"/>
  <c r="M41" i="2"/>
  <c r="AM56" i="9"/>
  <c r="AA219" i="6"/>
  <c r="AA379" i="6"/>
  <c r="AA69" i="6"/>
  <c r="AA74" i="6"/>
  <c r="AA484" i="6"/>
  <c r="AA584" i="6"/>
  <c r="AA374" i="6"/>
  <c r="AA279" i="6"/>
  <c r="AM30" i="9"/>
  <c r="AA79" i="6"/>
  <c r="AA434" i="6"/>
  <c r="AA684" i="6"/>
  <c r="AA369" i="6"/>
  <c r="AA544" i="6"/>
  <c r="AA634" i="6"/>
  <c r="AA224" i="6"/>
  <c r="AA314" i="6"/>
  <c r="AA474" i="6"/>
  <c r="AA164" i="6"/>
  <c r="AA594" i="6"/>
  <c r="AA329" i="6"/>
  <c r="AA124" i="6"/>
  <c r="AA284" i="6"/>
  <c r="AA134" i="6"/>
  <c r="AA214" i="6"/>
  <c r="AA324" i="6"/>
  <c r="AA624" i="6"/>
  <c r="AA574" i="6"/>
  <c r="AM50" i="9"/>
  <c r="AA234" i="6"/>
  <c r="AA319" i="6"/>
  <c r="AA479" i="6"/>
  <c r="AA724" i="6"/>
  <c r="AM44" i="9"/>
  <c r="AA114" i="6"/>
  <c r="AA334" i="6"/>
  <c r="AA494" i="6"/>
  <c r="AA129" i="6"/>
  <c r="AM5" i="9"/>
  <c r="AA489" i="6"/>
  <c r="H41" i="2"/>
  <c r="AH56" i="9"/>
  <c r="AH44" i="9"/>
  <c r="AH62" i="9"/>
  <c r="AH5" i="9"/>
  <c r="F41" i="2"/>
  <c r="AF30" i="9"/>
  <c r="AF50" i="9"/>
  <c r="AF12" i="9"/>
  <c r="AF18" i="9"/>
  <c r="AF56" i="9"/>
  <c r="AF62" i="9"/>
  <c r="AF44" i="9"/>
  <c r="AF24" i="9"/>
  <c r="AF37" i="9"/>
  <c r="AF5" i="9"/>
  <c r="AA674" i="6"/>
  <c r="AG269" i="6"/>
  <c r="AG524" i="6"/>
  <c r="AG329" i="6"/>
  <c r="AG79" i="6"/>
  <c r="AG574" i="6"/>
  <c r="AE234" i="6"/>
  <c r="AQ37" i="9"/>
  <c r="AE214" i="6"/>
  <c r="AE124" i="6"/>
  <c r="AE329" i="6"/>
  <c r="AE424" i="6"/>
  <c r="AE189" i="6"/>
  <c r="AE634" i="6"/>
  <c r="AE479" i="6"/>
  <c r="AQ5" i="9"/>
  <c r="AQ30" i="9"/>
  <c r="AE684" i="6"/>
  <c r="AE499" i="6"/>
  <c r="AE544" i="6"/>
  <c r="AE339" i="6"/>
  <c r="AE219" i="6"/>
  <c r="AE389" i="6"/>
  <c r="AE484" i="6"/>
  <c r="AE374" i="6"/>
  <c r="AE369" i="6"/>
  <c r="AE289" i="6"/>
  <c r="AE134" i="6"/>
  <c r="AE64" i="6"/>
  <c r="AE114" i="6"/>
  <c r="AE169" i="6"/>
  <c r="AE269" i="6"/>
  <c r="AE129" i="6"/>
  <c r="AE629" i="6"/>
  <c r="AE599" i="6"/>
  <c r="AE674" i="6"/>
  <c r="AE379" i="6"/>
  <c r="AE649" i="6"/>
  <c r="AE584" i="6"/>
  <c r="AE284" i="6"/>
  <c r="AE534" i="6"/>
  <c r="AE524" i="6"/>
  <c r="AE229" i="6"/>
  <c r="AE594" i="6"/>
  <c r="AE644" i="6"/>
  <c r="AE279" i="6"/>
  <c r="AE384" i="6"/>
  <c r="AE414" i="6"/>
  <c r="AE729" i="6"/>
  <c r="AS18" i="9"/>
  <c r="AG164" i="6"/>
  <c r="AS24" i="9"/>
  <c r="AG114" i="6"/>
  <c r="AS30" i="9"/>
  <c r="AG584" i="6"/>
  <c r="AS56" i="9"/>
  <c r="AG749" i="6"/>
  <c r="AS12" i="9"/>
  <c r="AG129" i="6"/>
  <c r="AS44" i="9"/>
  <c r="AS37" i="9"/>
  <c r="AS50" i="9"/>
  <c r="AG174" i="6"/>
  <c r="AG689" i="6"/>
  <c r="AG539" i="6"/>
  <c r="AS62" i="9"/>
  <c r="AG64" i="6"/>
  <c r="AS5" i="9"/>
  <c r="AG169" i="6"/>
  <c r="AG729" i="6"/>
  <c r="AG214" i="6"/>
  <c r="AG284" i="6"/>
  <c r="AG414" i="6"/>
  <c r="AG594" i="6"/>
  <c r="AG319" i="6"/>
  <c r="AG684" i="6"/>
  <c r="AG264" i="6"/>
  <c r="AG184" i="6"/>
  <c r="AG734" i="6"/>
  <c r="AG179" i="6"/>
  <c r="AG424" i="6"/>
  <c r="AG624" i="6"/>
  <c r="AG639" i="6"/>
  <c r="AG119" i="6"/>
  <c r="AG649" i="6"/>
  <c r="AG439" i="6"/>
  <c r="AG549" i="6"/>
  <c r="AG579" i="6"/>
  <c r="AG724" i="6"/>
  <c r="AG124" i="6"/>
  <c r="AG629" i="6"/>
  <c r="AG314" i="6"/>
  <c r="AG224" i="6"/>
  <c r="AG279" i="6"/>
  <c r="AG474" i="6"/>
  <c r="AG679" i="6"/>
  <c r="AG234" i="6"/>
  <c r="AG339" i="6"/>
  <c r="AG479" i="6"/>
  <c r="AG219" i="6"/>
  <c r="AG274" i="6"/>
  <c r="AG364" i="6"/>
  <c r="AG674" i="6"/>
  <c r="AG694" i="6"/>
  <c r="AG189" i="6"/>
  <c r="AG434" i="6"/>
  <c r="AG369" i="6"/>
  <c r="AG644" i="6"/>
  <c r="AG534" i="6"/>
  <c r="AG494" i="6"/>
  <c r="L41" i="2"/>
  <c r="AL37" i="9"/>
  <c r="AL44" i="9"/>
  <c r="AL24" i="9"/>
  <c r="AL50" i="9"/>
  <c r="AL56" i="9"/>
  <c r="AE699" i="6"/>
  <c r="AG484" i="6"/>
  <c r="AG69" i="6"/>
  <c r="AG544" i="6"/>
  <c r="AG499" i="6"/>
  <c r="AG229" i="6"/>
  <c r="AG334" i="6"/>
  <c r="J41" i="2"/>
  <c r="AJ56" i="9"/>
  <c r="AJ24" i="9"/>
  <c r="AJ44" i="9"/>
  <c r="AJ30" i="9"/>
  <c r="AJ62" i="9"/>
  <c r="AJ37" i="9"/>
  <c r="AJ12" i="9"/>
  <c r="AJ18" i="9"/>
  <c r="AJ5" i="9"/>
  <c r="AJ50" i="9"/>
  <c r="AD679" i="6"/>
  <c r="AD184" i="6"/>
  <c r="AP50" i="9"/>
  <c r="AF269" i="6"/>
  <c r="AF419" i="6"/>
  <c r="AF319" i="6"/>
  <c r="AR5" i="9"/>
  <c r="AC164" i="6"/>
  <c r="AD169" i="6"/>
  <c r="AF749" i="6"/>
  <c r="AC589" i="6"/>
  <c r="AC544" i="6"/>
  <c r="AC489" i="6"/>
  <c r="AD729" i="6"/>
  <c r="K41" i="2"/>
  <c r="AK12" i="9"/>
  <c r="O41" i="2"/>
  <c r="AC689" i="6"/>
  <c r="AC129" i="6"/>
  <c r="AO56" i="9"/>
  <c r="AC174" i="6"/>
  <c r="AC169" i="6"/>
  <c r="AC539" i="6"/>
  <c r="C41" i="2"/>
  <c r="AC44" i="9"/>
  <c r="AC24" i="9"/>
  <c r="AD594" i="6"/>
  <c r="AP62" i="9"/>
  <c r="AF79" i="6"/>
  <c r="AF234" i="6"/>
  <c r="AF474" i="6"/>
  <c r="AF334" i="6"/>
  <c r="AR12" i="9"/>
  <c r="AC694" i="6"/>
  <c r="AC674" i="6"/>
  <c r="AF584" i="6"/>
  <c r="AF539" i="6"/>
  <c r="AF484" i="6"/>
  <c r="AF189" i="6"/>
  <c r="AC479" i="6"/>
  <c r="AC84" i="6"/>
  <c r="AD321" i="6"/>
  <c r="AV321" i="6" s="1"/>
  <c r="AD606" i="6"/>
  <c r="AV606" i="6" s="1"/>
  <c r="AD21" i="6"/>
  <c r="AV21" i="6" s="1"/>
  <c r="AD306" i="6"/>
  <c r="AV306" i="6" s="1"/>
  <c r="AD476" i="6"/>
  <c r="AV476" i="6" s="1"/>
  <c r="AD81" i="6"/>
  <c r="AV81" i="6" s="1"/>
  <c r="AD666" i="6"/>
  <c r="AV666" i="6" s="1"/>
  <c r="AD141" i="6"/>
  <c r="AV141" i="6" s="1"/>
  <c r="AD711" i="6"/>
  <c r="AV711" i="6" s="1"/>
  <c r="AD426" i="6"/>
  <c r="AV426" i="6" s="1"/>
  <c r="AD591" i="6"/>
  <c r="AV591" i="6" s="1"/>
  <c r="AD741" i="6"/>
  <c r="AV741" i="6" s="1"/>
  <c r="AD681" i="6"/>
  <c r="AV681" i="6" s="1"/>
  <c r="AD316" i="6"/>
  <c r="AV316" i="6" s="1"/>
  <c r="AD266" i="6"/>
  <c r="AV266" i="6" s="1"/>
  <c r="AD726" i="6"/>
  <c r="AV726" i="6" s="1"/>
  <c r="AD676" i="6"/>
  <c r="AV676" i="6" s="1"/>
  <c r="AD211" i="6"/>
  <c r="AV211" i="6" s="1"/>
  <c r="AD41" i="6"/>
  <c r="AV41" i="6" s="1"/>
  <c r="AD706" i="6"/>
  <c r="AV706" i="6" s="1"/>
  <c r="L35" i="7"/>
  <c r="AE471" i="6"/>
  <c r="AW471" i="6" s="1"/>
  <c r="AE111" i="6"/>
  <c r="AW111" i="6" s="1"/>
  <c r="AW6" i="6"/>
  <c r="AE276" i="6"/>
  <c r="AW276" i="6" s="1"/>
  <c r="AE191" i="6"/>
  <c r="AW191" i="6" s="1"/>
  <c r="AE261" i="6"/>
  <c r="AW261" i="6" s="1"/>
  <c r="AE586" i="6"/>
  <c r="AW586" i="6" s="1"/>
  <c r="AE456" i="6"/>
  <c r="AW456" i="6" s="1"/>
  <c r="AE616" i="6"/>
  <c r="AW616" i="6" s="1"/>
  <c r="AE226" i="6"/>
  <c r="AW226" i="6" s="1"/>
  <c r="AE26" i="6"/>
  <c r="AW26" i="6" s="1"/>
  <c r="AE136" i="6"/>
  <c r="AW136" i="6" s="1"/>
  <c r="AE291" i="6"/>
  <c r="AW291" i="6" s="1"/>
  <c r="AE106" i="6"/>
  <c r="AW106" i="6" s="1"/>
  <c r="AE431" i="6"/>
  <c r="AW431" i="6" s="1"/>
  <c r="AE236" i="6"/>
  <c r="AW236" i="6" s="1"/>
  <c r="AE606" i="6"/>
  <c r="AW606" i="6" s="1"/>
  <c r="AE691" i="6"/>
  <c r="AW691" i="6" s="1"/>
  <c r="AE121" i="6"/>
  <c r="AW121" i="6" s="1"/>
  <c r="AE196" i="6"/>
  <c r="AW196" i="6" s="1"/>
  <c r="AE296" i="6"/>
  <c r="AW296" i="6" s="1"/>
  <c r="AE541" i="6"/>
  <c r="AW541" i="6" s="1"/>
  <c r="AE356" i="6"/>
  <c r="AW356" i="6" s="1"/>
  <c r="Q482" i="6"/>
  <c r="AI482" i="6" s="1"/>
  <c r="AE536" i="6"/>
  <c r="AW536" i="6" s="1"/>
  <c r="AE511" i="6"/>
  <c r="AW511" i="6" s="1"/>
  <c r="AE51" i="6"/>
  <c r="AW51" i="6" s="1"/>
  <c r="AE661" i="6"/>
  <c r="AW661" i="6" s="1"/>
  <c r="AE141" i="6"/>
  <c r="AW141" i="6" s="1"/>
  <c r="AE396" i="6"/>
  <c r="AW396" i="6" s="1"/>
  <c r="AE316" i="6"/>
  <c r="AW316" i="6" s="1"/>
  <c r="AE36" i="6"/>
  <c r="AW36" i="6" s="1"/>
  <c r="AE486" i="6"/>
  <c r="AW486" i="6" s="1"/>
  <c r="AE706" i="6"/>
  <c r="AW706" i="6" s="1"/>
  <c r="AE251" i="6"/>
  <c r="AW251" i="6" s="1"/>
  <c r="AE341" i="6"/>
  <c r="AW341" i="6" s="1"/>
  <c r="AE171" i="6"/>
  <c r="AW171" i="6" s="1"/>
  <c r="AE416" i="6"/>
  <c r="AW416" i="6" s="1"/>
  <c r="AE646" i="6"/>
  <c r="AW646" i="6" s="1"/>
  <c r="AE116" i="6"/>
  <c r="AW116" i="6" s="1"/>
  <c r="AE531" i="6"/>
  <c r="AW531" i="6" s="1"/>
  <c r="AE651" i="6"/>
  <c r="AW651" i="6" s="1"/>
  <c r="AE656" i="6"/>
  <c r="AW656" i="6" s="1"/>
  <c r="AE166" i="6"/>
  <c r="AW166" i="6" s="1"/>
  <c r="AE626" i="6"/>
  <c r="AW626" i="6" s="1"/>
  <c r="AE156" i="6"/>
  <c r="AW156" i="6" s="1"/>
  <c r="AE366" i="6"/>
  <c r="AW366" i="6" s="1"/>
  <c r="AE361" i="6"/>
  <c r="AW361" i="6" s="1"/>
  <c r="AE46" i="6"/>
  <c r="AW46" i="6" s="1"/>
  <c r="AE66" i="6"/>
  <c r="AW66" i="6" s="1"/>
  <c r="AE11" i="6"/>
  <c r="AW11" i="6" s="1"/>
  <c r="AE71" i="6"/>
  <c r="AW71" i="6" s="1"/>
  <c r="AE441" i="6"/>
  <c r="AW441" i="6" s="1"/>
  <c r="AE556" i="6"/>
  <c r="AW556" i="6" s="1"/>
  <c r="AE596" i="6"/>
  <c r="AW596" i="6" s="1"/>
  <c r="AE636" i="6"/>
  <c r="AW636" i="6" s="1"/>
  <c r="AE216" i="6"/>
  <c r="AW216" i="6" s="1"/>
  <c r="AE591" i="6"/>
  <c r="AW591" i="6" s="1"/>
  <c r="AE41" i="6"/>
  <c r="AW41" i="6" s="1"/>
  <c r="AE506" i="6"/>
  <c r="AW506" i="6" s="1"/>
  <c r="AE676" i="6"/>
  <c r="AW676" i="6" s="1"/>
  <c r="AE411" i="6"/>
  <c r="AW411" i="6" s="1"/>
  <c r="AE401" i="6"/>
  <c r="AW401" i="6" s="1"/>
  <c r="AE571" i="6"/>
  <c r="AW571" i="6" s="1"/>
  <c r="AE546" i="6"/>
  <c r="AW546" i="6" s="1"/>
  <c r="AE516" i="6"/>
  <c r="AW516" i="6" s="1"/>
  <c r="AE421" i="6"/>
  <c r="AW421" i="6" s="1"/>
  <c r="AE736" i="6"/>
  <c r="AW736" i="6" s="1"/>
  <c r="P35" i="7"/>
  <c r="H35" i="7"/>
  <c r="AE581" i="6"/>
  <c r="AW581" i="6" s="1"/>
  <c r="AE561" i="6"/>
  <c r="AW561" i="6" s="1"/>
  <c r="AE716" i="6"/>
  <c r="AW716" i="6" s="1"/>
  <c r="AE426" i="6"/>
  <c r="AW426" i="6" s="1"/>
  <c r="AE126" i="6"/>
  <c r="AW126" i="6" s="1"/>
  <c r="AE551" i="6"/>
  <c r="AW551" i="6" s="1"/>
  <c r="AE721" i="6"/>
  <c r="AW721" i="6" s="1"/>
  <c r="AE446" i="6"/>
  <c r="AW446" i="6" s="1"/>
  <c r="AE186" i="6"/>
  <c r="AW186" i="6" s="1"/>
  <c r="AE371" i="6"/>
  <c r="AW371" i="6" s="1"/>
  <c r="AE301" i="6"/>
  <c r="AW301" i="6" s="1"/>
  <c r="AE311" i="6"/>
  <c r="AW311" i="6" s="1"/>
  <c r="AE566" i="6"/>
  <c r="AW566" i="6" s="1"/>
  <c r="AE271" i="6"/>
  <c r="AW271" i="6" s="1"/>
  <c r="AE766" i="6"/>
  <c r="AW766" i="6" s="1"/>
  <c r="AE206" i="6"/>
  <c r="AW206" i="6" s="1"/>
  <c r="AE346" i="6"/>
  <c r="AW346" i="6" s="1"/>
  <c r="AE321" i="6"/>
  <c r="AW321" i="6" s="1"/>
  <c r="AE336" i="6"/>
  <c r="AW336" i="6" s="1"/>
  <c r="AE76" i="6"/>
  <c r="AW76" i="6" s="1"/>
  <c r="AE701" i="6"/>
  <c r="AW701" i="6" s="1"/>
  <c r="AE266" i="6"/>
  <c r="AW266" i="6" s="1"/>
  <c r="AE481" i="6"/>
  <c r="AW481" i="6" s="1"/>
  <c r="AE756" i="6"/>
  <c r="AW756" i="6" s="1"/>
  <c r="AE81" i="6"/>
  <c r="AW81" i="6" s="1"/>
  <c r="AE496" i="6"/>
  <c r="AW496" i="6" s="1"/>
  <c r="AE231" i="6"/>
  <c r="AW231" i="6" s="1"/>
  <c r="AE31" i="6"/>
  <c r="AW31" i="6" s="1"/>
  <c r="AE221" i="6"/>
  <c r="AW221" i="6" s="1"/>
  <c r="AE201" i="6"/>
  <c r="AW201" i="6" s="1"/>
  <c r="AE281" i="6"/>
  <c r="AW281" i="6" s="1"/>
  <c r="AE101" i="6"/>
  <c r="AW101" i="6" s="1"/>
  <c r="V31" i="7"/>
  <c r="D35" i="7"/>
  <c r="AD405" i="6"/>
  <c r="AV405" i="6" s="1"/>
  <c r="AD200" i="6"/>
  <c r="AV200" i="6" s="1"/>
  <c r="AD395" i="6"/>
  <c r="AV395" i="6" s="1"/>
  <c r="V32" i="7"/>
  <c r="AD615" i="6"/>
  <c r="AV615" i="6" s="1"/>
  <c r="AD575" i="6"/>
  <c r="AV575" i="6" s="1"/>
  <c r="D62" i="6"/>
  <c r="E61" i="6" s="1"/>
  <c r="M53" i="5"/>
  <c r="M56" i="5"/>
  <c r="M44" i="5"/>
  <c r="M50" i="5"/>
  <c r="N40" i="5"/>
  <c r="N48" i="5" s="1"/>
  <c r="AE600" i="6"/>
  <c r="AW600" i="6" s="1"/>
  <c r="AE680" i="6"/>
  <c r="AW680" i="6" s="1"/>
  <c r="AE140" i="6"/>
  <c r="AW140" i="6" s="1"/>
  <c r="Q372" i="6"/>
  <c r="AI372" i="6" s="1"/>
  <c r="Q682" i="6"/>
  <c r="AI682" i="6" s="1"/>
  <c r="AD590" i="6"/>
  <c r="AV590" i="6" s="1"/>
  <c r="AD30" i="6"/>
  <c r="AV30" i="6" s="1"/>
  <c r="AD565" i="6"/>
  <c r="AV565" i="6" s="1"/>
  <c r="AD355" i="6"/>
  <c r="AV355" i="6" s="1"/>
  <c r="AD475" i="6"/>
  <c r="AV475" i="6" s="1"/>
  <c r="AD490" i="6"/>
  <c r="AV490" i="6" s="1"/>
  <c r="Q582" i="6"/>
  <c r="Q583" i="6" s="1"/>
  <c r="Q584" i="6" s="1"/>
  <c r="AE250" i="6"/>
  <c r="AW250" i="6" s="1"/>
  <c r="AE95" i="6"/>
  <c r="AW95" i="6" s="1"/>
  <c r="AE205" i="6"/>
  <c r="AW205" i="6" s="1"/>
  <c r="AE485" i="6"/>
  <c r="AW485" i="6" s="1"/>
  <c r="AE625" i="6"/>
  <c r="AW625" i="6" s="1"/>
  <c r="AE220" i="6"/>
  <c r="AW220" i="6" s="1"/>
  <c r="AE400" i="6"/>
  <c r="AW400" i="6" s="1"/>
  <c r="AE660" i="6"/>
  <c r="AW660" i="6" s="1"/>
  <c r="AE390" i="6"/>
  <c r="AW390" i="6" s="1"/>
  <c r="AE410" i="6"/>
  <c r="AW410" i="6" s="1"/>
  <c r="AE745" i="6"/>
  <c r="AW745" i="6" s="1"/>
  <c r="AE425" i="6"/>
  <c r="AW425" i="6" s="1"/>
  <c r="AE350" i="6"/>
  <c r="AW350" i="6" s="1"/>
  <c r="AE280" i="6"/>
  <c r="AW280" i="6" s="1"/>
  <c r="AE15" i="6"/>
  <c r="AW15" i="6" s="1"/>
  <c r="AD600" i="6"/>
  <c r="AV600" i="6" s="1"/>
  <c r="AD135" i="6"/>
  <c r="AV135" i="6" s="1"/>
  <c r="AE655" i="6"/>
  <c r="AW655" i="6" s="1"/>
  <c r="AE300" i="6"/>
  <c r="AW300" i="6" s="1"/>
  <c r="Q527" i="6"/>
  <c r="Q528" i="6" s="1"/>
  <c r="Q529" i="6" s="1"/>
  <c r="AE765" i="6"/>
  <c r="AW765" i="6" s="1"/>
  <c r="E265" i="6"/>
  <c r="D266" i="6"/>
  <c r="E44" i="6"/>
  <c r="Q127" i="6" s="1"/>
  <c r="D45" i="6"/>
  <c r="R122" i="6" s="1"/>
  <c r="C11" i="6"/>
  <c r="BN3" i="6" s="1"/>
  <c r="BN2" i="6"/>
  <c r="AD220" i="6"/>
  <c r="AV220" i="6" s="1"/>
  <c r="M66" i="5"/>
  <c r="M61" i="5"/>
  <c r="M55" i="5"/>
  <c r="M46" i="5"/>
  <c r="M59" i="5"/>
  <c r="AD335" i="6"/>
  <c r="AV335" i="6" s="1"/>
  <c r="AD145" i="6"/>
  <c r="AV145" i="6" s="1"/>
  <c r="AD75" i="6"/>
  <c r="AV75" i="6" s="1"/>
  <c r="AD235" i="6"/>
  <c r="AV235" i="6" s="1"/>
  <c r="AI121" i="6"/>
  <c r="M57" i="5"/>
  <c r="AE535" i="6"/>
  <c r="AW535" i="6" s="1"/>
  <c r="AE500" i="6"/>
  <c r="AW500" i="6" s="1"/>
  <c r="AE285" i="6"/>
  <c r="AW285" i="6" s="1"/>
  <c r="AE125" i="6"/>
  <c r="AW125" i="6" s="1"/>
  <c r="AE430" i="6"/>
  <c r="AW430" i="6" s="1"/>
  <c r="AE385" i="6"/>
  <c r="AW385" i="6" s="1"/>
  <c r="AE320" i="6"/>
  <c r="AW320" i="6" s="1"/>
  <c r="AE295" i="6"/>
  <c r="AW295" i="6" s="1"/>
  <c r="AE740" i="6"/>
  <c r="AW740" i="6" s="1"/>
  <c r="AE265" i="6"/>
  <c r="AW265" i="6" s="1"/>
  <c r="AE340" i="6"/>
  <c r="AW340" i="6" s="1"/>
  <c r="AE335" i="6"/>
  <c r="AW335" i="6" s="1"/>
  <c r="AE370" i="6"/>
  <c r="AW370" i="6" s="1"/>
  <c r="AE105" i="6"/>
  <c r="AW105" i="6" s="1"/>
  <c r="AE565" i="6"/>
  <c r="AW565" i="6" s="1"/>
  <c r="AD735" i="6"/>
  <c r="AV735" i="6" s="1"/>
  <c r="AE755" i="6"/>
  <c r="AW755" i="6" s="1"/>
  <c r="AE725" i="6"/>
  <c r="AW725" i="6" s="1"/>
  <c r="E11" i="3"/>
  <c r="F10" i="3" s="1"/>
  <c r="AI122" i="6"/>
  <c r="C42" i="5"/>
  <c r="D42" i="5"/>
  <c r="B42" i="5"/>
  <c r="A74" i="5"/>
  <c r="AD750" i="6"/>
  <c r="AV750" i="6" s="1"/>
  <c r="AD285" i="6"/>
  <c r="AV285" i="6" s="1"/>
  <c r="AD35" i="6"/>
  <c r="AV35" i="6" s="1"/>
  <c r="AD165" i="6"/>
  <c r="AV165" i="6" s="1"/>
  <c r="AD80" i="6"/>
  <c r="AV80" i="6" s="1"/>
  <c r="AD495" i="6"/>
  <c r="AV495" i="6" s="1"/>
  <c r="AD450" i="6"/>
  <c r="AV450" i="6" s="1"/>
  <c r="AD500" i="6"/>
  <c r="AV500" i="6" s="1"/>
  <c r="AD585" i="6"/>
  <c r="AV585" i="6" s="1"/>
  <c r="AD680" i="6"/>
  <c r="AV680" i="6" s="1"/>
  <c r="AD110" i="6"/>
  <c r="AV110" i="6" s="1"/>
  <c r="AD65" i="6"/>
  <c r="AV65" i="6" s="1"/>
  <c r="AD765" i="6"/>
  <c r="AV765" i="6" s="1"/>
  <c r="AD740" i="6"/>
  <c r="AV740" i="6" s="1"/>
  <c r="AD20" i="6"/>
  <c r="AV20" i="6" s="1"/>
  <c r="AD755" i="6"/>
  <c r="AV755" i="6" s="1"/>
  <c r="AD725" i="6"/>
  <c r="AV725" i="6" s="1"/>
  <c r="AD440" i="6"/>
  <c r="AV440" i="6" s="1"/>
  <c r="AD290" i="6"/>
  <c r="AV290" i="6" s="1"/>
  <c r="P16" i="3"/>
  <c r="Q16" i="3" s="1"/>
  <c r="AD125" i="6"/>
  <c r="AV125" i="6" s="1"/>
  <c r="AD605" i="6"/>
  <c r="AV605" i="6" s="1"/>
  <c r="AD380" i="6"/>
  <c r="AV380" i="6" s="1"/>
  <c r="AD50" i="6"/>
  <c r="AV50" i="6" s="1"/>
  <c r="AD95" i="6"/>
  <c r="AV95" i="6" s="1"/>
  <c r="AE640" i="6"/>
  <c r="AW640" i="6" s="1"/>
  <c r="AE690" i="6"/>
  <c r="AW690" i="6" s="1"/>
  <c r="AE155" i="6"/>
  <c r="AW155" i="6" s="1"/>
  <c r="AE145" i="6"/>
  <c r="AW145" i="6" s="1"/>
  <c r="AE45" i="6"/>
  <c r="AW45" i="6" s="1"/>
  <c r="AE270" i="6"/>
  <c r="AW270" i="6" s="1"/>
  <c r="AE75" i="6"/>
  <c r="AW75" i="6" s="1"/>
  <c r="AE380" i="6"/>
  <c r="AW380" i="6" s="1"/>
  <c r="AE315" i="6"/>
  <c r="AW315" i="6" s="1"/>
  <c r="AE30" i="6"/>
  <c r="AW30" i="6" s="1"/>
  <c r="AE495" i="6"/>
  <c r="AW495" i="6" s="1"/>
  <c r="AE50" i="6"/>
  <c r="AW50" i="6" s="1"/>
  <c r="AE80" i="6"/>
  <c r="AW80" i="6" s="1"/>
  <c r="AE575" i="6"/>
  <c r="AW575" i="6" s="1"/>
  <c r="AE160" i="6"/>
  <c r="AW160" i="6" s="1"/>
  <c r="AE20" i="6"/>
  <c r="AW20" i="6" s="1"/>
  <c r="AE515" i="6"/>
  <c r="AW515" i="6" s="1"/>
  <c r="AE695" i="6"/>
  <c r="AW695" i="6" s="1"/>
  <c r="AE25" i="6"/>
  <c r="AW25" i="6" s="1"/>
  <c r="AE545" i="6"/>
  <c r="AW545" i="6" s="1"/>
  <c r="AE345" i="6"/>
  <c r="AW345" i="6" s="1"/>
  <c r="AE570" i="6"/>
  <c r="AW570" i="6" s="1"/>
  <c r="AE505" i="6"/>
  <c r="AW505" i="6" s="1"/>
  <c r="AE120" i="6"/>
  <c r="AW120" i="6" s="1"/>
  <c r="AE580" i="6"/>
  <c r="AW580" i="6" s="1"/>
  <c r="M42" i="5"/>
  <c r="M58" i="5"/>
  <c r="M64" i="5"/>
  <c r="M60" i="5"/>
  <c r="M62" i="5"/>
  <c r="AE525" i="6"/>
  <c r="AW525" i="6" s="1"/>
  <c r="AE240" i="6"/>
  <c r="AW240" i="6" s="1"/>
  <c r="AE40" i="6"/>
  <c r="AW40" i="6" s="1"/>
  <c r="AE650" i="6"/>
  <c r="AW650" i="6" s="1"/>
  <c r="AD15" i="6"/>
  <c r="AV15" i="6" s="1"/>
  <c r="AD130" i="6"/>
  <c r="AV130" i="6" s="1"/>
  <c r="AD315" i="6"/>
  <c r="AV315" i="6" s="1"/>
  <c r="AD190" i="6"/>
  <c r="AV190" i="6" s="1"/>
  <c r="AD300" i="6"/>
  <c r="AV300" i="6" s="1"/>
  <c r="AD330" i="6"/>
  <c r="AV330" i="6" s="1"/>
  <c r="AD420" i="6"/>
  <c r="AV420" i="6" s="1"/>
  <c r="AD640" i="6"/>
  <c r="AV640" i="6" s="1"/>
  <c r="AD710" i="6"/>
  <c r="AV710" i="6" s="1"/>
  <c r="AD115" i="6"/>
  <c r="AV115" i="6" s="1"/>
  <c r="AD265" i="6"/>
  <c r="AV265" i="6" s="1"/>
  <c r="AD45" i="6"/>
  <c r="AV45" i="6" s="1"/>
  <c r="AD530" i="6"/>
  <c r="AV530" i="6" s="1"/>
  <c r="AD215" i="6"/>
  <c r="AV215" i="6" s="1"/>
  <c r="AD425" i="6"/>
  <c r="AV425" i="6" s="1"/>
  <c r="AD60" i="6"/>
  <c r="AV60" i="6" s="1"/>
  <c r="AD310" i="6"/>
  <c r="AV310" i="6" s="1"/>
  <c r="AD715" i="6"/>
  <c r="AV715" i="6" s="1"/>
  <c r="AD545" i="6"/>
  <c r="AV545" i="6" s="1"/>
  <c r="AD105" i="6"/>
  <c r="AV105" i="6" s="1"/>
  <c r="AD760" i="6"/>
  <c r="AV760" i="6" s="1"/>
  <c r="AA456" i="6"/>
  <c r="AS456" i="6" s="1"/>
  <c r="AA706" i="6"/>
  <c r="AS706" i="6" s="1"/>
  <c r="AA731" i="6"/>
  <c r="AS731" i="6" s="1"/>
  <c r="AA85" i="6"/>
  <c r="AS85" i="6" s="1"/>
  <c r="AA390" i="6"/>
  <c r="AS390" i="6" s="1"/>
  <c r="P19" i="3"/>
  <c r="AE705" i="6"/>
  <c r="AW705" i="6" s="1"/>
  <c r="AE85" i="6"/>
  <c r="AW85" i="6" s="1"/>
  <c r="AE290" i="6"/>
  <c r="AW290" i="6" s="1"/>
  <c r="AE675" i="6"/>
  <c r="AW675" i="6" s="1"/>
  <c r="AE620" i="6"/>
  <c r="AW620" i="6" s="1"/>
  <c r="AE110" i="6"/>
  <c r="AW110" i="6" s="1"/>
  <c r="AE210" i="6"/>
  <c r="AW210" i="6" s="1"/>
  <c r="AW5" i="6"/>
  <c r="AE170" i="6"/>
  <c r="AW170" i="6" s="1"/>
  <c r="AE275" i="6"/>
  <c r="AW275" i="6" s="1"/>
  <c r="AE180" i="6"/>
  <c r="AW180" i="6" s="1"/>
  <c r="AE735" i="6"/>
  <c r="AW735" i="6" s="1"/>
  <c r="AE455" i="6"/>
  <c r="AW455" i="6" s="1"/>
  <c r="AE530" i="6"/>
  <c r="AW530" i="6" s="1"/>
  <c r="AE360" i="6"/>
  <c r="AW360" i="6" s="1"/>
  <c r="AE510" i="6"/>
  <c r="AW510" i="6" s="1"/>
  <c r="AE100" i="6"/>
  <c r="AW100" i="6" s="1"/>
  <c r="AE480" i="6"/>
  <c r="AW480" i="6" s="1"/>
  <c r="AE590" i="6"/>
  <c r="AW590" i="6" s="1"/>
  <c r="AE70" i="6"/>
  <c r="AW70" i="6" s="1"/>
  <c r="AD535" i="6"/>
  <c r="AV535" i="6" s="1"/>
  <c r="AD620" i="6"/>
  <c r="AV620" i="6" s="1"/>
  <c r="AD360" i="6"/>
  <c r="AV360" i="6" s="1"/>
  <c r="AD670" i="6"/>
  <c r="AV670" i="6" s="1"/>
  <c r="AD260" i="6"/>
  <c r="AV260" i="6" s="1"/>
  <c r="AE615" i="6"/>
  <c r="AW615" i="6" s="1"/>
  <c r="AE635" i="6"/>
  <c r="AW635" i="6" s="1"/>
  <c r="AE490" i="6"/>
  <c r="AW490" i="6" s="1"/>
  <c r="AE670" i="6"/>
  <c r="AW670" i="6" s="1"/>
  <c r="AE730" i="6"/>
  <c r="AW730" i="6" s="1"/>
  <c r="AE150" i="6"/>
  <c r="AW150" i="6" s="1"/>
  <c r="AE355" i="6"/>
  <c r="AW355" i="6" s="1"/>
  <c r="AE491" i="6"/>
  <c r="AW491" i="6" s="1"/>
  <c r="AE406" i="6"/>
  <c r="AW406" i="6" s="1"/>
  <c r="AE376" i="6"/>
  <c r="AW376" i="6" s="1"/>
  <c r="AE331" i="6"/>
  <c r="AW331" i="6" s="1"/>
  <c r="AE476" i="6"/>
  <c r="AW476" i="6" s="1"/>
  <c r="AE681" i="6"/>
  <c r="AW681" i="6" s="1"/>
  <c r="AE741" i="6"/>
  <c r="AW741" i="6" s="1"/>
  <c r="AE326" i="6"/>
  <c r="AW326" i="6" s="1"/>
  <c r="AE746" i="6"/>
  <c r="AW746" i="6" s="1"/>
  <c r="AE386" i="6"/>
  <c r="AW386" i="6" s="1"/>
  <c r="AE761" i="6"/>
  <c r="AW761" i="6" s="1"/>
  <c r="AE641" i="6"/>
  <c r="AW641" i="6" s="1"/>
  <c r="AE501" i="6"/>
  <c r="AW501" i="6" s="1"/>
  <c r="AE86" i="6"/>
  <c r="AW86" i="6" s="1"/>
  <c r="AE521" i="6"/>
  <c r="AW521" i="6" s="1"/>
  <c r="AE211" i="6"/>
  <c r="AW211" i="6" s="1"/>
  <c r="AE146" i="6"/>
  <c r="AW146" i="6" s="1"/>
  <c r="AD180" i="6"/>
  <c r="AV180" i="6" s="1"/>
  <c r="AD350" i="6"/>
  <c r="AV350" i="6" s="1"/>
  <c r="AD430" i="6"/>
  <c r="AV430" i="6" s="1"/>
  <c r="AD645" i="6"/>
  <c r="AV645" i="6" s="1"/>
  <c r="AD250" i="6"/>
  <c r="AV250" i="6" s="1"/>
  <c r="AD525" i="6"/>
  <c r="AV525" i="6" s="1"/>
  <c r="AD515" i="6"/>
  <c r="AV515" i="6" s="1"/>
  <c r="AD375" i="6"/>
  <c r="AV375" i="6" s="1"/>
  <c r="AD650" i="6"/>
  <c r="AV650" i="6" s="1"/>
  <c r="AD25" i="6"/>
  <c r="AV25" i="6" s="1"/>
  <c r="AD270" i="6"/>
  <c r="AV270" i="6" s="1"/>
  <c r="AD240" i="6"/>
  <c r="AV240" i="6" s="1"/>
  <c r="AD720" i="6"/>
  <c r="AV720" i="6" s="1"/>
  <c r="AD660" i="6"/>
  <c r="AV660" i="6" s="1"/>
  <c r="AD625" i="6"/>
  <c r="AV625" i="6" s="1"/>
  <c r="AD325" i="6"/>
  <c r="AV325" i="6" s="1"/>
  <c r="AD275" i="6"/>
  <c r="AV275" i="6" s="1"/>
  <c r="AD700" i="6"/>
  <c r="AV700" i="6" s="1"/>
  <c r="AD505" i="6"/>
  <c r="AV505" i="6" s="1"/>
  <c r="AD295" i="6"/>
  <c r="AV295" i="6" s="1"/>
  <c r="AD610" i="6"/>
  <c r="AV610" i="6" s="1"/>
  <c r="AA581" i="6"/>
  <c r="AS581" i="6" s="1"/>
  <c r="AA331" i="6"/>
  <c r="AS331" i="6" s="1"/>
  <c r="AA285" i="6"/>
  <c r="AS285" i="6" s="1"/>
  <c r="AA330" i="6"/>
  <c r="AS330" i="6" s="1"/>
  <c r="AA295" i="6"/>
  <c r="AS295" i="6" s="1"/>
  <c r="P17" i="3"/>
  <c r="Q17" i="3" s="1"/>
  <c r="Q7" i="6"/>
  <c r="AI7" i="6" s="1"/>
  <c r="Q67" i="6"/>
  <c r="R67" i="6" s="1"/>
  <c r="S67" i="6" s="1"/>
  <c r="AD340" i="6"/>
  <c r="AV340" i="6" s="1"/>
  <c r="AV5" i="6"/>
  <c r="AD445" i="6"/>
  <c r="AV445" i="6" s="1"/>
  <c r="AD230" i="6"/>
  <c r="AV230" i="6" s="1"/>
  <c r="AE715" i="6"/>
  <c r="AW715" i="6" s="1"/>
  <c r="AE395" i="6"/>
  <c r="AW395" i="6" s="1"/>
  <c r="AE310" i="6"/>
  <c r="AW310" i="6" s="1"/>
  <c r="AE560" i="6"/>
  <c r="AW560" i="6" s="1"/>
  <c r="AE230" i="6"/>
  <c r="AW230" i="6" s="1"/>
  <c r="AE190" i="6"/>
  <c r="AW190" i="6" s="1"/>
  <c r="AE445" i="6"/>
  <c r="AW445" i="6" s="1"/>
  <c r="AD166" i="6"/>
  <c r="AV166" i="6" s="1"/>
  <c r="AD571" i="6"/>
  <c r="AV571" i="6" s="1"/>
  <c r="Q732" i="6"/>
  <c r="R732" i="6" s="1"/>
  <c r="S732" i="6" s="1"/>
  <c r="AD486" i="6"/>
  <c r="AV486" i="6" s="1"/>
  <c r="AD31" i="6"/>
  <c r="AV31" i="6" s="1"/>
  <c r="AD341" i="6"/>
  <c r="AV341" i="6" s="1"/>
  <c r="AD36" i="6"/>
  <c r="AV36" i="6" s="1"/>
  <c r="AD276" i="6"/>
  <c r="AV276" i="6" s="1"/>
  <c r="AD71" i="6"/>
  <c r="AV71" i="6" s="1"/>
  <c r="AD116" i="6"/>
  <c r="AV116" i="6" s="1"/>
  <c r="AD46" i="6"/>
  <c r="AV46" i="6" s="1"/>
  <c r="AD481" i="6"/>
  <c r="AV481" i="6" s="1"/>
  <c r="AD121" i="6"/>
  <c r="AV121" i="6" s="1"/>
  <c r="AD516" i="6"/>
  <c r="AV516" i="6" s="1"/>
  <c r="R722" i="6"/>
  <c r="Q262" i="6"/>
  <c r="AI262" i="6" s="1"/>
  <c r="AD431" i="6"/>
  <c r="AV431" i="6" s="1"/>
  <c r="AD451" i="6"/>
  <c r="AV451" i="6" s="1"/>
  <c r="AD601" i="6"/>
  <c r="AV601" i="6" s="1"/>
  <c r="AD651" i="6"/>
  <c r="AV651" i="6" s="1"/>
  <c r="AD296" i="6"/>
  <c r="AV296" i="6" s="1"/>
  <c r="AD646" i="6"/>
  <c r="AV646" i="6" s="1"/>
  <c r="AD16" i="6"/>
  <c r="AV16" i="6" s="1"/>
  <c r="AD181" i="6"/>
  <c r="AV181" i="6" s="1"/>
  <c r="AD391" i="6"/>
  <c r="AV391" i="6" s="1"/>
  <c r="AD346" i="6"/>
  <c r="AV346" i="6" s="1"/>
  <c r="AD201" i="6"/>
  <c r="AV201" i="6" s="1"/>
  <c r="AD216" i="6"/>
  <c r="AV216" i="6" s="1"/>
  <c r="AD766" i="6"/>
  <c r="AV766" i="6" s="1"/>
  <c r="AD546" i="6"/>
  <c r="AV546" i="6" s="1"/>
  <c r="AD406" i="6"/>
  <c r="AV406" i="6" s="1"/>
  <c r="AD581" i="6"/>
  <c r="AV581" i="6" s="1"/>
  <c r="AD311" i="6"/>
  <c r="AV311" i="6" s="1"/>
  <c r="AD556" i="6"/>
  <c r="AV556" i="6" s="1"/>
  <c r="AD111" i="6"/>
  <c r="AV111" i="6" s="1"/>
  <c r="AD106" i="6"/>
  <c r="AV106" i="6" s="1"/>
  <c r="AD101" i="6"/>
  <c r="AV101" i="6" s="1"/>
  <c r="AD326" i="6"/>
  <c r="AV326" i="6" s="1"/>
  <c r="AD351" i="6"/>
  <c r="AV351" i="6" s="1"/>
  <c r="AD151" i="6"/>
  <c r="AV151" i="6" s="1"/>
  <c r="AD671" i="6"/>
  <c r="AV671" i="6" s="1"/>
  <c r="AD731" i="6"/>
  <c r="AV731" i="6" s="1"/>
  <c r="AI621" i="6"/>
  <c r="AD686" i="6"/>
  <c r="AV686" i="6" s="1"/>
  <c r="AD186" i="6"/>
  <c r="AV186" i="6" s="1"/>
  <c r="AD551" i="6"/>
  <c r="AV551" i="6" s="1"/>
  <c r="AD256" i="6"/>
  <c r="AV256" i="6" s="1"/>
  <c r="AD86" i="6"/>
  <c r="AV86" i="6" s="1"/>
  <c r="AD196" i="6"/>
  <c r="AV196" i="6" s="1"/>
  <c r="AD381" i="6"/>
  <c r="AV381" i="6" s="1"/>
  <c r="AD366" i="6"/>
  <c r="AV366" i="6" s="1"/>
  <c r="AD746" i="6"/>
  <c r="AV746" i="6" s="1"/>
  <c r="AD241" i="6"/>
  <c r="AV241" i="6" s="1"/>
  <c r="AD521" i="6"/>
  <c r="AV521" i="6" s="1"/>
  <c r="AD471" i="6"/>
  <c r="AV471" i="6" s="1"/>
  <c r="AD156" i="6"/>
  <c r="AV156" i="6" s="1"/>
  <c r="AD716" i="6"/>
  <c r="AV716" i="6" s="1"/>
  <c r="AD756" i="6"/>
  <c r="AV756" i="6" s="1"/>
  <c r="AD441" i="6"/>
  <c r="AV441" i="6" s="1"/>
  <c r="AD491" i="6"/>
  <c r="AV491" i="6" s="1"/>
  <c r="AD416" i="6"/>
  <c r="AV416" i="6" s="1"/>
  <c r="AD191" i="6"/>
  <c r="AV191" i="6" s="1"/>
  <c r="AD126" i="6"/>
  <c r="AV126" i="6" s="1"/>
  <c r="AD586" i="6"/>
  <c r="AV586" i="6" s="1"/>
  <c r="Q72" i="6"/>
  <c r="AI73" i="6" s="1"/>
  <c r="AD206" i="6"/>
  <c r="AV206" i="6" s="1"/>
  <c r="AD446" i="6"/>
  <c r="AV446" i="6" s="1"/>
  <c r="AD641" i="6"/>
  <c r="AV641" i="6" s="1"/>
  <c r="AD616" i="6"/>
  <c r="AV616" i="6" s="1"/>
  <c r="AD371" i="6"/>
  <c r="AV371" i="6" s="1"/>
  <c r="AD596" i="6"/>
  <c r="AV596" i="6" s="1"/>
  <c r="AD51" i="6"/>
  <c r="AV51" i="6" s="1"/>
  <c r="AD501" i="6"/>
  <c r="AV501" i="6" s="1"/>
  <c r="AD661" i="6"/>
  <c r="AV661" i="6" s="1"/>
  <c r="AD531" i="6"/>
  <c r="AV531" i="6" s="1"/>
  <c r="AD131" i="6"/>
  <c r="AV131" i="6" s="1"/>
  <c r="AD536" i="6"/>
  <c r="AV536" i="6" s="1"/>
  <c r="AD301" i="6"/>
  <c r="AV301" i="6" s="1"/>
  <c r="AD496" i="6"/>
  <c r="AV496" i="6" s="1"/>
  <c r="AD541" i="6"/>
  <c r="AV541" i="6" s="1"/>
  <c r="AD231" i="6"/>
  <c r="AV231" i="6" s="1"/>
  <c r="AD421" i="6"/>
  <c r="AV421" i="6" s="1"/>
  <c r="AD76" i="6"/>
  <c r="AV76" i="6" s="1"/>
  <c r="AD176" i="6"/>
  <c r="AV176" i="6" s="1"/>
  <c r="AD226" i="6"/>
  <c r="AV226" i="6" s="1"/>
  <c r="AD636" i="6"/>
  <c r="AV636" i="6" s="1"/>
  <c r="AD336" i="6"/>
  <c r="AV336" i="6" s="1"/>
  <c r="AD436" i="6"/>
  <c r="AV436" i="6" s="1"/>
  <c r="AD251" i="6"/>
  <c r="AV251" i="6" s="1"/>
  <c r="AD291" i="6"/>
  <c r="AV291" i="6" s="1"/>
  <c r="AD656" i="6"/>
  <c r="AV656" i="6" s="1"/>
  <c r="AI722" i="6"/>
  <c r="AA476" i="6"/>
  <c r="AS476" i="6" s="1"/>
  <c r="AA286" i="6"/>
  <c r="AS286" i="6" s="1"/>
  <c r="AA251" i="6"/>
  <c r="AS251" i="6" s="1"/>
  <c r="AA170" i="6"/>
  <c r="AS170" i="6" s="1"/>
  <c r="AA680" i="6"/>
  <c r="AS680" i="6" s="1"/>
  <c r="AA660" i="6"/>
  <c r="AS660" i="6" s="1"/>
  <c r="AI161" i="6"/>
  <c r="Q162" i="6"/>
  <c r="AI726" i="6"/>
  <c r="Q727" i="6"/>
  <c r="Q632" i="6"/>
  <c r="AI633" i="6" s="1"/>
  <c r="Q322" i="6"/>
  <c r="AI322" i="6" s="1"/>
  <c r="Q312" i="6"/>
  <c r="AI311" i="6"/>
  <c r="Q672" i="6"/>
  <c r="AI671" i="6"/>
  <c r="AI416" i="6"/>
  <c r="Q417" i="6"/>
  <c r="AI316" i="6"/>
  <c r="Q317" i="6"/>
  <c r="AI626" i="6"/>
  <c r="Q627" i="6"/>
  <c r="AD745" i="6"/>
  <c r="AV745" i="6" s="1"/>
  <c r="AD225" i="6"/>
  <c r="AV225" i="6" s="1"/>
  <c r="AD210" i="6"/>
  <c r="AV210" i="6" s="1"/>
  <c r="Q412" i="6"/>
  <c r="AI411" i="6"/>
  <c r="AI216" i="6"/>
  <c r="AD40" i="6"/>
  <c r="AV40" i="6" s="1"/>
  <c r="AD555" i="6"/>
  <c r="AV555" i="6" s="1"/>
  <c r="AD435" i="6"/>
  <c r="AV435" i="6" s="1"/>
  <c r="AD175" i="6"/>
  <c r="AV175" i="6" s="1"/>
  <c r="AD195" i="6"/>
  <c r="AV195" i="6" s="1"/>
  <c r="AD410" i="6"/>
  <c r="AV410" i="6" s="1"/>
  <c r="AD280" i="6"/>
  <c r="AV280" i="6" s="1"/>
  <c r="AD150" i="6"/>
  <c r="AV150" i="6" s="1"/>
  <c r="AD510" i="6"/>
  <c r="AV510" i="6" s="1"/>
  <c r="AD580" i="6"/>
  <c r="AV580" i="6" s="1"/>
  <c r="AD690" i="6"/>
  <c r="AV690" i="6" s="1"/>
  <c r="AD540" i="6"/>
  <c r="AV540" i="6" s="1"/>
  <c r="AD390" i="6"/>
  <c r="AV390" i="6" s="1"/>
  <c r="AD570" i="6"/>
  <c r="AV570" i="6" s="1"/>
  <c r="AD685" i="6"/>
  <c r="AV685" i="6" s="1"/>
  <c r="AD595" i="6"/>
  <c r="AV595" i="6" s="1"/>
  <c r="AD205" i="6"/>
  <c r="AV205" i="6" s="1"/>
  <c r="AD695" i="6"/>
  <c r="AV695" i="6" s="1"/>
  <c r="AD480" i="6"/>
  <c r="AV480" i="6" s="1"/>
  <c r="AD155" i="6"/>
  <c r="AV155" i="6" s="1"/>
  <c r="AD550" i="6"/>
  <c r="AV550" i="6" s="1"/>
  <c r="AD345" i="6"/>
  <c r="AV345" i="6" s="1"/>
  <c r="AD705" i="6"/>
  <c r="AV705" i="6" s="1"/>
  <c r="AD85" i="6"/>
  <c r="AV85" i="6" s="1"/>
  <c r="AD370" i="6"/>
  <c r="AV370" i="6" s="1"/>
  <c r="AD470" i="6"/>
  <c r="AV470" i="6" s="1"/>
  <c r="P6" i="6"/>
  <c r="AA591" i="6"/>
  <c r="AS591" i="6" s="1"/>
  <c r="AA191" i="6"/>
  <c r="AS191" i="6" s="1"/>
  <c r="AA246" i="6"/>
  <c r="AS246" i="6" s="1"/>
  <c r="AA306" i="6"/>
  <c r="AS306" i="6" s="1"/>
  <c r="AA720" i="6"/>
  <c r="AS720" i="6" s="1"/>
  <c r="AA735" i="6"/>
  <c r="AS735" i="6" s="1"/>
  <c r="AA125" i="6"/>
  <c r="AS125" i="6" s="1"/>
  <c r="AI217" i="6"/>
  <c r="AI218" i="6" s="1"/>
  <c r="AI61" i="6"/>
  <c r="Q367" i="6"/>
  <c r="R367" i="6" s="1"/>
  <c r="S367" i="6" s="1"/>
  <c r="AD120" i="6"/>
  <c r="AV120" i="6" s="1"/>
  <c r="AD70" i="6"/>
  <c r="AV70" i="6" s="1"/>
  <c r="AD160" i="6"/>
  <c r="AV160" i="6" s="1"/>
  <c r="AD10" i="6"/>
  <c r="AV10" i="6" s="1"/>
  <c r="AD400" i="6"/>
  <c r="AV400" i="6" s="1"/>
  <c r="AD245" i="6"/>
  <c r="AV245" i="6" s="1"/>
  <c r="AD385" i="6"/>
  <c r="AV385" i="6" s="1"/>
  <c r="AD730" i="6"/>
  <c r="AV730" i="6" s="1"/>
  <c r="AD485" i="6"/>
  <c r="AV485" i="6" s="1"/>
  <c r="AD665" i="6"/>
  <c r="AV665" i="6" s="1"/>
  <c r="AI471" i="6"/>
  <c r="Q472" i="6"/>
  <c r="AI271" i="6"/>
  <c r="Q272" i="6"/>
  <c r="AI676" i="6"/>
  <c r="Q677" i="6"/>
  <c r="AI111" i="6"/>
  <c r="Q112" i="6"/>
  <c r="AI476" i="6"/>
  <c r="Q477" i="6"/>
  <c r="AI171" i="6"/>
  <c r="Q172" i="6"/>
  <c r="R172" i="6" s="1"/>
  <c r="R217" i="6"/>
  <c r="AJ217" i="6" s="1"/>
  <c r="AD305" i="6"/>
  <c r="AV305" i="6" s="1"/>
  <c r="AD630" i="6"/>
  <c r="AV630" i="6" s="1"/>
  <c r="AD675" i="6"/>
  <c r="AV675" i="6" s="1"/>
  <c r="AD140" i="6"/>
  <c r="AV140" i="6" s="1"/>
  <c r="AD170" i="6"/>
  <c r="AV170" i="6" s="1"/>
  <c r="AD100" i="6"/>
  <c r="AV100" i="6" s="1"/>
  <c r="AD455" i="6"/>
  <c r="AV455" i="6" s="1"/>
  <c r="AD320" i="6"/>
  <c r="AV320" i="6" s="1"/>
  <c r="AD635" i="6"/>
  <c r="AV635" i="6" s="1"/>
  <c r="AD560" i="6"/>
  <c r="AV560" i="6" s="1"/>
  <c r="AI11" i="6"/>
  <c r="Q12" i="6"/>
  <c r="AI126" i="6"/>
  <c r="AI421" i="6"/>
  <c r="Q422" i="6"/>
  <c r="AI16" i="6"/>
  <c r="Q167" i="6"/>
  <c r="AI166" i="6"/>
  <c r="AI266" i="6"/>
  <c r="Q267" i="6"/>
  <c r="AI571" i="6"/>
  <c r="Q572" i="6"/>
  <c r="AI211" i="6"/>
  <c r="Q212" i="6"/>
  <c r="AI521" i="6"/>
  <c r="Q522" i="6"/>
  <c r="AD261" i="6"/>
  <c r="AV261" i="6" s="1"/>
  <c r="AV6" i="6"/>
  <c r="AD356" i="6"/>
  <c r="AV356" i="6" s="1"/>
  <c r="AD691" i="6"/>
  <c r="AV691" i="6" s="1"/>
  <c r="AD751" i="6"/>
  <c r="AV751" i="6" s="1"/>
  <c r="AD511" i="6"/>
  <c r="AV511" i="6" s="1"/>
  <c r="AD561" i="6"/>
  <c r="AV561" i="6" s="1"/>
  <c r="AD456" i="6"/>
  <c r="AV456" i="6" s="1"/>
  <c r="AD376" i="6"/>
  <c r="AV376" i="6" s="1"/>
  <c r="AD626" i="6"/>
  <c r="AV626" i="6" s="1"/>
  <c r="AD361" i="6"/>
  <c r="AV361" i="6" s="1"/>
  <c r="AD386" i="6"/>
  <c r="AV386" i="6" s="1"/>
  <c r="AD761" i="6"/>
  <c r="AV761" i="6" s="1"/>
  <c r="AD506" i="6"/>
  <c r="AV506" i="6" s="1"/>
  <c r="AD11" i="6"/>
  <c r="AV11" i="6" s="1"/>
  <c r="AD411" i="6"/>
  <c r="AV411" i="6" s="1"/>
  <c r="AD286" i="6"/>
  <c r="AV286" i="6" s="1"/>
  <c r="AD171" i="6"/>
  <c r="AV171" i="6" s="1"/>
  <c r="AD66" i="6"/>
  <c r="AV66" i="6" s="1"/>
  <c r="AD61" i="6"/>
  <c r="AV61" i="6" s="1"/>
  <c r="AD221" i="6"/>
  <c r="AV221" i="6" s="1"/>
  <c r="AD161" i="6"/>
  <c r="AV161" i="6" s="1"/>
  <c r="AD701" i="6"/>
  <c r="AV701" i="6" s="1"/>
  <c r="AD236" i="6"/>
  <c r="AV236" i="6" s="1"/>
  <c r="AD26" i="6"/>
  <c r="AV26" i="6" s="1"/>
  <c r="AD96" i="6"/>
  <c r="AV96" i="6" s="1"/>
  <c r="AD621" i="6"/>
  <c r="AV621" i="6" s="1"/>
  <c r="AD136" i="6"/>
  <c r="AV136" i="6" s="1"/>
  <c r="AD526" i="6"/>
  <c r="AV526" i="6" s="1"/>
  <c r="AD271" i="6"/>
  <c r="AV271" i="6" s="1"/>
  <c r="AD736" i="6"/>
  <c r="AV736" i="6" s="1"/>
  <c r="AD631" i="6"/>
  <c r="AV631" i="6" s="1"/>
  <c r="AD146" i="6"/>
  <c r="AV146" i="6" s="1"/>
  <c r="AD281" i="6"/>
  <c r="AV281" i="6" s="1"/>
  <c r="AS6" i="6"/>
  <c r="AA206" i="6"/>
  <c r="AS206" i="6" s="1"/>
  <c r="AA766" i="6"/>
  <c r="AS766" i="6" s="1"/>
  <c r="AA546" i="6"/>
  <c r="AS546" i="6" s="1"/>
  <c r="AA46" i="6"/>
  <c r="AS46" i="6" s="1"/>
  <c r="AA321" i="6"/>
  <c r="AS321" i="6" s="1"/>
  <c r="AA166" i="6"/>
  <c r="AS166" i="6" s="1"/>
  <c r="AA346" i="6"/>
  <c r="AS346" i="6" s="1"/>
  <c r="AA281" i="6"/>
  <c r="AS281" i="6" s="1"/>
  <c r="AA746" i="6"/>
  <c r="AS746" i="6" s="1"/>
  <c r="AA291" i="6"/>
  <c r="AS291" i="6" s="1"/>
  <c r="AA31" i="6"/>
  <c r="AS31" i="6" s="1"/>
  <c r="AA271" i="6"/>
  <c r="AS271" i="6" s="1"/>
  <c r="AA636" i="6"/>
  <c r="AS636" i="6" s="1"/>
  <c r="AA336" i="6"/>
  <c r="AS336" i="6" s="1"/>
  <c r="AA86" i="6"/>
  <c r="AS86" i="6" s="1"/>
  <c r="AA106" i="6"/>
  <c r="AS106" i="6" s="1"/>
  <c r="AA551" i="6"/>
  <c r="AS551" i="6" s="1"/>
  <c r="AA411" i="6"/>
  <c r="AS411" i="6" s="1"/>
  <c r="AA736" i="6"/>
  <c r="AS736" i="6" s="1"/>
  <c r="AA421" i="6"/>
  <c r="AS421" i="6" s="1"/>
  <c r="AA491" i="6"/>
  <c r="AS491" i="6" s="1"/>
  <c r="AA741" i="6"/>
  <c r="AS741" i="6" s="1"/>
  <c r="AA51" i="6"/>
  <c r="AS51" i="6" s="1"/>
  <c r="AA646" i="6"/>
  <c r="AS646" i="6" s="1"/>
  <c r="AA301" i="6"/>
  <c r="AS301" i="6" s="1"/>
  <c r="AA241" i="6"/>
  <c r="AS241" i="6" s="1"/>
  <c r="AA371" i="6"/>
  <c r="AS371" i="6" s="1"/>
  <c r="AA621" i="6"/>
  <c r="AS621" i="6" s="1"/>
  <c r="AA276" i="6"/>
  <c r="AS276" i="6" s="1"/>
  <c r="AA566" i="6"/>
  <c r="AS566" i="6" s="1"/>
  <c r="AA296" i="6"/>
  <c r="AS296" i="6" s="1"/>
  <c r="AA151" i="6"/>
  <c r="AS151" i="6" s="1"/>
  <c r="AA361" i="6"/>
  <c r="AS361" i="6" s="1"/>
  <c r="AA661" i="6"/>
  <c r="AS661" i="6" s="1"/>
  <c r="AA641" i="6"/>
  <c r="AS641" i="6" s="1"/>
  <c r="AA66" i="6"/>
  <c r="AS66" i="6" s="1"/>
  <c r="AA146" i="6"/>
  <c r="AS146" i="6" s="1"/>
  <c r="AA11" i="6"/>
  <c r="AS11" i="6" s="1"/>
  <c r="AA256" i="6"/>
  <c r="AS256" i="6" s="1"/>
  <c r="AA526" i="6"/>
  <c r="AS526" i="6" s="1"/>
  <c r="AA131" i="6"/>
  <c r="AS131" i="6" s="1"/>
  <c r="AA356" i="6"/>
  <c r="AS356" i="6" s="1"/>
  <c r="AA511" i="6"/>
  <c r="AS511" i="6" s="1"/>
  <c r="AA266" i="6"/>
  <c r="AS266" i="6" s="1"/>
  <c r="AA616" i="6"/>
  <c r="AS616" i="6" s="1"/>
  <c r="AA496" i="6"/>
  <c r="AS496" i="6" s="1"/>
  <c r="AA611" i="6"/>
  <c r="AS611" i="6" s="1"/>
  <c r="AA116" i="6"/>
  <c r="AS116" i="6" s="1"/>
  <c r="AA396" i="6"/>
  <c r="AS396" i="6" s="1"/>
  <c r="AA721" i="6"/>
  <c r="AS721" i="6" s="1"/>
  <c r="AA196" i="6"/>
  <c r="AS196" i="6" s="1"/>
  <c r="AA451" i="6"/>
  <c r="AS451" i="6" s="1"/>
  <c r="AA326" i="6"/>
  <c r="AS326" i="6" s="1"/>
  <c r="AA236" i="6"/>
  <c r="AS236" i="6" s="1"/>
  <c r="AA216" i="6"/>
  <c r="AS216" i="6" s="1"/>
  <c r="AA521" i="6"/>
  <c r="AS521" i="6" s="1"/>
  <c r="AA761" i="6"/>
  <c r="AS761" i="6" s="1"/>
  <c r="AA401" i="6"/>
  <c r="AS401" i="6" s="1"/>
  <c r="AA756" i="6"/>
  <c r="AS756" i="6" s="1"/>
  <c r="AA261" i="6"/>
  <c r="AS261" i="6" s="1"/>
  <c r="AA436" i="6"/>
  <c r="AS436" i="6" s="1"/>
  <c r="AA571" i="6"/>
  <c r="AS571" i="6" s="1"/>
  <c r="AA221" i="6"/>
  <c r="AS221" i="6" s="1"/>
  <c r="AA96" i="6"/>
  <c r="AS96" i="6" s="1"/>
  <c r="AA366" i="6"/>
  <c r="AS366" i="6" s="1"/>
  <c r="AA61" i="6"/>
  <c r="AS61" i="6" s="1"/>
  <c r="AA101" i="6"/>
  <c r="AS101" i="6" s="1"/>
  <c r="AA691" i="6"/>
  <c r="AS691" i="6" s="1"/>
  <c r="AA181" i="6"/>
  <c r="AS181" i="6" s="1"/>
  <c r="AA601" i="6"/>
  <c r="AS601" i="6" s="1"/>
  <c r="AA686" i="6"/>
  <c r="AS686" i="6" s="1"/>
  <c r="AA531" i="6"/>
  <c r="AS531" i="6" s="1"/>
  <c r="AA716" i="6"/>
  <c r="AS716" i="6" s="1"/>
  <c r="AA486" i="6"/>
  <c r="AS486" i="6" s="1"/>
  <c r="AA536" i="6"/>
  <c r="AS536" i="6" s="1"/>
  <c r="AA36" i="6"/>
  <c r="AS36" i="6" s="1"/>
  <c r="AA606" i="6"/>
  <c r="AS606" i="6" s="1"/>
  <c r="AA231" i="6"/>
  <c r="AS231" i="6" s="1"/>
  <c r="AA126" i="6"/>
  <c r="AS126" i="6" s="1"/>
  <c r="AA506" i="6"/>
  <c r="AS506" i="6" s="1"/>
  <c r="AA626" i="6"/>
  <c r="AS626" i="6" s="1"/>
  <c r="AA481" i="6"/>
  <c r="AS481" i="6" s="1"/>
  <c r="AA676" i="6"/>
  <c r="AS676" i="6" s="1"/>
  <c r="AA416" i="6"/>
  <c r="AS416" i="6" s="1"/>
  <c r="AA651" i="6"/>
  <c r="AS651" i="6" s="1"/>
  <c r="AA541" i="6"/>
  <c r="AS541" i="6" s="1"/>
  <c r="AA161" i="6"/>
  <c r="AS161" i="6" s="1"/>
  <c r="AA381" i="6"/>
  <c r="AS381" i="6" s="1"/>
  <c r="AA426" i="6"/>
  <c r="AS426" i="6" s="1"/>
  <c r="AA171" i="6"/>
  <c r="AS171" i="6" s="1"/>
  <c r="AA431" i="6"/>
  <c r="AS431" i="6" s="1"/>
  <c r="AA406" i="6"/>
  <c r="AS406" i="6" s="1"/>
  <c r="AA696" i="6"/>
  <c r="AS696" i="6" s="1"/>
  <c r="AA111" i="6"/>
  <c r="AS111" i="6" s="1"/>
  <c r="AA311" i="6"/>
  <c r="AS311" i="6" s="1"/>
  <c r="AA156" i="6"/>
  <c r="AS156" i="6" s="1"/>
  <c r="AA201" i="6"/>
  <c r="AS201" i="6" s="1"/>
  <c r="AA136" i="6"/>
  <c r="AS136" i="6" s="1"/>
  <c r="AA501" i="6"/>
  <c r="AS501" i="6" s="1"/>
  <c r="AA71" i="6"/>
  <c r="AS71" i="6" s="1"/>
  <c r="AA391" i="6"/>
  <c r="AS391" i="6" s="1"/>
  <c r="AA726" i="6"/>
  <c r="AS726" i="6" s="1"/>
  <c r="AA376" i="6"/>
  <c r="AS376" i="6" s="1"/>
  <c r="AA596" i="6"/>
  <c r="AS596" i="6" s="1"/>
  <c r="AA341" i="6"/>
  <c r="AS341" i="6" s="1"/>
  <c r="AA226" i="6"/>
  <c r="AS226" i="6" s="1"/>
  <c r="AA556" i="6"/>
  <c r="AS556" i="6" s="1"/>
  <c r="AA701" i="6"/>
  <c r="AS701" i="6" s="1"/>
  <c r="AA141" i="6"/>
  <c r="AS141" i="6" s="1"/>
  <c r="AA41" i="6"/>
  <c r="AS41" i="6" s="1"/>
  <c r="AA81" i="6"/>
  <c r="AS81" i="6" s="1"/>
  <c r="AA351" i="6"/>
  <c r="AS351" i="6" s="1"/>
  <c r="AA186" i="6"/>
  <c r="AS186" i="6" s="1"/>
  <c r="AA645" i="6"/>
  <c r="AS645" i="6" s="1"/>
  <c r="AA65" i="6"/>
  <c r="AS65" i="6" s="1"/>
  <c r="AA425" i="6"/>
  <c r="AS425" i="6" s="1"/>
  <c r="AA405" i="6"/>
  <c r="AS405" i="6" s="1"/>
  <c r="AA710" i="6"/>
  <c r="AS710" i="6" s="1"/>
  <c r="AA260" i="6"/>
  <c r="AS260" i="6" s="1"/>
  <c r="AA250" i="6"/>
  <c r="AS250" i="6" s="1"/>
  <c r="AA215" i="6"/>
  <c r="AS215" i="6" s="1"/>
  <c r="AA210" i="6"/>
  <c r="AS210" i="6" s="1"/>
  <c r="AA400" i="6"/>
  <c r="AS400" i="6" s="1"/>
  <c r="AA690" i="6"/>
  <c r="AS690" i="6" s="1"/>
  <c r="AA80" i="6"/>
  <c r="AS80" i="6" s="1"/>
  <c r="AA555" i="6"/>
  <c r="AS555" i="6" s="1"/>
  <c r="AA470" i="6"/>
  <c r="AS470" i="6" s="1"/>
  <c r="AA750" i="6"/>
  <c r="AS750" i="6" s="1"/>
  <c r="AA95" i="6"/>
  <c r="AS95" i="6" s="1"/>
  <c r="AA475" i="6"/>
  <c r="AS475" i="6" s="1"/>
  <c r="AA530" i="6"/>
  <c r="AS530" i="6" s="1"/>
  <c r="AA255" i="6"/>
  <c r="AS255" i="6" s="1"/>
  <c r="AA240" i="6"/>
  <c r="AS240" i="6" s="1"/>
  <c r="AA535" i="6"/>
  <c r="AS535" i="6" s="1"/>
  <c r="AA265" i="6"/>
  <c r="AS265" i="6" s="1"/>
  <c r="AA290" i="6"/>
  <c r="AS290" i="6" s="1"/>
  <c r="AA175" i="6"/>
  <c r="AS175" i="6" s="1"/>
  <c r="AA305" i="6"/>
  <c r="AS305" i="6" s="1"/>
  <c r="AA150" i="6"/>
  <c r="AS150" i="6" s="1"/>
  <c r="AA620" i="6"/>
  <c r="AS620" i="6" s="1"/>
  <c r="AA420" i="6"/>
  <c r="AS420" i="6" s="1"/>
  <c r="AA230" i="6"/>
  <c r="AS230" i="6" s="1"/>
  <c r="AA370" i="6"/>
  <c r="AS370" i="6" s="1"/>
  <c r="AA615" i="6"/>
  <c r="AS615" i="6" s="1"/>
  <c r="AA280" i="6"/>
  <c r="AS280" i="6" s="1"/>
  <c r="AA455" i="6"/>
  <c r="AS455" i="6" s="1"/>
  <c r="AA190" i="6"/>
  <c r="AS190" i="6" s="1"/>
  <c r="AA435" i="6"/>
  <c r="AS435" i="6" s="1"/>
  <c r="AA580" i="6"/>
  <c r="AS580" i="6" s="1"/>
  <c r="AA245" i="6"/>
  <c r="AS245" i="6" s="1"/>
  <c r="AA360" i="6"/>
  <c r="AS360" i="6" s="1"/>
  <c r="AA270" i="6"/>
  <c r="AS270" i="6" s="1"/>
  <c r="AA20" i="6"/>
  <c r="AS20" i="6" s="1"/>
  <c r="AA365" i="6"/>
  <c r="AS365" i="6" s="1"/>
  <c r="AA635" i="6"/>
  <c r="AS635" i="6" s="1"/>
  <c r="AA505" i="6"/>
  <c r="AS505" i="6" s="1"/>
  <c r="AA220" i="6"/>
  <c r="AS220" i="6" s="1"/>
  <c r="AA715" i="6"/>
  <c r="AS715" i="6" s="1"/>
  <c r="AA685" i="6"/>
  <c r="AS685" i="6" s="1"/>
  <c r="AA375" i="6"/>
  <c r="AS375" i="6" s="1"/>
  <c r="AA110" i="6"/>
  <c r="AS110" i="6" s="1"/>
  <c r="AA155" i="6"/>
  <c r="AS155" i="6" s="1"/>
  <c r="AA430" i="6"/>
  <c r="AS430" i="6" s="1"/>
  <c r="AA165" i="6"/>
  <c r="AS165" i="6" s="1"/>
  <c r="AA45" i="6"/>
  <c r="AS45" i="6" s="1"/>
  <c r="AA480" i="6"/>
  <c r="AS480" i="6" s="1"/>
  <c r="AA600" i="6"/>
  <c r="AS600" i="6" s="1"/>
  <c r="AA490" i="6"/>
  <c r="AS490" i="6" s="1"/>
  <c r="AA235" i="6"/>
  <c r="AS235" i="6" s="1"/>
  <c r="AA540" i="6"/>
  <c r="AS540" i="6" s="1"/>
  <c r="AA70" i="6"/>
  <c r="AS70" i="6" s="1"/>
  <c r="AA195" i="6"/>
  <c r="AS195" i="6" s="1"/>
  <c r="AA740" i="6"/>
  <c r="AS740" i="6" s="1"/>
  <c r="AA130" i="6"/>
  <c r="AS130" i="6" s="1"/>
  <c r="AA630" i="6"/>
  <c r="AS630" i="6" s="1"/>
  <c r="AA550" i="6"/>
  <c r="AS550" i="6" s="1"/>
  <c r="AA445" i="6"/>
  <c r="AS445" i="6" s="1"/>
  <c r="AA310" i="6"/>
  <c r="AS310" i="6" s="1"/>
  <c r="AA590" i="6"/>
  <c r="AS590" i="6" s="1"/>
  <c r="AA450" i="6"/>
  <c r="AS450" i="6" s="1"/>
  <c r="AA585" i="6"/>
  <c r="AS585" i="6" s="1"/>
  <c r="AA180" i="6"/>
  <c r="AS180" i="6" s="1"/>
  <c r="AA275" i="6"/>
  <c r="AS275" i="6" s="1"/>
  <c r="AA605" i="6"/>
  <c r="AS605" i="6" s="1"/>
  <c r="AA140" i="6"/>
  <c r="AS140" i="6" s="1"/>
  <c r="AA570" i="6"/>
  <c r="AS570" i="6" s="1"/>
  <c r="AA115" i="6"/>
  <c r="AS115" i="6" s="1"/>
  <c r="AA745" i="6"/>
  <c r="AS745" i="6" s="1"/>
  <c r="AA665" i="6"/>
  <c r="AS665" i="6" s="1"/>
  <c r="AA345" i="6"/>
  <c r="AS345" i="6" s="1"/>
  <c r="AA725" i="6"/>
  <c r="AS725" i="6" s="1"/>
  <c r="AA225" i="6"/>
  <c r="AS225" i="6" s="1"/>
  <c r="AA655" i="6"/>
  <c r="AS655" i="6" s="1"/>
  <c r="AA755" i="6"/>
  <c r="AS755" i="6" s="1"/>
  <c r="AA355" i="6"/>
  <c r="AS355" i="6" s="1"/>
  <c r="AA765" i="6"/>
  <c r="AS765" i="6" s="1"/>
  <c r="AA60" i="6"/>
  <c r="AS60" i="6" s="1"/>
  <c r="AA30" i="6"/>
  <c r="AS30" i="6" s="1"/>
  <c r="AA35" i="6"/>
  <c r="AS35" i="6" s="1"/>
  <c r="AA315" i="6"/>
  <c r="AS315" i="6" s="1"/>
  <c r="AA40" i="6"/>
  <c r="AS40" i="6" s="1"/>
  <c r="AA160" i="6"/>
  <c r="AS160" i="6" s="1"/>
  <c r="AA520" i="6"/>
  <c r="AS520" i="6" s="1"/>
  <c r="AA10" i="6"/>
  <c r="AS10" i="6" s="1"/>
  <c r="AA380" i="6"/>
  <c r="AS380" i="6" s="1"/>
  <c r="AA515" i="6"/>
  <c r="AS515" i="6" s="1"/>
  <c r="AA510" i="6"/>
  <c r="AS510" i="6" s="1"/>
  <c r="AA185" i="6"/>
  <c r="AS185" i="6" s="1"/>
  <c r="AA760" i="6"/>
  <c r="AS760" i="6" s="1"/>
  <c r="AA525" i="6"/>
  <c r="AS525" i="6" s="1"/>
  <c r="AA730" i="6"/>
  <c r="AS730" i="6" s="1"/>
  <c r="AA105" i="6"/>
  <c r="AS105" i="6" s="1"/>
  <c r="AA545" i="6"/>
  <c r="AS545" i="6" s="1"/>
  <c r="AA640" i="6"/>
  <c r="AS640" i="6" s="1"/>
  <c r="AA700" i="6"/>
  <c r="AS700" i="6" s="1"/>
  <c r="AA100" i="6"/>
  <c r="AS100" i="6" s="1"/>
  <c r="AA335" i="6"/>
  <c r="AS335" i="6" s="1"/>
  <c r="AA410" i="6"/>
  <c r="AS410" i="6" s="1"/>
  <c r="AA415" i="6"/>
  <c r="AS415" i="6" s="1"/>
  <c r="AA675" i="6"/>
  <c r="AS675" i="6" s="1"/>
  <c r="AA670" i="6"/>
  <c r="AS670" i="6" s="1"/>
  <c r="AA485" i="6"/>
  <c r="AS485" i="6" s="1"/>
  <c r="AA650" i="6"/>
  <c r="AS650" i="6" s="1"/>
  <c r="AA595" i="6"/>
  <c r="AS595" i="6" s="1"/>
  <c r="R622" i="6"/>
  <c r="AA26" i="6"/>
  <c r="AS26" i="6" s="1"/>
  <c r="AA121" i="6"/>
  <c r="AS121" i="6" s="1"/>
  <c r="AA21" i="6"/>
  <c r="AS21" i="6" s="1"/>
  <c r="AA441" i="6"/>
  <c r="AS441" i="6" s="1"/>
  <c r="AA711" i="6"/>
  <c r="AS711" i="6" s="1"/>
  <c r="AA16" i="6"/>
  <c r="AS16" i="6" s="1"/>
  <c r="AA176" i="6"/>
  <c r="AS176" i="6" s="1"/>
  <c r="AA586" i="6"/>
  <c r="AS586" i="6" s="1"/>
  <c r="AA75" i="6"/>
  <c r="AS75" i="6" s="1"/>
  <c r="AA200" i="6"/>
  <c r="AS200" i="6" s="1"/>
  <c r="AA25" i="6"/>
  <c r="AS25" i="6" s="1"/>
  <c r="AA625" i="6"/>
  <c r="AS625" i="6" s="1"/>
  <c r="AA395" i="6"/>
  <c r="AS395" i="6" s="1"/>
  <c r="AA50" i="6"/>
  <c r="AS50" i="6" s="1"/>
  <c r="AA340" i="6"/>
  <c r="AS340" i="6" s="1"/>
  <c r="AA495" i="6"/>
  <c r="AS495" i="6" s="1"/>
  <c r="AA385" i="6"/>
  <c r="AS385" i="6" s="1"/>
  <c r="AA560" i="6"/>
  <c r="AS560" i="6" s="1"/>
  <c r="AK476" i="6"/>
  <c r="AA561" i="6"/>
  <c r="AS561" i="6" s="1"/>
  <c r="AA671" i="6"/>
  <c r="AS671" i="6" s="1"/>
  <c r="AA631" i="6"/>
  <c r="AS631" i="6" s="1"/>
  <c r="AA471" i="6"/>
  <c r="AS471" i="6" s="1"/>
  <c r="AA516" i="6"/>
  <c r="AS516" i="6" s="1"/>
  <c r="AA751" i="6"/>
  <c r="AS751" i="6" s="1"/>
  <c r="AA76" i="6"/>
  <c r="AS76" i="6" s="1"/>
  <c r="AA681" i="6"/>
  <c r="AS681" i="6" s="1"/>
  <c r="AA316" i="6"/>
  <c r="AS316" i="6" s="1"/>
  <c r="AA300" i="6"/>
  <c r="AS300" i="6" s="1"/>
  <c r="AA135" i="6"/>
  <c r="AS135" i="6" s="1"/>
  <c r="AA205" i="6"/>
  <c r="AS205" i="6" s="1"/>
  <c r="AA325" i="6"/>
  <c r="AS325" i="6" s="1"/>
  <c r="AA500" i="6"/>
  <c r="AS500" i="6" s="1"/>
  <c r="AA565" i="6"/>
  <c r="AS565" i="6" s="1"/>
  <c r="AA695" i="6"/>
  <c r="AS695" i="6" s="1"/>
  <c r="AA440" i="6"/>
  <c r="AS440" i="6" s="1"/>
  <c r="AA575" i="6"/>
  <c r="AS575" i="6" s="1"/>
  <c r="AA15" i="6"/>
  <c r="AS15" i="6" s="1"/>
  <c r="AI62" i="6"/>
  <c r="R62" i="6"/>
  <c r="S62" i="6" s="1"/>
  <c r="Q18" i="3"/>
  <c r="R18" i="3" s="1"/>
  <c r="V39" i="7"/>
  <c r="A125" i="5"/>
  <c r="B93" i="5"/>
  <c r="D93" i="5"/>
  <c r="C93" i="5"/>
  <c r="C90" i="5"/>
  <c r="D90" i="5"/>
  <c r="B90" i="5"/>
  <c r="A122" i="5"/>
  <c r="B128" i="5"/>
  <c r="A160" i="5"/>
  <c r="C128" i="5"/>
  <c r="D128" i="5"/>
  <c r="D114" i="5"/>
  <c r="C114" i="5"/>
  <c r="A146" i="5"/>
  <c r="B114" i="5"/>
  <c r="B212" i="5"/>
  <c r="A244" i="5"/>
  <c r="D212" i="5"/>
  <c r="C212" i="5"/>
  <c r="D249" i="6"/>
  <c r="E248" i="6" s="1"/>
  <c r="D147" i="6"/>
  <c r="E146" i="6" s="1"/>
  <c r="D18" i="9"/>
  <c r="D14" i="9"/>
  <c r="E13" i="9" s="1"/>
  <c r="E23" i="2"/>
  <c r="F22" i="2" s="1"/>
  <c r="D113" i="6"/>
  <c r="E112" i="6" s="1"/>
  <c r="A177" i="5"/>
  <c r="D145" i="5"/>
  <c r="B145" i="5"/>
  <c r="C145" i="5"/>
  <c r="D232" i="6"/>
  <c r="E231" i="6" s="1"/>
  <c r="Q222" i="6"/>
  <c r="D79" i="6"/>
  <c r="E78" i="6" s="1"/>
  <c r="A142" i="5"/>
  <c r="B110" i="5"/>
  <c r="C110" i="5"/>
  <c r="D110" i="5"/>
  <c r="C76" i="5"/>
  <c r="B76" i="5"/>
  <c r="D76" i="5"/>
  <c r="A108" i="5"/>
  <c r="Q427" i="6"/>
  <c r="Q277" i="6"/>
  <c r="Q737" i="6"/>
  <c r="D198" i="6"/>
  <c r="E197" i="6" s="1"/>
  <c r="A120" i="5"/>
  <c r="B88" i="5"/>
  <c r="D88" i="5"/>
  <c r="C88" i="5"/>
  <c r="C130" i="5"/>
  <c r="B130" i="5"/>
  <c r="A162" i="5"/>
  <c r="D130" i="5"/>
  <c r="B86" i="5"/>
  <c r="D86" i="5"/>
  <c r="C86" i="5"/>
  <c r="A118" i="5"/>
  <c r="M75" i="5" l="1"/>
  <c r="M74" i="5"/>
  <c r="M81" i="5"/>
  <c r="M78" i="5"/>
  <c r="M98" i="5"/>
  <c r="M97" i="5"/>
  <c r="M89" i="5"/>
  <c r="M96" i="5"/>
  <c r="M76" i="5"/>
  <c r="M90" i="5"/>
  <c r="M79" i="5"/>
  <c r="M95" i="5"/>
  <c r="M80" i="5"/>
  <c r="N72" i="5"/>
  <c r="N98" i="5" s="1"/>
  <c r="M77" i="5"/>
  <c r="M92" i="5"/>
  <c r="M82" i="5"/>
  <c r="M85" i="5"/>
  <c r="M84" i="5"/>
  <c r="M94" i="5"/>
  <c r="M87" i="5"/>
  <c r="M88" i="5"/>
  <c r="M86" i="5"/>
  <c r="M83" i="5"/>
  <c r="M93" i="5"/>
  <c r="D10" i="6"/>
  <c r="Q17" i="6" s="1"/>
  <c r="AI18" i="6" s="1"/>
  <c r="F111" i="5"/>
  <c r="F121" i="5"/>
  <c r="F106" i="5"/>
  <c r="F120" i="5"/>
  <c r="F130" i="5"/>
  <c r="F109" i="5"/>
  <c r="M104" i="5"/>
  <c r="M115" i="5" s="1"/>
  <c r="F124" i="5"/>
  <c r="F107" i="5"/>
  <c r="F117" i="5"/>
  <c r="F119" i="5"/>
  <c r="F122" i="5"/>
  <c r="H103" i="5"/>
  <c r="F135" i="5" s="1"/>
  <c r="F125" i="5"/>
  <c r="F127" i="5"/>
  <c r="F108" i="5"/>
  <c r="F110" i="5"/>
  <c r="F123" i="5"/>
  <c r="F113" i="5"/>
  <c r="F112" i="5"/>
  <c r="F126" i="5"/>
  <c r="F118" i="5"/>
  <c r="F114" i="5"/>
  <c r="F129" i="5"/>
  <c r="F128" i="5"/>
  <c r="F115" i="5"/>
  <c r="F116" i="5"/>
  <c r="F11" i="3"/>
  <c r="G10" i="3" s="1"/>
  <c r="P20" i="3"/>
  <c r="P21" i="3" s="1"/>
  <c r="F129" i="6"/>
  <c r="E130" i="6"/>
  <c r="F61" i="6"/>
  <c r="E181" i="6"/>
  <c r="F180" i="6" s="1"/>
  <c r="E28" i="6"/>
  <c r="F27" i="6" s="1"/>
  <c r="F214" i="6"/>
  <c r="E215" i="6"/>
  <c r="E96" i="6"/>
  <c r="F95" i="6" s="1"/>
  <c r="Q687" i="6"/>
  <c r="R687" i="6" s="1"/>
  <c r="S687" i="6" s="1"/>
  <c r="Q537" i="6"/>
  <c r="AI537" i="6" s="1"/>
  <c r="Q77" i="6"/>
  <c r="R77" i="6" s="1"/>
  <c r="S77" i="6" s="1"/>
  <c r="Q377" i="6"/>
  <c r="R377" i="6" s="1"/>
  <c r="S377" i="6" s="1"/>
  <c r="Q637" i="6"/>
  <c r="R637" i="6" s="1"/>
  <c r="Q587" i="6"/>
  <c r="R587" i="6" s="1"/>
  <c r="S587" i="6" s="1"/>
  <c r="Q327" i="6"/>
  <c r="R327" i="6" s="1"/>
  <c r="S327" i="6" s="1"/>
  <c r="E62" i="6"/>
  <c r="Q177" i="6"/>
  <c r="Q178" i="6" s="1"/>
  <c r="B143" i="5"/>
  <c r="C143" i="5"/>
  <c r="A175" i="5"/>
  <c r="D143" i="5"/>
  <c r="F12" i="7"/>
  <c r="H11" i="7" s="1"/>
  <c r="D126" i="5"/>
  <c r="C126" i="5"/>
  <c r="B126" i="5"/>
  <c r="A158" i="5"/>
  <c r="B112" i="5"/>
  <c r="C112" i="5"/>
  <c r="D112" i="5"/>
  <c r="A144" i="5"/>
  <c r="C257" i="5"/>
  <c r="B257" i="5"/>
  <c r="A289" i="5"/>
  <c r="D257" i="5"/>
  <c r="D267" i="5"/>
  <c r="C267" i="5"/>
  <c r="A299" i="5"/>
  <c r="B267" i="5"/>
  <c r="B179" i="5"/>
  <c r="A211" i="5"/>
  <c r="D179" i="5"/>
  <c r="C179" i="5"/>
  <c r="F164" i="6"/>
  <c r="G163" i="6" s="1"/>
  <c r="A156" i="5"/>
  <c r="B124" i="5"/>
  <c r="D124" i="5"/>
  <c r="C124" i="5"/>
  <c r="B117" i="5"/>
  <c r="C117" i="5"/>
  <c r="A149" i="5"/>
  <c r="D117" i="5"/>
  <c r="D279" i="5"/>
  <c r="A311" i="5"/>
  <c r="B279" i="5"/>
  <c r="C279" i="5"/>
  <c r="C223" i="5"/>
  <c r="D223" i="5"/>
  <c r="B223" i="5"/>
  <c r="A255" i="5"/>
  <c r="B219" i="5"/>
  <c r="D219" i="5"/>
  <c r="C219" i="5"/>
  <c r="A251" i="5"/>
  <c r="D185" i="5"/>
  <c r="C185" i="5"/>
  <c r="A217" i="5"/>
  <c r="B185" i="5"/>
  <c r="A205" i="5"/>
  <c r="D173" i="5"/>
  <c r="C173" i="5"/>
  <c r="B173" i="5"/>
  <c r="X160" i="7"/>
  <c r="X159" i="7"/>
  <c r="O4" i="5"/>
  <c r="R532" i="6"/>
  <c r="S532" i="6" s="1"/>
  <c r="AK533" i="6" s="1"/>
  <c r="AI532" i="6"/>
  <c r="R577" i="6"/>
  <c r="S577" i="6" s="1"/>
  <c r="S217" i="6"/>
  <c r="R527" i="6"/>
  <c r="S527" i="6" s="1"/>
  <c r="AK527" i="6" s="1"/>
  <c r="Q578" i="6"/>
  <c r="Q579" i="6" s="1"/>
  <c r="Q68" i="6"/>
  <c r="Q69" i="6" s="1"/>
  <c r="R218" i="6"/>
  <c r="R219" i="6" s="1"/>
  <c r="Q533" i="6"/>
  <c r="Q534" i="6" s="1"/>
  <c r="R362" i="6"/>
  <c r="S362" i="6" s="1"/>
  <c r="AJ117" i="6"/>
  <c r="AJ118" i="6" s="1"/>
  <c r="N46" i="5"/>
  <c r="S117" i="6"/>
  <c r="AK117" i="6" s="1"/>
  <c r="Q118" i="6"/>
  <c r="Q119" i="6" s="1"/>
  <c r="R582" i="6"/>
  <c r="AJ583" i="6" s="1"/>
  <c r="AI683" i="6"/>
  <c r="N56" i="5"/>
  <c r="Q373" i="6"/>
  <c r="Q374" i="6" s="1"/>
  <c r="Q683" i="6"/>
  <c r="Q684" i="6" s="1"/>
  <c r="Q368" i="6"/>
  <c r="Q369" i="6" s="1"/>
  <c r="AI117" i="6"/>
  <c r="AI118" i="6" s="1"/>
  <c r="AI67" i="6"/>
  <c r="AI68" i="6" s="1"/>
  <c r="N86" i="5"/>
  <c r="AI527" i="6"/>
  <c r="AI528" i="6" s="1"/>
  <c r="N59" i="5"/>
  <c r="N62" i="5"/>
  <c r="AI483" i="6"/>
  <c r="N63" i="5"/>
  <c r="N53" i="5"/>
  <c r="N66" i="5"/>
  <c r="N64" i="5"/>
  <c r="N54" i="5"/>
  <c r="N50" i="5"/>
  <c r="N58" i="5"/>
  <c r="N45" i="5"/>
  <c r="N51" i="5"/>
  <c r="R372" i="6"/>
  <c r="S372" i="6" s="1"/>
  <c r="R322" i="6"/>
  <c r="S322" i="6" s="1"/>
  <c r="AK322" i="6" s="1"/>
  <c r="R482" i="6"/>
  <c r="S482" i="6" s="1"/>
  <c r="AK482" i="6" s="1"/>
  <c r="N44" i="5"/>
  <c r="N52" i="5"/>
  <c r="N55" i="5"/>
  <c r="N60" i="5"/>
  <c r="N57" i="5"/>
  <c r="N61" i="5"/>
  <c r="N42" i="5"/>
  <c r="AI373" i="6"/>
  <c r="Q483" i="6"/>
  <c r="Q484" i="6" s="1"/>
  <c r="O40" i="5"/>
  <c r="P40" i="5" s="1"/>
  <c r="N49" i="5"/>
  <c r="N65" i="5"/>
  <c r="N43" i="5"/>
  <c r="N47" i="5"/>
  <c r="R72" i="6"/>
  <c r="AJ72" i="6" s="1"/>
  <c r="AI72" i="6"/>
  <c r="Q19" i="3"/>
  <c r="R19" i="3" s="1"/>
  <c r="F130" i="6"/>
  <c r="R682" i="6"/>
  <c r="S682" i="6" s="1"/>
  <c r="S683" i="6" s="1"/>
  <c r="S684" i="6" s="1"/>
  <c r="AI583" i="6"/>
  <c r="E45" i="6"/>
  <c r="R127" i="6" s="1"/>
  <c r="F44" i="6"/>
  <c r="E266" i="6"/>
  <c r="F265" i="6" s="1"/>
  <c r="AI582" i="6"/>
  <c r="D11" i="6"/>
  <c r="BO3" i="6" s="1"/>
  <c r="Q323" i="6"/>
  <c r="Q324" i="6" s="1"/>
  <c r="AI367" i="6"/>
  <c r="AI368" i="6" s="1"/>
  <c r="D74" i="5"/>
  <c r="C74" i="5"/>
  <c r="A106" i="5"/>
  <c r="B74" i="5"/>
  <c r="Q73" i="6"/>
  <c r="AI323" i="6"/>
  <c r="S172" i="6"/>
  <c r="S173" i="6" s="1"/>
  <c r="S174" i="6" s="1"/>
  <c r="AJ172" i="6"/>
  <c r="Q633" i="6"/>
  <c r="Q634" i="6" s="1"/>
  <c r="P7" i="6"/>
  <c r="AI732" i="6"/>
  <c r="AI632" i="6"/>
  <c r="R17" i="3"/>
  <c r="S17" i="3" s="1"/>
  <c r="Y8" i="7"/>
  <c r="R7" i="6"/>
  <c r="AC4" i="9"/>
  <c r="AJ122" i="6"/>
  <c r="R123" i="6"/>
  <c r="R124" i="6" s="1"/>
  <c r="R262" i="6"/>
  <c r="S262" i="6" s="1"/>
  <c r="AK262" i="6" s="1"/>
  <c r="AJ123" i="6"/>
  <c r="AJ722" i="6"/>
  <c r="AI733" i="6"/>
  <c r="R173" i="6"/>
  <c r="R174" i="6" s="1"/>
  <c r="S122" i="6"/>
  <c r="AK122" i="6" s="1"/>
  <c r="S722" i="6"/>
  <c r="Q733" i="6"/>
  <c r="Q734" i="6" s="1"/>
  <c r="AI167" i="6"/>
  <c r="AI168" i="6" s="1"/>
  <c r="Q168" i="6"/>
  <c r="AI422" i="6"/>
  <c r="R422" i="6"/>
  <c r="AI423" i="6"/>
  <c r="Q423" i="6"/>
  <c r="Y15" i="7"/>
  <c r="AC11" i="9"/>
  <c r="AC13" i="9" s="1"/>
  <c r="AI12" i="6"/>
  <c r="AI13" i="6" s="1"/>
  <c r="Q13" i="6"/>
  <c r="R12" i="6"/>
  <c r="S12" i="6" s="1"/>
  <c r="AI112" i="6"/>
  <c r="R112" i="6"/>
  <c r="S112" i="6" s="1"/>
  <c r="T112" i="6" s="1"/>
  <c r="AL113" i="6" s="1"/>
  <c r="Q273" i="6"/>
  <c r="Q274" i="6" s="1"/>
  <c r="AI273" i="6"/>
  <c r="R272" i="6"/>
  <c r="AI272" i="6"/>
  <c r="R672" i="6"/>
  <c r="S672" i="6" s="1"/>
  <c r="AI672" i="6"/>
  <c r="R632" i="6"/>
  <c r="AJ633" i="6" s="1"/>
  <c r="R212" i="6"/>
  <c r="AI212" i="6"/>
  <c r="Q268" i="6"/>
  <c r="Q269" i="6" s="1"/>
  <c r="AI267" i="6"/>
  <c r="AI268" i="6" s="1"/>
  <c r="R267" i="6"/>
  <c r="Q478" i="6"/>
  <c r="Q479" i="6" s="1"/>
  <c r="AI477" i="6"/>
  <c r="AI478" i="6" s="1"/>
  <c r="R477" i="6"/>
  <c r="AI412" i="6"/>
  <c r="R412" i="6"/>
  <c r="Q628" i="6"/>
  <c r="Q629" i="6" s="1"/>
  <c r="AI627" i="6"/>
  <c r="AI628" i="6" s="1"/>
  <c r="R627" i="6"/>
  <c r="Q418" i="6"/>
  <c r="Q419" i="6" s="1"/>
  <c r="R417" i="6"/>
  <c r="AI417" i="6"/>
  <c r="AI418" i="6" s="1"/>
  <c r="AI727" i="6"/>
  <c r="AI728" i="6" s="1"/>
  <c r="R727" i="6"/>
  <c r="Q728" i="6"/>
  <c r="Q729" i="6" s="1"/>
  <c r="AI17" i="6"/>
  <c r="AI127" i="6"/>
  <c r="AI128" i="6" s="1"/>
  <c r="Q128" i="6"/>
  <c r="R167" i="6"/>
  <c r="R677" i="6"/>
  <c r="Q678" i="6"/>
  <c r="AI677" i="6"/>
  <c r="AI678" i="6" s="1"/>
  <c r="R472" i="6"/>
  <c r="S472" i="6" s="1"/>
  <c r="AI472" i="6"/>
  <c r="R312" i="6"/>
  <c r="AI312" i="6"/>
  <c r="AJ173" i="6"/>
  <c r="R522" i="6"/>
  <c r="S522" i="6" s="1"/>
  <c r="AI522" i="6"/>
  <c r="AI572" i="6"/>
  <c r="R572" i="6"/>
  <c r="Q173" i="6"/>
  <c r="Q174" i="6" s="1"/>
  <c r="AI173" i="6"/>
  <c r="AI172" i="6"/>
  <c r="AI317" i="6"/>
  <c r="AI318" i="6" s="1"/>
  <c r="Q318" i="6"/>
  <c r="R317" i="6"/>
  <c r="R162" i="6"/>
  <c r="AI162" i="6"/>
  <c r="AK67" i="6"/>
  <c r="AK68" i="6" s="1"/>
  <c r="AJ622" i="6"/>
  <c r="S622" i="6"/>
  <c r="AJ67" i="6"/>
  <c r="AJ68" i="6" s="1"/>
  <c r="T67" i="6"/>
  <c r="U67" i="6" s="1"/>
  <c r="R68" i="6"/>
  <c r="R69" i="6" s="1"/>
  <c r="T367" i="6"/>
  <c r="AK367" i="6"/>
  <c r="AJ367" i="6"/>
  <c r="AJ368" i="6" s="1"/>
  <c r="R368" i="6"/>
  <c r="R369" i="6" s="1"/>
  <c r="AK62" i="6"/>
  <c r="R16" i="3"/>
  <c r="S18" i="3"/>
  <c r="AJ62" i="6"/>
  <c r="T62" i="6"/>
  <c r="B118" i="5"/>
  <c r="C118" i="5"/>
  <c r="A150" i="5"/>
  <c r="D118" i="5"/>
  <c r="C162" i="5"/>
  <c r="D162" i="5"/>
  <c r="B162" i="5"/>
  <c r="A194" i="5"/>
  <c r="AI487" i="6"/>
  <c r="R487" i="6"/>
  <c r="Q488" i="6"/>
  <c r="D142" i="5"/>
  <c r="C142" i="5"/>
  <c r="B142" i="5"/>
  <c r="A174" i="5"/>
  <c r="F78" i="6"/>
  <c r="E79" i="6"/>
  <c r="Q227" i="6"/>
  <c r="AJ732" i="6"/>
  <c r="R733" i="6"/>
  <c r="T732" i="6"/>
  <c r="U732" i="6" s="1"/>
  <c r="AJ733" i="6"/>
  <c r="B125" i="5"/>
  <c r="A157" i="5"/>
  <c r="D125" i="5"/>
  <c r="C125" i="5"/>
  <c r="E198" i="6"/>
  <c r="F197" i="6"/>
  <c r="R737" i="6"/>
  <c r="S737" i="6" s="1"/>
  <c r="Q738" i="6"/>
  <c r="AI737" i="6"/>
  <c r="R277" i="6"/>
  <c r="S277" i="6" s="1"/>
  <c r="Q278" i="6"/>
  <c r="AI277" i="6"/>
  <c r="Q428" i="6"/>
  <c r="AI427" i="6"/>
  <c r="R427" i="6"/>
  <c r="S427" i="6" s="1"/>
  <c r="G27" i="6"/>
  <c r="Q82" i="6"/>
  <c r="Q332" i="6"/>
  <c r="Q592" i="6"/>
  <c r="Q492" i="6"/>
  <c r="Q542" i="6"/>
  <c r="Q642" i="6"/>
  <c r="Q742" i="6"/>
  <c r="Q382" i="6"/>
  <c r="Q432" i="6"/>
  <c r="Q282" i="6"/>
  <c r="F28" i="6"/>
  <c r="Q692" i="6"/>
  <c r="B108" i="5"/>
  <c r="D108" i="5"/>
  <c r="A140" i="5"/>
  <c r="C108" i="5"/>
  <c r="C177" i="5"/>
  <c r="B177" i="5"/>
  <c r="D177" i="5"/>
  <c r="A209" i="5"/>
  <c r="F23" i="2"/>
  <c r="G22" i="2" s="1"/>
  <c r="B244" i="5"/>
  <c r="D244" i="5"/>
  <c r="A276" i="5"/>
  <c r="C244" i="5"/>
  <c r="B160" i="5"/>
  <c r="D160" i="5"/>
  <c r="C160" i="5"/>
  <c r="A192" i="5"/>
  <c r="D122" i="5"/>
  <c r="C122" i="5"/>
  <c r="B122" i="5"/>
  <c r="A154" i="5"/>
  <c r="AK732" i="6"/>
  <c r="AK733" i="6"/>
  <c r="S733" i="6"/>
  <c r="E113" i="6"/>
  <c r="F112" i="6" s="1"/>
  <c r="E147" i="6"/>
  <c r="F146" i="6"/>
  <c r="E249" i="6"/>
  <c r="F248" i="6"/>
  <c r="B146" i="5"/>
  <c r="A178" i="5"/>
  <c r="D146" i="5"/>
  <c r="C146" i="5"/>
  <c r="C120" i="5"/>
  <c r="D120" i="5"/>
  <c r="A152" i="5"/>
  <c r="B120" i="5"/>
  <c r="AJ218" i="6"/>
  <c r="Q78" i="6"/>
  <c r="F62" i="6"/>
  <c r="G61" i="6" s="1"/>
  <c r="Q182" i="6"/>
  <c r="Q223" i="6"/>
  <c r="AI223" i="6"/>
  <c r="AI222" i="6"/>
  <c r="R222" i="6"/>
  <c r="S222" i="6" s="1"/>
  <c r="E232" i="6"/>
  <c r="F231" i="6" s="1"/>
  <c r="E18" i="9"/>
  <c r="E14" i="9"/>
  <c r="F13" i="9" s="1"/>
  <c r="Q378" i="6" l="1"/>
  <c r="N79" i="5"/>
  <c r="N74" i="5"/>
  <c r="N87" i="5"/>
  <c r="N78" i="5"/>
  <c r="N94" i="5"/>
  <c r="N84" i="5"/>
  <c r="AI377" i="6"/>
  <c r="AI378" i="6" s="1"/>
  <c r="AI687" i="6"/>
  <c r="AI688" i="6" s="1"/>
  <c r="R177" i="6"/>
  <c r="S177" i="6" s="1"/>
  <c r="AK177" i="6" s="1"/>
  <c r="AK178" i="6" s="1"/>
  <c r="Q638" i="6"/>
  <c r="Q639" i="6" s="1"/>
  <c r="Q688" i="6"/>
  <c r="Q689" i="6" s="1"/>
  <c r="AI637" i="6"/>
  <c r="AI638" i="6" s="1"/>
  <c r="AI177" i="6"/>
  <c r="AI178" i="6" s="1"/>
  <c r="Q538" i="6"/>
  <c r="Q539" i="6" s="1"/>
  <c r="M111" i="5"/>
  <c r="M122" i="5"/>
  <c r="M107" i="5"/>
  <c r="M128" i="5"/>
  <c r="M125" i="5"/>
  <c r="R537" i="6"/>
  <c r="S537" i="6" s="1"/>
  <c r="AK537" i="6" s="1"/>
  <c r="AK538" i="6" s="1"/>
  <c r="Q588" i="6"/>
  <c r="Q589" i="6" s="1"/>
  <c r="M109" i="5"/>
  <c r="M117" i="5"/>
  <c r="M126" i="5"/>
  <c r="M114" i="5"/>
  <c r="M121" i="5"/>
  <c r="M108" i="5"/>
  <c r="M106" i="5"/>
  <c r="M130" i="5"/>
  <c r="M123" i="5"/>
  <c r="M112" i="5"/>
  <c r="M118" i="5"/>
  <c r="M129" i="5"/>
  <c r="M127" i="5"/>
  <c r="N104" i="5"/>
  <c r="N108" i="5" s="1"/>
  <c r="M124" i="5"/>
  <c r="M119" i="5"/>
  <c r="M120" i="5"/>
  <c r="M116" i="5"/>
  <c r="M113" i="5"/>
  <c r="M110" i="5"/>
  <c r="Q328" i="6"/>
  <c r="Q329" i="6" s="1"/>
  <c r="Q18" i="6"/>
  <c r="Q19" i="6" s="1"/>
  <c r="BO2" i="6"/>
  <c r="N80" i="5"/>
  <c r="N77" i="5"/>
  <c r="O72" i="5"/>
  <c r="P72" i="5" s="1"/>
  <c r="N95" i="5"/>
  <c r="N75" i="5"/>
  <c r="N82" i="5"/>
  <c r="AI77" i="6"/>
  <c r="AI78" i="6" s="1"/>
  <c r="AI327" i="6"/>
  <c r="AI328" i="6" s="1"/>
  <c r="AC17" i="9"/>
  <c r="AC19" i="9" s="1"/>
  <c r="Y21" i="7"/>
  <c r="Y93" i="7" s="1"/>
  <c r="Y96" i="7" s="1"/>
  <c r="N76" i="5"/>
  <c r="N93" i="5"/>
  <c r="N92" i="5"/>
  <c r="N90" i="5"/>
  <c r="N88" i="5"/>
  <c r="N85" i="5"/>
  <c r="N81" i="5"/>
  <c r="N91" i="5"/>
  <c r="N97" i="5"/>
  <c r="N89" i="5"/>
  <c r="N83" i="5"/>
  <c r="N96" i="5"/>
  <c r="E10" i="6"/>
  <c r="BP2" i="6" s="1"/>
  <c r="Q20" i="3"/>
  <c r="R20" i="3" s="1"/>
  <c r="S20" i="3" s="1"/>
  <c r="G11" i="3"/>
  <c r="L12" i="7" s="1"/>
  <c r="G14" i="9" s="1"/>
  <c r="L11" i="7"/>
  <c r="G13" i="9" s="1"/>
  <c r="G18" i="9" s="1"/>
  <c r="F96" i="6"/>
  <c r="G95" i="6" s="1"/>
  <c r="F181" i="6"/>
  <c r="G180" i="6" s="1"/>
  <c r="M136" i="5"/>
  <c r="F144" i="5"/>
  <c r="F138" i="5"/>
  <c r="F162" i="5"/>
  <c r="F161" i="5"/>
  <c r="F140" i="5"/>
  <c r="F159" i="5"/>
  <c r="F139" i="5"/>
  <c r="F153" i="5"/>
  <c r="F141" i="5"/>
  <c r="F146" i="5"/>
  <c r="F156" i="5"/>
  <c r="F149" i="5"/>
  <c r="F145" i="5"/>
  <c r="F143" i="5"/>
  <c r="F155" i="5"/>
  <c r="F152" i="5"/>
  <c r="F157" i="5"/>
  <c r="F158" i="5"/>
  <c r="F154" i="5"/>
  <c r="H135" i="5"/>
  <c r="F147" i="5"/>
  <c r="F160" i="5"/>
  <c r="F151" i="5"/>
  <c r="F167" i="5"/>
  <c r="F150" i="5"/>
  <c r="F148" i="5"/>
  <c r="F142" i="5"/>
  <c r="AI587" i="6"/>
  <c r="AI588" i="6" s="1"/>
  <c r="G129" i="6"/>
  <c r="F215" i="6"/>
  <c r="G214" i="6"/>
  <c r="AK217" i="6"/>
  <c r="T217" i="6"/>
  <c r="AL217" i="6" s="1"/>
  <c r="D311" i="5"/>
  <c r="C311" i="5"/>
  <c r="B311" i="5"/>
  <c r="A243" i="5"/>
  <c r="D211" i="5"/>
  <c r="C211" i="5"/>
  <c r="B211" i="5"/>
  <c r="X161" i="7"/>
  <c r="X162" i="7"/>
  <c r="X163" i="7" s="1"/>
  <c r="C205" i="5"/>
  <c r="B205" i="5"/>
  <c r="A237" i="5"/>
  <c r="D205" i="5"/>
  <c r="B156" i="5"/>
  <c r="C156" i="5"/>
  <c r="A188" i="5"/>
  <c r="D156" i="5"/>
  <c r="A207" i="5"/>
  <c r="C175" i="5"/>
  <c r="B175" i="5"/>
  <c r="D175" i="5"/>
  <c r="B251" i="5"/>
  <c r="A283" i="5"/>
  <c r="C251" i="5"/>
  <c r="D251" i="5"/>
  <c r="B255" i="5"/>
  <c r="A287" i="5"/>
  <c r="D255" i="5"/>
  <c r="C255" i="5"/>
  <c r="D144" i="5"/>
  <c r="C144" i="5"/>
  <c r="A176" i="5"/>
  <c r="B144" i="5"/>
  <c r="C158" i="5"/>
  <c r="B158" i="5"/>
  <c r="D158" i="5"/>
  <c r="A190" i="5"/>
  <c r="C217" i="5"/>
  <c r="A249" i="5"/>
  <c r="B217" i="5"/>
  <c r="D217" i="5"/>
  <c r="D149" i="5"/>
  <c r="B149" i="5"/>
  <c r="A181" i="5"/>
  <c r="C149" i="5"/>
  <c r="G164" i="6"/>
  <c r="H163" i="6" s="1"/>
  <c r="B299" i="5"/>
  <c r="D299" i="5"/>
  <c r="C299" i="5"/>
  <c r="D289" i="5"/>
  <c r="C289" i="5"/>
  <c r="B289" i="5"/>
  <c r="A321" i="5"/>
  <c r="H12" i="7"/>
  <c r="J11" i="7" s="1"/>
  <c r="J12" i="7" s="1"/>
  <c r="AJ577" i="6"/>
  <c r="AJ578" i="6" s="1"/>
  <c r="AJ582" i="6"/>
  <c r="AK577" i="6"/>
  <c r="T577" i="6"/>
  <c r="U577" i="6" s="1"/>
  <c r="U578" i="6" s="1"/>
  <c r="U579" i="6" s="1"/>
  <c r="AK532" i="6"/>
  <c r="R578" i="6"/>
  <c r="R579" i="6" s="1"/>
  <c r="P4" i="5"/>
  <c r="R528" i="6"/>
  <c r="R529" i="6" s="1"/>
  <c r="R533" i="6"/>
  <c r="R534" i="6" s="1"/>
  <c r="AJ533" i="6"/>
  <c r="AJ532" i="6"/>
  <c r="T532" i="6"/>
  <c r="AL532" i="6" s="1"/>
  <c r="AJ362" i="6"/>
  <c r="S533" i="6"/>
  <c r="S534" i="6" s="1"/>
  <c r="T117" i="6"/>
  <c r="AL117" i="6" s="1"/>
  <c r="T527" i="6"/>
  <c r="U527" i="6" s="1"/>
  <c r="U528" i="6" s="1"/>
  <c r="U529" i="6" s="1"/>
  <c r="AJ483" i="6"/>
  <c r="AJ527" i="6"/>
  <c r="AJ528" i="6" s="1"/>
  <c r="P23" i="3"/>
  <c r="S582" i="6"/>
  <c r="AK583" i="6" s="1"/>
  <c r="T682" i="6"/>
  <c r="AK683" i="6"/>
  <c r="R583" i="6"/>
  <c r="R584" i="6" s="1"/>
  <c r="AK483" i="6"/>
  <c r="R483" i="6"/>
  <c r="R484" i="6" s="1"/>
  <c r="S72" i="6"/>
  <c r="T72" i="6" s="1"/>
  <c r="Q40" i="5"/>
  <c r="Q43" i="5" s="1"/>
  <c r="AJ373" i="6"/>
  <c r="T322" i="6"/>
  <c r="AK323" i="6"/>
  <c r="AJ73" i="6"/>
  <c r="P22" i="3"/>
  <c r="AJ482" i="6"/>
  <c r="S483" i="6"/>
  <c r="S484" i="6" s="1"/>
  <c r="R73" i="6"/>
  <c r="R74" i="6" s="1"/>
  <c r="T482" i="6"/>
  <c r="R633" i="6"/>
  <c r="R634" i="6" s="1"/>
  <c r="AJ323" i="6"/>
  <c r="S323" i="6"/>
  <c r="S324" i="6" s="1"/>
  <c r="AJ322" i="6"/>
  <c r="T17" i="3"/>
  <c r="U17" i="3" s="1"/>
  <c r="AJ262" i="6"/>
  <c r="R323" i="6"/>
  <c r="R324" i="6" s="1"/>
  <c r="AJ372" i="6"/>
  <c r="AK682" i="6"/>
  <c r="R683" i="6"/>
  <c r="R684" i="6" s="1"/>
  <c r="AJ682" i="6"/>
  <c r="R373" i="6"/>
  <c r="R374" i="6" s="1"/>
  <c r="AK172" i="6"/>
  <c r="AJ683" i="6"/>
  <c r="T362" i="6"/>
  <c r="AL363" i="6" s="1"/>
  <c r="S19" i="3"/>
  <c r="T19" i="3" s="1"/>
  <c r="S127" i="6"/>
  <c r="T127" i="6" s="1"/>
  <c r="U127" i="6" s="1"/>
  <c r="AJ127" i="6"/>
  <c r="AJ128" i="6" s="1"/>
  <c r="R128" i="6"/>
  <c r="R129" i="6" s="1"/>
  <c r="F170" i="5"/>
  <c r="F184" i="5"/>
  <c r="F180" i="5"/>
  <c r="F175" i="5"/>
  <c r="M168" i="5"/>
  <c r="F181" i="5"/>
  <c r="F185" i="5"/>
  <c r="F173" i="5"/>
  <c r="F188" i="5"/>
  <c r="F179" i="5"/>
  <c r="F174" i="5"/>
  <c r="F194" i="5"/>
  <c r="H167" i="5"/>
  <c r="F199" i="5" s="1"/>
  <c r="F172" i="5"/>
  <c r="F192" i="5"/>
  <c r="F186" i="5"/>
  <c r="F183" i="5"/>
  <c r="F182" i="5"/>
  <c r="F176" i="5"/>
  <c r="F189" i="5"/>
  <c r="F266" i="6"/>
  <c r="AJ632" i="6"/>
  <c r="S632" i="6"/>
  <c r="T632" i="6" s="1"/>
  <c r="R17" i="6"/>
  <c r="R18" i="6" s="1"/>
  <c r="R19" i="6" s="1"/>
  <c r="A138" i="5"/>
  <c r="C106" i="5"/>
  <c r="D106" i="5"/>
  <c r="B106" i="5"/>
  <c r="G44" i="6"/>
  <c r="Q132" i="6"/>
  <c r="F45" i="6"/>
  <c r="AK173" i="6"/>
  <c r="T172" i="6"/>
  <c r="U172" i="6" s="1"/>
  <c r="G130" i="6"/>
  <c r="H129" i="6" s="1"/>
  <c r="Q74" i="6"/>
  <c r="AA15" i="7"/>
  <c r="AA87" i="7" s="1"/>
  <c r="T12" i="6"/>
  <c r="U12" i="6" s="1"/>
  <c r="AC15" i="7" s="1"/>
  <c r="Y80" i="7"/>
  <c r="T262" i="6"/>
  <c r="AL262" i="6" s="1"/>
  <c r="AD4" i="9"/>
  <c r="Z8" i="7"/>
  <c r="AJ7" i="6"/>
  <c r="S7" i="6"/>
  <c r="T7" i="6" s="1"/>
  <c r="T122" i="6"/>
  <c r="AK123" i="6"/>
  <c r="U112" i="6"/>
  <c r="U113" i="6" s="1"/>
  <c r="U114" i="6" s="1"/>
  <c r="S123" i="6"/>
  <c r="S124" i="6" s="1"/>
  <c r="T722" i="6"/>
  <c r="U722" i="6" s="1"/>
  <c r="AK722" i="6"/>
  <c r="Q772" i="6"/>
  <c r="AK522" i="6"/>
  <c r="AJ312" i="6"/>
  <c r="AJ677" i="6"/>
  <c r="AJ678" i="6" s="1"/>
  <c r="R678" i="6"/>
  <c r="R679" i="6" s="1"/>
  <c r="AJ477" i="6"/>
  <c r="AJ478" i="6" s="1"/>
  <c r="R478" i="6"/>
  <c r="R479" i="6" s="1"/>
  <c r="S477" i="6"/>
  <c r="Z15" i="7"/>
  <c r="AJ12" i="6"/>
  <c r="AJ13" i="6" s="1"/>
  <c r="R13" i="6"/>
  <c r="R14" i="6" s="1"/>
  <c r="AD11" i="9"/>
  <c r="AD13" i="9" s="1"/>
  <c r="Y18" i="7"/>
  <c r="Y17" i="7"/>
  <c r="Y87" i="7"/>
  <c r="Y90" i="7" s="1"/>
  <c r="Y89" i="7"/>
  <c r="AJ423" i="6"/>
  <c r="S422" i="6"/>
  <c r="T422" i="6" s="1"/>
  <c r="R423" i="6"/>
  <c r="R424" i="6" s="1"/>
  <c r="AJ422" i="6"/>
  <c r="AE11" i="9"/>
  <c r="T113" i="6"/>
  <c r="T114" i="6" s="1"/>
  <c r="R318" i="6"/>
  <c r="R319" i="6" s="1"/>
  <c r="AJ317" i="6"/>
  <c r="AJ318" i="6" s="1"/>
  <c r="S317" i="6"/>
  <c r="AJ167" i="6"/>
  <c r="AJ168" i="6" s="1"/>
  <c r="R168" i="6"/>
  <c r="R169" i="6" s="1"/>
  <c r="AJ727" i="6"/>
  <c r="AJ728" i="6" s="1"/>
  <c r="S727" i="6"/>
  <c r="R728" i="6"/>
  <c r="R729" i="6" s="1"/>
  <c r="AJ417" i="6"/>
  <c r="AJ418" i="6" s="1"/>
  <c r="R418" i="6"/>
  <c r="R419" i="6" s="1"/>
  <c r="S412" i="6"/>
  <c r="AJ412" i="6"/>
  <c r="AJ212" i="6"/>
  <c r="S212" i="6"/>
  <c r="Q14" i="6"/>
  <c r="AK12" i="6"/>
  <c r="AK112" i="6"/>
  <c r="AL112" i="6"/>
  <c r="S572" i="6"/>
  <c r="AJ572" i="6"/>
  <c r="AJ522" i="6"/>
  <c r="T522" i="6"/>
  <c r="S312" i="6"/>
  <c r="AK472" i="6"/>
  <c r="Q679" i="6"/>
  <c r="Q129" i="6"/>
  <c r="S167" i="6"/>
  <c r="T672" i="6"/>
  <c r="U672" i="6" s="1"/>
  <c r="AK672" i="6"/>
  <c r="AJ272" i="6"/>
  <c r="R273" i="6"/>
  <c r="R274" i="6" s="1"/>
  <c r="S272" i="6"/>
  <c r="AJ273" i="6"/>
  <c r="Q424" i="6"/>
  <c r="Q169" i="6"/>
  <c r="S162" i="6"/>
  <c r="AJ162" i="6"/>
  <c r="Q319" i="6"/>
  <c r="T472" i="6"/>
  <c r="AJ472" i="6"/>
  <c r="S677" i="6"/>
  <c r="S417" i="6"/>
  <c r="S627" i="6"/>
  <c r="R628" i="6"/>
  <c r="R629" i="6" s="1"/>
  <c r="AJ627" i="6"/>
  <c r="AJ628" i="6" s="1"/>
  <c r="R268" i="6"/>
  <c r="R269" i="6" s="1"/>
  <c r="AJ267" i="6"/>
  <c r="AJ268" i="6" s="1"/>
  <c r="S267" i="6"/>
  <c r="AJ672" i="6"/>
  <c r="AJ112" i="6"/>
  <c r="AM67" i="6"/>
  <c r="AM68" i="6" s="1"/>
  <c r="U68" i="6"/>
  <c r="U69" i="6" s="1"/>
  <c r="AK622" i="6"/>
  <c r="V67" i="6"/>
  <c r="AL67" i="6"/>
  <c r="AL68" i="6" s="1"/>
  <c r="T622" i="6"/>
  <c r="U622" i="6" s="1"/>
  <c r="AK362" i="6"/>
  <c r="U62" i="6"/>
  <c r="V62" i="6" s="1"/>
  <c r="T63" i="6"/>
  <c r="T64" i="6" s="1"/>
  <c r="AL62" i="6"/>
  <c r="AL63" i="6"/>
  <c r="AL367" i="6"/>
  <c r="U367" i="6"/>
  <c r="V367" i="6" s="1"/>
  <c r="T18" i="3"/>
  <c r="U18" i="3" s="1"/>
  <c r="S16" i="3"/>
  <c r="AK737" i="6"/>
  <c r="AK738" i="6" s="1"/>
  <c r="S738" i="6"/>
  <c r="AK277" i="6"/>
  <c r="AK278" i="6" s="1"/>
  <c r="S278" i="6"/>
  <c r="S279" i="6" s="1"/>
  <c r="S178" i="6"/>
  <c r="S179" i="6" s="1"/>
  <c r="AK427" i="6"/>
  <c r="AK428" i="6" s="1"/>
  <c r="S428" i="6"/>
  <c r="S429" i="6" s="1"/>
  <c r="S588" i="6"/>
  <c r="S589" i="6" s="1"/>
  <c r="AK587" i="6"/>
  <c r="AK588" i="6" s="1"/>
  <c r="AK373" i="6"/>
  <c r="S373" i="6"/>
  <c r="AK372" i="6"/>
  <c r="Q179" i="6"/>
  <c r="AJ637" i="6"/>
  <c r="AJ638" i="6" s="1"/>
  <c r="R638" i="6"/>
  <c r="R639" i="6" s="1"/>
  <c r="AK377" i="6"/>
  <c r="AK378" i="6" s="1"/>
  <c r="S378" i="6"/>
  <c r="S379" i="6" s="1"/>
  <c r="D178" i="5"/>
  <c r="C178" i="5"/>
  <c r="A210" i="5"/>
  <c r="B178" i="5"/>
  <c r="D192" i="5"/>
  <c r="C192" i="5"/>
  <c r="B192" i="5"/>
  <c r="A224" i="5"/>
  <c r="H22" i="2"/>
  <c r="G23" i="2"/>
  <c r="C140" i="5"/>
  <c r="A172" i="5"/>
  <c r="D140" i="5"/>
  <c r="B140" i="5"/>
  <c r="R492" i="6"/>
  <c r="AI492" i="6"/>
  <c r="Q493" i="6"/>
  <c r="Q83" i="6"/>
  <c r="R82" i="6"/>
  <c r="S82" i="6" s="1"/>
  <c r="AI82" i="6"/>
  <c r="AI428" i="6"/>
  <c r="Q739" i="6"/>
  <c r="AL732" i="6"/>
  <c r="V732" i="6"/>
  <c r="W732" i="6" s="1"/>
  <c r="R223" i="6"/>
  <c r="R224" i="6" s="1"/>
  <c r="AJ223" i="6"/>
  <c r="T222" i="6"/>
  <c r="U222" i="6" s="1"/>
  <c r="AJ222" i="6"/>
  <c r="Q183" i="6"/>
  <c r="AI182" i="6"/>
  <c r="R182" i="6"/>
  <c r="S182" i="6" s="1"/>
  <c r="AJ377" i="6"/>
  <c r="AJ378" i="6" s="1"/>
  <c r="T377" i="6"/>
  <c r="U377" i="6" s="1"/>
  <c r="R378" i="6"/>
  <c r="R379" i="6" s="1"/>
  <c r="AJ77" i="6"/>
  <c r="AJ78" i="6" s="1"/>
  <c r="R78" i="6"/>
  <c r="R79" i="6" s="1"/>
  <c r="T77" i="6"/>
  <c r="U77" i="6" s="1"/>
  <c r="AM732" i="6"/>
  <c r="S688" i="6"/>
  <c r="S689" i="6" s="1"/>
  <c r="AK687" i="6"/>
  <c r="AK688" i="6" s="1"/>
  <c r="AJ687" i="6"/>
  <c r="AJ688" i="6" s="1"/>
  <c r="R688" i="6"/>
  <c r="R689" i="6" s="1"/>
  <c r="T687" i="6"/>
  <c r="U687" i="6" s="1"/>
  <c r="C276" i="5"/>
  <c r="B276" i="5"/>
  <c r="A308" i="5"/>
  <c r="D276" i="5"/>
  <c r="AI282" i="6"/>
  <c r="R282" i="6"/>
  <c r="S282" i="6" s="1"/>
  <c r="Q283" i="6"/>
  <c r="Q743" i="6"/>
  <c r="R742" i="6"/>
  <c r="S742" i="6" s="1"/>
  <c r="AI742" i="6"/>
  <c r="R592" i="6"/>
  <c r="S592" i="6" s="1"/>
  <c r="Q593" i="6"/>
  <c r="AI592" i="6"/>
  <c r="Q237" i="6"/>
  <c r="Q437" i="6"/>
  <c r="Q597" i="6"/>
  <c r="Q497" i="6"/>
  <c r="Q697" i="6"/>
  <c r="Q287" i="6"/>
  <c r="Q87" i="6"/>
  <c r="Q137" i="6"/>
  <c r="Q747" i="6"/>
  <c r="Q337" i="6"/>
  <c r="G28" i="6"/>
  <c r="H27" i="6" s="1"/>
  <c r="Q187" i="6"/>
  <c r="Q647" i="6"/>
  <c r="Q547" i="6"/>
  <c r="Q387" i="6"/>
  <c r="Q429" i="6"/>
  <c r="Q279" i="6"/>
  <c r="A189" i="5"/>
  <c r="C157" i="5"/>
  <c r="D157" i="5"/>
  <c r="B157" i="5"/>
  <c r="R734" i="6"/>
  <c r="Q232" i="6"/>
  <c r="F79" i="6"/>
  <c r="G78" i="6" s="1"/>
  <c r="Q489" i="6"/>
  <c r="A226" i="5"/>
  <c r="D194" i="5"/>
  <c r="C194" i="5"/>
  <c r="B194" i="5"/>
  <c r="F14" i="9"/>
  <c r="F18" i="9"/>
  <c r="F232" i="6"/>
  <c r="G231" i="6" s="1"/>
  <c r="S223" i="6"/>
  <c r="S224" i="6" s="1"/>
  <c r="AK223" i="6"/>
  <c r="AK222" i="6"/>
  <c r="Q224" i="6"/>
  <c r="Q379" i="6"/>
  <c r="Q79" i="6"/>
  <c r="D152" i="5"/>
  <c r="A184" i="5"/>
  <c r="B152" i="5"/>
  <c r="C152" i="5"/>
  <c r="F249" i="6"/>
  <c r="G248" i="6"/>
  <c r="F147" i="6"/>
  <c r="G146" i="6"/>
  <c r="G112" i="6"/>
  <c r="F113" i="6"/>
  <c r="S734" i="6"/>
  <c r="B154" i="5"/>
  <c r="A186" i="5"/>
  <c r="D154" i="5"/>
  <c r="C154" i="5"/>
  <c r="Q433" i="6"/>
  <c r="AI432" i="6"/>
  <c r="R432" i="6"/>
  <c r="S432" i="6" s="1"/>
  <c r="R642" i="6"/>
  <c r="S642" i="6" s="1"/>
  <c r="Q643" i="6"/>
  <c r="AI642" i="6"/>
  <c r="R332" i="6"/>
  <c r="AI332" i="6"/>
  <c r="Q333" i="6"/>
  <c r="R428" i="6"/>
  <c r="R429" i="6" s="1"/>
  <c r="T427" i="6"/>
  <c r="U427" i="6" s="1"/>
  <c r="AJ427" i="6"/>
  <c r="AJ428" i="6" s="1"/>
  <c r="T737" i="6"/>
  <c r="AJ737" i="6"/>
  <c r="AJ738" i="6" s="1"/>
  <c r="R738" i="6"/>
  <c r="G197" i="6"/>
  <c r="F198" i="6"/>
  <c r="C174" i="5"/>
  <c r="B174" i="5"/>
  <c r="A206" i="5"/>
  <c r="D174" i="5"/>
  <c r="AJ487" i="6"/>
  <c r="AJ488" i="6" s="1"/>
  <c r="R488" i="6"/>
  <c r="R489" i="6" s="1"/>
  <c r="AK327" i="6"/>
  <c r="AK328" i="6" s="1"/>
  <c r="S328" i="6"/>
  <c r="S329" i="6" s="1"/>
  <c r="C150" i="5"/>
  <c r="D150" i="5"/>
  <c r="B150" i="5"/>
  <c r="A182" i="5"/>
  <c r="G62" i="6"/>
  <c r="H61" i="6" s="1"/>
  <c r="S637" i="6"/>
  <c r="S78" i="6"/>
  <c r="S79" i="6" s="1"/>
  <c r="AK77" i="6"/>
  <c r="AK78" i="6" s="1"/>
  <c r="AI538" i="6"/>
  <c r="T372" i="6"/>
  <c r="U372" i="6" s="1"/>
  <c r="A241" i="5"/>
  <c r="D209" i="5"/>
  <c r="B209" i="5"/>
  <c r="C209" i="5"/>
  <c r="Q693" i="6"/>
  <c r="AI692" i="6"/>
  <c r="R692" i="6"/>
  <c r="AI382" i="6"/>
  <c r="Q383" i="6"/>
  <c r="R382" i="6"/>
  <c r="S382" i="6" s="1"/>
  <c r="Q543" i="6"/>
  <c r="R542" i="6"/>
  <c r="S542" i="6" s="1"/>
  <c r="AI542" i="6"/>
  <c r="AI278" i="6"/>
  <c r="AJ277" i="6"/>
  <c r="AJ278" i="6" s="1"/>
  <c r="R278" i="6"/>
  <c r="R279" i="6" s="1"/>
  <c r="T277" i="6"/>
  <c r="AI738" i="6"/>
  <c r="Q228" i="6"/>
  <c r="R227" i="6"/>
  <c r="S227" i="6" s="1"/>
  <c r="AI227" i="6"/>
  <c r="S487" i="6"/>
  <c r="AI488" i="6"/>
  <c r="AJ327" i="6"/>
  <c r="AJ328" i="6" s="1"/>
  <c r="R328" i="6"/>
  <c r="R329" i="6" s="1"/>
  <c r="T327" i="6"/>
  <c r="R588" i="6"/>
  <c r="R589" i="6" s="1"/>
  <c r="T587" i="6"/>
  <c r="AJ587" i="6"/>
  <c r="AJ588" i="6" s="1"/>
  <c r="R21" i="3" l="1"/>
  <c r="AJ177" i="6"/>
  <c r="AJ178" i="6" s="1"/>
  <c r="R178" i="6"/>
  <c r="R179" i="6" s="1"/>
  <c r="T177" i="6"/>
  <c r="AL177" i="6" s="1"/>
  <c r="AL178" i="6" s="1"/>
  <c r="Y95" i="7"/>
  <c r="Y24" i="7"/>
  <c r="Y23" i="7"/>
  <c r="O95" i="5"/>
  <c r="N115" i="5"/>
  <c r="E11" i="6"/>
  <c r="BP3" i="6" s="1"/>
  <c r="O91" i="5"/>
  <c r="N127" i="5"/>
  <c r="N120" i="5"/>
  <c r="O94" i="5"/>
  <c r="O81" i="5"/>
  <c r="N124" i="5"/>
  <c r="N125" i="5"/>
  <c r="N106" i="5"/>
  <c r="N119" i="5"/>
  <c r="O74" i="5"/>
  <c r="O98" i="5"/>
  <c r="O84" i="5"/>
  <c r="U217" i="6"/>
  <c r="AM217" i="6" s="1"/>
  <c r="AM218" i="6" s="1"/>
  <c r="AJ537" i="6"/>
  <c r="AJ538" i="6" s="1"/>
  <c r="S538" i="6"/>
  <c r="S539" i="6" s="1"/>
  <c r="R538" i="6"/>
  <c r="R539" i="6" s="1"/>
  <c r="Q21" i="3"/>
  <c r="T537" i="6"/>
  <c r="AL537" i="6" s="1"/>
  <c r="T20" i="3"/>
  <c r="U20" i="3" s="1"/>
  <c r="V20" i="3" s="1"/>
  <c r="Q774" i="6"/>
  <c r="Q72" i="5"/>
  <c r="R72" i="5" s="1"/>
  <c r="N107" i="5"/>
  <c r="N128" i="5"/>
  <c r="N130" i="5"/>
  <c r="N110" i="5"/>
  <c r="N122" i="5"/>
  <c r="N121" i="5"/>
  <c r="O104" i="5"/>
  <c r="P104" i="5" s="1"/>
  <c r="P120" i="5" s="1"/>
  <c r="O93" i="5"/>
  <c r="O89" i="5"/>
  <c r="O77" i="5"/>
  <c r="O97" i="5"/>
  <c r="O80" i="5"/>
  <c r="O78" i="5"/>
  <c r="O76" i="5"/>
  <c r="O79" i="5"/>
  <c r="O85" i="5"/>
  <c r="N109" i="5"/>
  <c r="N123" i="5"/>
  <c r="N118" i="5"/>
  <c r="N112" i="5"/>
  <c r="N113" i="5"/>
  <c r="N111" i="5"/>
  <c r="Q22" i="6"/>
  <c r="AC23" i="9" s="1"/>
  <c r="AC25" i="9" s="1"/>
  <c r="O96" i="5"/>
  <c r="O88" i="5"/>
  <c r="O90" i="5"/>
  <c r="O87" i="5"/>
  <c r="N126" i="5"/>
  <c r="N129" i="5"/>
  <c r="N116" i="5"/>
  <c r="N114" i="5"/>
  <c r="N117" i="5"/>
  <c r="O92" i="5"/>
  <c r="O75" i="5"/>
  <c r="O86" i="5"/>
  <c r="O82" i="5"/>
  <c r="O83" i="5"/>
  <c r="N136" i="5"/>
  <c r="F190" i="5"/>
  <c r="F10" i="6"/>
  <c r="Q27" i="6" s="1"/>
  <c r="F187" i="5"/>
  <c r="F171" i="5"/>
  <c r="F191" i="5"/>
  <c r="F193" i="5"/>
  <c r="F177" i="5"/>
  <c r="F178" i="5"/>
  <c r="S17" i="6"/>
  <c r="T17" i="6" s="1"/>
  <c r="G181" i="6"/>
  <c r="H180" i="6" s="1"/>
  <c r="G96" i="6"/>
  <c r="H95" i="6" s="1"/>
  <c r="G215" i="6"/>
  <c r="H214" i="6" s="1"/>
  <c r="H10" i="3"/>
  <c r="M157" i="5"/>
  <c r="M158" i="5"/>
  <c r="M147" i="5"/>
  <c r="M149" i="5"/>
  <c r="M150" i="5"/>
  <c r="M139" i="5"/>
  <c r="M160" i="5"/>
  <c r="M144" i="5"/>
  <c r="M153" i="5"/>
  <c r="M145" i="5"/>
  <c r="M143" i="5"/>
  <c r="M151" i="5"/>
  <c r="M161" i="5"/>
  <c r="M142" i="5"/>
  <c r="M152" i="5"/>
  <c r="M140" i="5"/>
  <c r="M138" i="5"/>
  <c r="M148" i="5"/>
  <c r="M156" i="5"/>
  <c r="M154" i="5"/>
  <c r="M141" i="5"/>
  <c r="M146" i="5"/>
  <c r="M155" i="5"/>
  <c r="M159" i="5"/>
  <c r="M162" i="5"/>
  <c r="C321" i="5"/>
  <c r="D321" i="5"/>
  <c r="B321" i="5"/>
  <c r="D181" i="5"/>
  <c r="C181" i="5"/>
  <c r="A213" i="5"/>
  <c r="B181" i="5"/>
  <c r="C176" i="5"/>
  <c r="D176" i="5"/>
  <c r="B176" i="5"/>
  <c r="A208" i="5"/>
  <c r="A220" i="5"/>
  <c r="B188" i="5"/>
  <c r="C188" i="5"/>
  <c r="D188" i="5"/>
  <c r="A269" i="5"/>
  <c r="C237" i="5"/>
  <c r="B237" i="5"/>
  <c r="D237" i="5"/>
  <c r="D243" i="5"/>
  <c r="A275" i="5"/>
  <c r="C243" i="5"/>
  <c r="B243" i="5"/>
  <c r="C249" i="5"/>
  <c r="B249" i="5"/>
  <c r="A281" i="5"/>
  <c r="D249" i="5"/>
  <c r="A319" i="5"/>
  <c r="B287" i="5"/>
  <c r="C287" i="5"/>
  <c r="D287" i="5"/>
  <c r="C283" i="5"/>
  <c r="A315" i="5"/>
  <c r="B283" i="5"/>
  <c r="D283" i="5"/>
  <c r="H164" i="6"/>
  <c r="I163" i="6"/>
  <c r="C207" i="5"/>
  <c r="B207" i="5"/>
  <c r="D207" i="5"/>
  <c r="A239" i="5"/>
  <c r="A222" i="5"/>
  <c r="D190" i="5"/>
  <c r="C190" i="5"/>
  <c r="B190" i="5"/>
  <c r="AM527" i="6"/>
  <c r="AM528" i="6" s="1"/>
  <c r="P24" i="3"/>
  <c r="B42" i="3" s="1"/>
  <c r="B48" i="3" s="1"/>
  <c r="L48" i="3" s="1"/>
  <c r="V527" i="6"/>
  <c r="W527" i="6" s="1"/>
  <c r="W528" i="6" s="1"/>
  <c r="W529" i="6" s="1"/>
  <c r="AM577" i="6"/>
  <c r="AM578" i="6" s="1"/>
  <c r="AL577" i="6"/>
  <c r="U682" i="6"/>
  <c r="V682" i="6" s="1"/>
  <c r="AN683" i="6" s="1"/>
  <c r="AL682" i="6"/>
  <c r="U532" i="6"/>
  <c r="AM532" i="6" s="1"/>
  <c r="AL527" i="6"/>
  <c r="V577" i="6"/>
  <c r="W577" i="6" s="1"/>
  <c r="AO577" i="6" s="1"/>
  <c r="AO578" i="6" s="1"/>
  <c r="Q54" i="5"/>
  <c r="U117" i="6"/>
  <c r="AM117" i="6" s="1"/>
  <c r="AM118" i="6" s="1"/>
  <c r="Q56" i="5"/>
  <c r="AK582" i="6"/>
  <c r="Q51" i="5"/>
  <c r="T582" i="6"/>
  <c r="U582" i="6" s="1"/>
  <c r="AM582" i="6" s="1"/>
  <c r="Q4" i="5"/>
  <c r="R4" i="5" s="1"/>
  <c r="P32" i="5"/>
  <c r="P29" i="5"/>
  <c r="P26" i="5"/>
  <c r="P17" i="5"/>
  <c r="P31" i="5"/>
  <c r="P28" i="5"/>
  <c r="P20" i="5"/>
  <c r="P13" i="5"/>
  <c r="P34" i="5"/>
  <c r="P23" i="5"/>
  <c r="P18" i="5"/>
  <c r="P21" i="5"/>
  <c r="P30" i="5"/>
  <c r="P22" i="5"/>
  <c r="P19" i="5"/>
  <c r="P14" i="5"/>
  <c r="P15" i="5"/>
  <c r="P25" i="5"/>
  <c r="P12" i="5"/>
  <c r="P27" i="5"/>
  <c r="P24" i="5"/>
  <c r="P11" i="5"/>
  <c r="P16" i="5"/>
  <c r="P10" i="5"/>
  <c r="P33" i="5"/>
  <c r="Q47" i="5"/>
  <c r="S583" i="6"/>
  <c r="S584" i="6" s="1"/>
  <c r="U262" i="6"/>
  <c r="V262" i="6" s="1"/>
  <c r="AN263" i="6" s="1"/>
  <c r="Q65" i="5"/>
  <c r="Q57" i="5"/>
  <c r="Q59" i="5"/>
  <c r="Q58" i="5"/>
  <c r="R40" i="5"/>
  <c r="R46" i="5" s="1"/>
  <c r="Q55" i="5"/>
  <c r="Q45" i="5"/>
  <c r="Q48" i="5"/>
  <c r="Q53" i="5"/>
  <c r="AK73" i="6"/>
  <c r="AK72" i="6"/>
  <c r="S73" i="6"/>
  <c r="S74" i="6" s="1"/>
  <c r="AL72" i="6"/>
  <c r="U72" i="6"/>
  <c r="V72" i="6" s="1"/>
  <c r="AN73" i="6" s="1"/>
  <c r="Q44" i="5"/>
  <c r="Q52" i="5"/>
  <c r="Q50" i="5"/>
  <c r="Q64" i="5"/>
  <c r="Q66" i="5"/>
  <c r="Q46" i="5"/>
  <c r="Q60" i="5"/>
  <c r="Q63" i="5"/>
  <c r="Q49" i="5"/>
  <c r="Q61" i="5"/>
  <c r="Q62" i="5"/>
  <c r="Q42" i="5"/>
  <c r="AL263" i="6"/>
  <c r="U322" i="6"/>
  <c r="AM322" i="6" s="1"/>
  <c r="AL322" i="6"/>
  <c r="AK633" i="6"/>
  <c r="S128" i="6"/>
  <c r="S129" i="6" s="1"/>
  <c r="AK127" i="6"/>
  <c r="AK128" i="6" s="1"/>
  <c r="V17" i="3"/>
  <c r="W17" i="3" s="1"/>
  <c r="Z21" i="7"/>
  <c r="Z24" i="7" s="1"/>
  <c r="U482" i="6"/>
  <c r="V482" i="6" s="1"/>
  <c r="AN483" i="6" s="1"/>
  <c r="AL482" i="6"/>
  <c r="T263" i="6"/>
  <c r="T264" i="6" s="1"/>
  <c r="AJ18" i="6"/>
  <c r="AD17" i="9"/>
  <c r="AD19" i="9" s="1"/>
  <c r="AJ17" i="6"/>
  <c r="AB15" i="7"/>
  <c r="S633" i="6"/>
  <c r="S634" i="6" s="1"/>
  <c r="AK632" i="6"/>
  <c r="V172" i="6"/>
  <c r="V173" i="6" s="1"/>
  <c r="V174" i="6" s="1"/>
  <c r="AM172" i="6"/>
  <c r="U362" i="6"/>
  <c r="U363" i="6" s="1"/>
  <c r="U364" i="6" s="1"/>
  <c r="AL362" i="6"/>
  <c r="U472" i="6"/>
  <c r="AM473" i="6" s="1"/>
  <c r="T412" i="6"/>
  <c r="T413" i="6" s="1"/>
  <c r="T414" i="6" s="1"/>
  <c r="U19" i="3"/>
  <c r="V19" i="3" s="1"/>
  <c r="W19" i="3" s="1"/>
  <c r="T363" i="6"/>
  <c r="T364" i="6" s="1"/>
  <c r="T162" i="6"/>
  <c r="U632" i="6"/>
  <c r="V632" i="6" s="1"/>
  <c r="V633" i="6" s="1"/>
  <c r="V634" i="6" s="1"/>
  <c r="AL632" i="6"/>
  <c r="P115" i="5"/>
  <c r="O109" i="5"/>
  <c r="V12" i="6"/>
  <c r="AD15" i="7" s="1"/>
  <c r="U122" i="6"/>
  <c r="AM122" i="6" s="1"/>
  <c r="H44" i="6"/>
  <c r="G45" i="6"/>
  <c r="M200" i="5"/>
  <c r="F216" i="5"/>
  <c r="F210" i="5"/>
  <c r="F205" i="5"/>
  <c r="F226" i="5"/>
  <c r="F206" i="5"/>
  <c r="F223" i="5"/>
  <c r="F203" i="5"/>
  <c r="F222" i="5"/>
  <c r="H199" i="5"/>
  <c r="F231" i="5" s="1"/>
  <c r="F219" i="5"/>
  <c r="F209" i="5"/>
  <c r="F212" i="5"/>
  <c r="F224" i="5"/>
  <c r="F208" i="5"/>
  <c r="F218" i="5"/>
  <c r="F220" i="5"/>
  <c r="F207" i="5"/>
  <c r="F213" i="5"/>
  <c r="F204" i="5"/>
  <c r="F217" i="5"/>
  <c r="F221" i="5"/>
  <c r="F214" i="5"/>
  <c r="F211" i="5"/>
  <c r="F202" i="5"/>
  <c r="F225" i="5"/>
  <c r="F215" i="5"/>
  <c r="AL122" i="6"/>
  <c r="H130" i="6"/>
  <c r="I129" i="6"/>
  <c r="B138" i="5"/>
  <c r="A170" i="5"/>
  <c r="D138" i="5"/>
  <c r="C138" i="5"/>
  <c r="M179" i="5"/>
  <c r="M185" i="5"/>
  <c r="M190" i="5"/>
  <c r="M191" i="5"/>
  <c r="M175" i="5"/>
  <c r="M178" i="5"/>
  <c r="M194" i="5"/>
  <c r="M186" i="5"/>
  <c r="M182" i="5"/>
  <c r="M180" i="5"/>
  <c r="M172" i="5"/>
  <c r="M183" i="5"/>
  <c r="M173" i="5"/>
  <c r="M188" i="5"/>
  <c r="M184" i="5"/>
  <c r="M176" i="5"/>
  <c r="M189" i="5"/>
  <c r="M181" i="5"/>
  <c r="N168" i="5"/>
  <c r="M187" i="5"/>
  <c r="M192" i="5"/>
  <c r="M177" i="5"/>
  <c r="M170" i="5"/>
  <c r="M193" i="5"/>
  <c r="M171" i="5"/>
  <c r="M174" i="5"/>
  <c r="AL172" i="6"/>
  <c r="AI132" i="6"/>
  <c r="AI133" i="6" s="1"/>
  <c r="R132" i="6"/>
  <c r="Q133" i="6"/>
  <c r="Q134" i="6" s="1"/>
  <c r="AL12" i="6"/>
  <c r="U13" i="6"/>
  <c r="U14" i="6" s="1"/>
  <c r="AG11" i="9"/>
  <c r="AG13" i="9" s="1"/>
  <c r="AM12" i="6"/>
  <c r="AM13" i="6" s="1"/>
  <c r="AF11" i="9"/>
  <c r="U7" i="6"/>
  <c r="V7" i="6" s="1"/>
  <c r="AB8" i="7"/>
  <c r="AL8" i="6"/>
  <c r="T8" i="6"/>
  <c r="T9" i="6" s="1"/>
  <c r="AL7" i="6"/>
  <c r="AF4" i="9"/>
  <c r="AF6" i="9" s="1"/>
  <c r="Z80" i="7"/>
  <c r="AM112" i="6"/>
  <c r="AE4" i="9"/>
  <c r="AA8" i="7"/>
  <c r="AK7" i="6"/>
  <c r="R775" i="6"/>
  <c r="AM113" i="6"/>
  <c r="V722" i="6"/>
  <c r="W722" i="6" s="1"/>
  <c r="U723" i="6"/>
  <c r="U724" i="6" s="1"/>
  <c r="AM723" i="6"/>
  <c r="AM722" i="6"/>
  <c r="V112" i="6"/>
  <c r="AN112" i="6" s="1"/>
  <c r="T723" i="6"/>
  <c r="T724" i="6" s="1"/>
  <c r="AL722" i="6"/>
  <c r="AL723" i="6"/>
  <c r="R773" i="6"/>
  <c r="Q773" i="6"/>
  <c r="AL422" i="6"/>
  <c r="AM673" i="6"/>
  <c r="AM672" i="6"/>
  <c r="U673" i="6"/>
  <c r="U674" i="6" s="1"/>
  <c r="AK627" i="6"/>
  <c r="AK677" i="6"/>
  <c r="AK272" i="6"/>
  <c r="S273" i="6"/>
  <c r="S274" i="6" s="1"/>
  <c r="T272" i="6"/>
  <c r="AK273" i="6"/>
  <c r="AK167" i="6"/>
  <c r="T167" i="6"/>
  <c r="AK312" i="6"/>
  <c r="AL523" i="6"/>
  <c r="AL522" i="6"/>
  <c r="T523" i="6"/>
  <c r="T524" i="6" s="1"/>
  <c r="AK572" i="6"/>
  <c r="AK727" i="6"/>
  <c r="AK477" i="6"/>
  <c r="T417" i="6"/>
  <c r="U417" i="6" s="1"/>
  <c r="AK417" i="6"/>
  <c r="AK412" i="6"/>
  <c r="T677" i="6"/>
  <c r="U677" i="6" s="1"/>
  <c r="AK162" i="6"/>
  <c r="T572" i="6"/>
  <c r="AK212" i="6"/>
  <c r="T212" i="6"/>
  <c r="T727" i="6"/>
  <c r="T477" i="6"/>
  <c r="AK423" i="6"/>
  <c r="U422" i="6"/>
  <c r="V422" i="6" s="1"/>
  <c r="S423" i="6"/>
  <c r="S424" i="6" s="1"/>
  <c r="AK422" i="6"/>
  <c r="T312" i="6"/>
  <c r="U522" i="6"/>
  <c r="R774" i="6"/>
  <c r="R772" i="6"/>
  <c r="T267" i="6"/>
  <c r="AK267" i="6"/>
  <c r="T627" i="6"/>
  <c r="T473" i="6"/>
  <c r="T474" i="6" s="1"/>
  <c r="AL472" i="6"/>
  <c r="AL473" i="6"/>
  <c r="AL673" i="6"/>
  <c r="AL672" i="6"/>
  <c r="T673" i="6"/>
  <c r="T674" i="6" s="1"/>
  <c r="V672" i="6"/>
  <c r="AK317" i="6"/>
  <c r="T317" i="6"/>
  <c r="U317" i="6" s="1"/>
  <c r="Z89" i="7"/>
  <c r="Z17" i="7"/>
  <c r="Z18" i="7"/>
  <c r="Z87" i="7"/>
  <c r="Z90" i="7" s="1"/>
  <c r="AM622" i="6"/>
  <c r="AM623" i="6"/>
  <c r="U623" i="6"/>
  <c r="U624" i="6" s="1"/>
  <c r="T623" i="6"/>
  <c r="AL622" i="6"/>
  <c r="AL623" i="6"/>
  <c r="V622" i="6"/>
  <c r="V68" i="6"/>
  <c r="V69" i="6" s="1"/>
  <c r="AN67" i="6"/>
  <c r="AN68" i="6" s="1"/>
  <c r="W67" i="6"/>
  <c r="X67" i="6" s="1"/>
  <c r="V18" i="3"/>
  <c r="W18" i="3" s="1"/>
  <c r="X18" i="3" s="1"/>
  <c r="V368" i="6"/>
  <c r="V369" i="6" s="1"/>
  <c r="AN367" i="6"/>
  <c r="AN368" i="6" s="1"/>
  <c r="AN62" i="6"/>
  <c r="AN63" i="6"/>
  <c r="V63" i="6"/>
  <c r="V64" i="6" s="1"/>
  <c r="T16" i="3"/>
  <c r="U16" i="3" s="1"/>
  <c r="S21" i="3"/>
  <c r="U63" i="6"/>
  <c r="AM63" i="6"/>
  <c r="W62" i="6"/>
  <c r="X62" i="6" s="1"/>
  <c r="AM62" i="6"/>
  <c r="W367" i="6"/>
  <c r="U368" i="6"/>
  <c r="AM367" i="6"/>
  <c r="AM368" i="6" s="1"/>
  <c r="AM687" i="6"/>
  <c r="AM377" i="6"/>
  <c r="AM372" i="6"/>
  <c r="AK432" i="6"/>
  <c r="AK433" i="6" s="1"/>
  <c r="S433" i="6"/>
  <c r="S434" i="6" s="1"/>
  <c r="AM427" i="6"/>
  <c r="AK82" i="6"/>
  <c r="AK83" i="6" s="1"/>
  <c r="S83" i="6"/>
  <c r="S84" i="6" s="1"/>
  <c r="AK487" i="6"/>
  <c r="S488" i="6"/>
  <c r="S489" i="6" s="1"/>
  <c r="AI228" i="6"/>
  <c r="Q229" i="6"/>
  <c r="AI543" i="6"/>
  <c r="Q384" i="6"/>
  <c r="A214" i="5"/>
  <c r="B182" i="5"/>
  <c r="D182" i="5"/>
  <c r="C182" i="5"/>
  <c r="D206" i="5"/>
  <c r="A238" i="5"/>
  <c r="C206" i="5"/>
  <c r="B206" i="5"/>
  <c r="AL737" i="6"/>
  <c r="T738" i="6"/>
  <c r="Q334" i="6"/>
  <c r="AJ332" i="6"/>
  <c r="AJ333" i="6" s="1"/>
  <c r="R333" i="6"/>
  <c r="R334" i="6" s="1"/>
  <c r="S643" i="6"/>
  <c r="S644" i="6" s="1"/>
  <c r="AK642" i="6"/>
  <c r="AK643" i="6" s="1"/>
  <c r="R643" i="6"/>
  <c r="R644" i="6" s="1"/>
  <c r="AJ642" i="6"/>
  <c r="AJ643" i="6" s="1"/>
  <c r="T642" i="6"/>
  <c r="U642" i="6" s="1"/>
  <c r="Q434" i="6"/>
  <c r="R647" i="6"/>
  <c r="S647" i="6" s="1"/>
  <c r="Q648" i="6"/>
  <c r="AI647" i="6"/>
  <c r="AI337" i="6"/>
  <c r="R337" i="6"/>
  <c r="S337" i="6" s="1"/>
  <c r="Q338" i="6"/>
  <c r="AI497" i="6"/>
  <c r="R497" i="6"/>
  <c r="S497" i="6" s="1"/>
  <c r="Q498" i="6"/>
  <c r="AI743" i="6"/>
  <c r="AK182" i="6"/>
  <c r="AK183" i="6" s="1"/>
  <c r="S183" i="6"/>
  <c r="S184" i="6" s="1"/>
  <c r="AI83" i="6"/>
  <c r="Q84" i="6"/>
  <c r="Q494" i="6"/>
  <c r="R493" i="6"/>
  <c r="R494" i="6" s="1"/>
  <c r="AJ492" i="6"/>
  <c r="AJ493" i="6" s="1"/>
  <c r="AL587" i="6"/>
  <c r="AL588" i="6" s="1"/>
  <c r="T588" i="6"/>
  <c r="T589" i="6" s="1"/>
  <c r="R543" i="6"/>
  <c r="R544" i="6" s="1"/>
  <c r="AJ542" i="6"/>
  <c r="AJ543" i="6" s="1"/>
  <c r="T542" i="6"/>
  <c r="U542" i="6" s="1"/>
  <c r="AI383" i="6"/>
  <c r="AI693" i="6"/>
  <c r="V127" i="6"/>
  <c r="W127" i="6" s="1"/>
  <c r="T128" i="6"/>
  <c r="T129" i="6" s="1"/>
  <c r="AL127" i="6"/>
  <c r="AL128" i="6" s="1"/>
  <c r="AM77" i="6"/>
  <c r="S638" i="6"/>
  <c r="AK637" i="6"/>
  <c r="H62" i="6"/>
  <c r="I61" i="6" s="1"/>
  <c r="U327" i="6"/>
  <c r="V327" i="6" s="1"/>
  <c r="G198" i="6"/>
  <c r="H197" i="6" s="1"/>
  <c r="S332" i="6"/>
  <c r="AJ432" i="6"/>
  <c r="AJ433" i="6" s="1"/>
  <c r="R433" i="6"/>
  <c r="R434" i="6" s="1"/>
  <c r="T432" i="6"/>
  <c r="U432" i="6" s="1"/>
  <c r="AM222" i="6"/>
  <c r="Q188" i="6"/>
  <c r="AI187" i="6"/>
  <c r="R187" i="6"/>
  <c r="S187" i="6" s="1"/>
  <c r="R747" i="6"/>
  <c r="S747" i="6" s="1"/>
  <c r="Q748" i="6"/>
  <c r="AI747" i="6"/>
  <c r="R87" i="6"/>
  <c r="S87" i="6" s="1"/>
  <c r="Q88" i="6"/>
  <c r="AI87" i="6"/>
  <c r="Q598" i="6"/>
  <c r="R597" i="6"/>
  <c r="S597" i="6" s="1"/>
  <c r="AI597" i="6"/>
  <c r="AI593" i="6"/>
  <c r="AJ742" i="6"/>
  <c r="AJ743" i="6" s="1"/>
  <c r="R743" i="6"/>
  <c r="T742" i="6"/>
  <c r="U742" i="6" s="1"/>
  <c r="R283" i="6"/>
  <c r="R284" i="6" s="1"/>
  <c r="AJ282" i="6"/>
  <c r="AJ283" i="6" s="1"/>
  <c r="T282" i="6"/>
  <c r="U282" i="6" s="1"/>
  <c r="AO733" i="6"/>
  <c r="AO732" i="6"/>
  <c r="W733" i="6"/>
  <c r="AJ182" i="6"/>
  <c r="AJ183" i="6" s="1"/>
  <c r="T182" i="6"/>
  <c r="U182" i="6" s="1"/>
  <c r="R183" i="6"/>
  <c r="R184" i="6" s="1"/>
  <c r="S492" i="6"/>
  <c r="T492" i="6" s="1"/>
  <c r="D172" i="5"/>
  <c r="C172" i="5"/>
  <c r="B172" i="5"/>
  <c r="A204" i="5"/>
  <c r="I22" i="2"/>
  <c r="H23" i="2"/>
  <c r="B224" i="5"/>
  <c r="D224" i="5"/>
  <c r="A256" i="5"/>
  <c r="C224" i="5"/>
  <c r="T637" i="6"/>
  <c r="U637" i="6" s="1"/>
  <c r="U587" i="6"/>
  <c r="V587" i="6" s="1"/>
  <c r="U737" i="6"/>
  <c r="AC17" i="7"/>
  <c r="AC87" i="7"/>
  <c r="AC90" i="7" s="1"/>
  <c r="AC18" i="7"/>
  <c r="AC89" i="7"/>
  <c r="AK227" i="6"/>
  <c r="AK228" i="6" s="1"/>
  <c r="S228" i="6"/>
  <c r="S229" i="6" s="1"/>
  <c r="AK382" i="6"/>
  <c r="AK383" i="6" s="1"/>
  <c r="S383" i="6"/>
  <c r="S384" i="6" s="1"/>
  <c r="Q694" i="6"/>
  <c r="AM127" i="6"/>
  <c r="AL372" i="6"/>
  <c r="V372" i="6"/>
  <c r="T487" i="6"/>
  <c r="U487" i="6" s="1"/>
  <c r="R739" i="6"/>
  <c r="AI333" i="6"/>
  <c r="AI643" i="6"/>
  <c r="G113" i="6"/>
  <c r="H112" i="6" s="1"/>
  <c r="G147" i="6"/>
  <c r="H146" i="6" s="1"/>
  <c r="G249" i="6"/>
  <c r="H248" i="6" s="1"/>
  <c r="G232" i="6"/>
  <c r="H231" i="6"/>
  <c r="AI232" i="6"/>
  <c r="Q233" i="6"/>
  <c r="R232" i="6"/>
  <c r="S232" i="6" s="1"/>
  <c r="R387" i="6"/>
  <c r="S387" i="6" s="1"/>
  <c r="Q388" i="6"/>
  <c r="AI387" i="6"/>
  <c r="Q138" i="6"/>
  <c r="AI137" i="6"/>
  <c r="R137" i="6"/>
  <c r="R287" i="6"/>
  <c r="S287" i="6" s="1"/>
  <c r="AI287" i="6"/>
  <c r="Q288" i="6"/>
  <c r="Q438" i="6"/>
  <c r="AI437" i="6"/>
  <c r="R437" i="6"/>
  <c r="S437" i="6" s="1"/>
  <c r="Q594" i="6"/>
  <c r="Q744" i="6"/>
  <c r="AK282" i="6"/>
  <c r="AK283" i="6" s="1"/>
  <c r="S283" i="6"/>
  <c r="S284" i="6" s="1"/>
  <c r="AI283" i="6"/>
  <c r="AL687" i="6"/>
  <c r="V687" i="6"/>
  <c r="W687" i="6" s="1"/>
  <c r="T688" i="6"/>
  <c r="T689" i="6" s="1"/>
  <c r="AL77" i="6"/>
  <c r="AL78" i="6" s="1"/>
  <c r="V77" i="6"/>
  <c r="W77" i="6" s="1"/>
  <c r="T78" i="6"/>
  <c r="T79" i="6" s="1"/>
  <c r="T378" i="6"/>
  <c r="V377" i="6"/>
  <c r="AL377" i="6"/>
  <c r="AI183" i="6"/>
  <c r="AL222" i="6"/>
  <c r="V222" i="6"/>
  <c r="V733" i="6"/>
  <c r="AN733" i="6"/>
  <c r="X732" i="6"/>
  <c r="AN732" i="6"/>
  <c r="AI493" i="6"/>
  <c r="Q775" i="6"/>
  <c r="T328" i="6"/>
  <c r="T329" i="6" s="1"/>
  <c r="AL327" i="6"/>
  <c r="AL328" i="6" s="1"/>
  <c r="R228" i="6"/>
  <c r="R229" i="6" s="1"/>
  <c r="T227" i="6"/>
  <c r="AJ227" i="6"/>
  <c r="AJ228" i="6" s="1"/>
  <c r="T278" i="6"/>
  <c r="T279" i="6" s="1"/>
  <c r="AL277" i="6"/>
  <c r="S543" i="6"/>
  <c r="S544" i="6" s="1"/>
  <c r="AK542" i="6"/>
  <c r="AK543" i="6" s="1"/>
  <c r="Q544" i="6"/>
  <c r="AJ382" i="6"/>
  <c r="AJ383" i="6" s="1"/>
  <c r="T382" i="6"/>
  <c r="R383" i="6"/>
  <c r="R384" i="6" s="1"/>
  <c r="AJ692" i="6"/>
  <c r="AJ693" i="6" s="1"/>
  <c r="R693" i="6"/>
  <c r="R694" i="6" s="1"/>
  <c r="S692" i="6"/>
  <c r="T692" i="6" s="1"/>
  <c r="A273" i="5"/>
  <c r="D241" i="5"/>
  <c r="C241" i="5"/>
  <c r="B241" i="5"/>
  <c r="AL427" i="6"/>
  <c r="AL428" i="6" s="1"/>
  <c r="T428" i="6"/>
  <c r="T429" i="6" s="1"/>
  <c r="V427" i="6"/>
  <c r="Q644" i="6"/>
  <c r="P494" i="6" s="1"/>
  <c r="P520" i="6" s="1"/>
  <c r="P521" i="6" s="1"/>
  <c r="P522" i="6" s="1"/>
  <c r="AI433" i="6"/>
  <c r="B186" i="5"/>
  <c r="D186" i="5"/>
  <c r="C186" i="5"/>
  <c r="A218" i="5"/>
  <c r="A216" i="5"/>
  <c r="D184" i="5"/>
  <c r="C184" i="5"/>
  <c r="B184" i="5"/>
  <c r="B226" i="5"/>
  <c r="A258" i="5"/>
  <c r="C226" i="5"/>
  <c r="D226" i="5"/>
  <c r="G79" i="6"/>
  <c r="H78" i="6"/>
  <c r="A221" i="5"/>
  <c r="D189" i="5"/>
  <c r="C189" i="5"/>
  <c r="B189" i="5"/>
  <c r="AI547" i="6"/>
  <c r="R547" i="6"/>
  <c r="Q548" i="6"/>
  <c r="H28" i="6"/>
  <c r="I27" i="6" s="1"/>
  <c r="Q292" i="6"/>
  <c r="Q242" i="6"/>
  <c r="Q652" i="6"/>
  <c r="Q442" i="6"/>
  <c r="Q602" i="6"/>
  <c r="Q702" i="6"/>
  <c r="Q142" i="6"/>
  <c r="Q392" i="6"/>
  <c r="Q752" i="6"/>
  <c r="Q192" i="6"/>
  <c r="Q92" i="6"/>
  <c r="Q502" i="6"/>
  <c r="Q342" i="6"/>
  <c r="Q552" i="6"/>
  <c r="AI697" i="6"/>
  <c r="R697" i="6"/>
  <c r="Q698" i="6"/>
  <c r="Q238" i="6"/>
  <c r="AI237" i="6"/>
  <c r="R237" i="6"/>
  <c r="AK592" i="6"/>
  <c r="AK593" i="6" s="1"/>
  <c r="S593" i="6"/>
  <c r="S594" i="6" s="1"/>
  <c r="AJ592" i="6"/>
  <c r="AJ593" i="6" s="1"/>
  <c r="T592" i="6"/>
  <c r="U592" i="6" s="1"/>
  <c r="R593" i="6"/>
  <c r="R594" i="6" s="1"/>
  <c r="S743" i="6"/>
  <c r="AK742" i="6"/>
  <c r="AK743" i="6" s="1"/>
  <c r="Q284" i="6"/>
  <c r="B308" i="5"/>
  <c r="C308" i="5"/>
  <c r="D308" i="5"/>
  <c r="Q184" i="6"/>
  <c r="AJ82" i="6"/>
  <c r="AJ83" i="6" s="1"/>
  <c r="T82" i="6"/>
  <c r="R83" i="6"/>
  <c r="R84" i="6" s="1"/>
  <c r="D210" i="5"/>
  <c r="B210" i="5"/>
  <c r="A242" i="5"/>
  <c r="C210" i="5"/>
  <c r="S374" i="6"/>
  <c r="U277" i="6"/>
  <c r="S739" i="6"/>
  <c r="T178" i="6" l="1"/>
  <c r="T179" i="6" s="1"/>
  <c r="U177" i="6"/>
  <c r="O121" i="5"/>
  <c r="P125" i="5"/>
  <c r="AI22" i="6"/>
  <c r="AI23" i="6" s="1"/>
  <c r="O123" i="5"/>
  <c r="P110" i="5"/>
  <c r="O119" i="5"/>
  <c r="O118" i="5"/>
  <c r="L42" i="3"/>
  <c r="U537" i="6"/>
  <c r="T538" i="6"/>
  <c r="T539" i="6" s="1"/>
  <c r="R22" i="6"/>
  <c r="AJ22" i="6" s="1"/>
  <c r="AJ23" i="6" s="1"/>
  <c r="O127" i="5"/>
  <c r="O106" i="5"/>
  <c r="O108" i="5"/>
  <c r="O113" i="5"/>
  <c r="O125" i="5"/>
  <c r="P107" i="5"/>
  <c r="P118" i="5"/>
  <c r="P121" i="5"/>
  <c r="Y27" i="7"/>
  <c r="Y99" i="7" s="1"/>
  <c r="Y102" i="7" s="1"/>
  <c r="O110" i="5"/>
  <c r="O114" i="5"/>
  <c r="O111" i="5"/>
  <c r="O129" i="5"/>
  <c r="P116" i="5"/>
  <c r="P106" i="5"/>
  <c r="P124" i="5"/>
  <c r="P129" i="5"/>
  <c r="O117" i="5"/>
  <c r="O107" i="5"/>
  <c r="O124" i="5"/>
  <c r="O115" i="5"/>
  <c r="O126" i="5"/>
  <c r="P108" i="5"/>
  <c r="P113" i="5"/>
  <c r="P117" i="5"/>
  <c r="BQ2" i="6"/>
  <c r="V217" i="6"/>
  <c r="W217" i="6" s="1"/>
  <c r="AO217" i="6" s="1"/>
  <c r="AO218" i="6" s="1"/>
  <c r="U218" i="6"/>
  <c r="Q23" i="6"/>
  <c r="Q24" i="6" s="1"/>
  <c r="Q777" i="6" s="1"/>
  <c r="O130" i="5"/>
  <c r="O116" i="5"/>
  <c r="O112" i="5"/>
  <c r="O120" i="5"/>
  <c r="O128" i="5"/>
  <c r="O122" i="5"/>
  <c r="P126" i="5"/>
  <c r="P114" i="5"/>
  <c r="P112" i="5"/>
  <c r="P123" i="5"/>
  <c r="P109" i="5"/>
  <c r="P130" i="5"/>
  <c r="Q104" i="5"/>
  <c r="R104" i="5" s="1"/>
  <c r="P127" i="5"/>
  <c r="P119" i="5"/>
  <c r="P122" i="5"/>
  <c r="P111" i="5"/>
  <c r="P128" i="5"/>
  <c r="W20" i="3"/>
  <c r="X20" i="3" s="1"/>
  <c r="F11" i="6"/>
  <c r="BQ3" i="6" s="1"/>
  <c r="N161" i="5"/>
  <c r="N158" i="5"/>
  <c r="N157" i="5"/>
  <c r="N142" i="5"/>
  <c r="N149" i="5"/>
  <c r="N141" i="5"/>
  <c r="N139" i="5"/>
  <c r="N144" i="5"/>
  <c r="N148" i="5"/>
  <c r="N143" i="5"/>
  <c r="N151" i="5"/>
  <c r="N160" i="5"/>
  <c r="N152" i="5"/>
  <c r="N150" i="5"/>
  <c r="N145" i="5"/>
  <c r="N156" i="5"/>
  <c r="N159" i="5"/>
  <c r="N138" i="5"/>
  <c r="N154" i="5"/>
  <c r="N146" i="5"/>
  <c r="N153" i="5"/>
  <c r="N147" i="5"/>
  <c r="N140" i="5"/>
  <c r="N162" i="5"/>
  <c r="N155" i="5"/>
  <c r="O136" i="5"/>
  <c r="B29" i="7"/>
  <c r="V29" i="7" s="1"/>
  <c r="AA21" i="7"/>
  <c r="AA23" i="7" s="1"/>
  <c r="AE17" i="9"/>
  <c r="AE19" i="9" s="1"/>
  <c r="S18" i="6"/>
  <c r="S19" i="6" s="1"/>
  <c r="S775" i="6" s="1"/>
  <c r="AK18" i="6"/>
  <c r="AK17" i="6"/>
  <c r="H215" i="6"/>
  <c r="I214" i="6" s="1"/>
  <c r="H96" i="6"/>
  <c r="I95" i="6" s="1"/>
  <c r="H181" i="6"/>
  <c r="I180" i="6" s="1"/>
  <c r="G10" i="6"/>
  <c r="BR2" i="6" s="1"/>
  <c r="N11" i="7"/>
  <c r="H13" i="9" s="1"/>
  <c r="H11" i="3"/>
  <c r="N12" i="7" s="1"/>
  <c r="H14" i="9" s="1"/>
  <c r="A254" i="5"/>
  <c r="C222" i="5"/>
  <c r="D222" i="5"/>
  <c r="B222" i="5"/>
  <c r="D319" i="5"/>
  <c r="C319" i="5"/>
  <c r="B319" i="5"/>
  <c r="A301" i="5"/>
  <c r="D269" i="5"/>
  <c r="B269" i="5"/>
  <c r="C269" i="5"/>
  <c r="A252" i="5"/>
  <c r="D220" i="5"/>
  <c r="C220" i="5"/>
  <c r="B220" i="5"/>
  <c r="C239" i="5"/>
  <c r="D239" i="5"/>
  <c r="A271" i="5"/>
  <c r="B239" i="5"/>
  <c r="I164" i="6"/>
  <c r="J163" i="6" s="1"/>
  <c r="A240" i="5"/>
  <c r="B208" i="5"/>
  <c r="D208" i="5"/>
  <c r="C208" i="5"/>
  <c r="A313" i="5"/>
  <c r="B281" i="5"/>
  <c r="C281" i="5"/>
  <c r="D281" i="5"/>
  <c r="A245" i="5"/>
  <c r="B213" i="5"/>
  <c r="D213" i="5"/>
  <c r="C213" i="5"/>
  <c r="C315" i="5"/>
  <c r="B315" i="5"/>
  <c r="D315" i="5"/>
  <c r="A307" i="5"/>
  <c r="C275" i="5"/>
  <c r="B275" i="5"/>
  <c r="D275" i="5"/>
  <c r="V683" i="6"/>
  <c r="V684" i="6" s="1"/>
  <c r="X527" i="6"/>
  <c r="Y527" i="6" s="1"/>
  <c r="Y528" i="6" s="1"/>
  <c r="Y529" i="6" s="1"/>
  <c r="X577" i="6"/>
  <c r="Y577" i="6" s="1"/>
  <c r="V528" i="6"/>
  <c r="V529" i="6" s="1"/>
  <c r="AO527" i="6"/>
  <c r="AO528" i="6" s="1"/>
  <c r="AN527" i="6"/>
  <c r="AN528" i="6" s="1"/>
  <c r="R53" i="5"/>
  <c r="W682" i="6"/>
  <c r="AO682" i="6" s="1"/>
  <c r="AN682" i="6"/>
  <c r="AM682" i="6"/>
  <c r="AN577" i="6"/>
  <c r="AN578" i="6" s="1"/>
  <c r="V582" i="6"/>
  <c r="W582" i="6" s="1"/>
  <c r="AO582" i="6" s="1"/>
  <c r="W578" i="6"/>
  <c r="W579" i="6" s="1"/>
  <c r="V578" i="6"/>
  <c r="V579" i="6" s="1"/>
  <c r="V532" i="6"/>
  <c r="AN533" i="6" s="1"/>
  <c r="AM262" i="6"/>
  <c r="R50" i="5"/>
  <c r="R43" i="5"/>
  <c r="R52" i="5"/>
  <c r="R47" i="5"/>
  <c r="R66" i="5"/>
  <c r="V322" i="6"/>
  <c r="W322" i="6" s="1"/>
  <c r="AO323" i="6" s="1"/>
  <c r="AM263" i="6"/>
  <c r="AN262" i="6"/>
  <c r="V263" i="6"/>
  <c r="V264" i="6" s="1"/>
  <c r="U263" i="6"/>
  <c r="U264" i="6" s="1"/>
  <c r="S40" i="5"/>
  <c r="S50" i="5" s="1"/>
  <c r="R55" i="5"/>
  <c r="R49" i="5"/>
  <c r="R42" i="5"/>
  <c r="R64" i="5"/>
  <c r="V117" i="6"/>
  <c r="V118" i="6" s="1"/>
  <c r="V119" i="6" s="1"/>
  <c r="R60" i="5"/>
  <c r="R62" i="5"/>
  <c r="R61" i="5"/>
  <c r="AL582" i="6"/>
  <c r="R57" i="5"/>
  <c r="R59" i="5"/>
  <c r="R48" i="5"/>
  <c r="R58" i="5"/>
  <c r="R44" i="5"/>
  <c r="R54" i="5"/>
  <c r="U118" i="6"/>
  <c r="U119" i="6" s="1"/>
  <c r="S4" i="5"/>
  <c r="R30" i="5"/>
  <c r="R26" i="5"/>
  <c r="R11" i="5"/>
  <c r="R17" i="5"/>
  <c r="R18" i="5"/>
  <c r="R22" i="5"/>
  <c r="R24" i="5"/>
  <c r="R16" i="5"/>
  <c r="R21" i="5"/>
  <c r="R27" i="5"/>
  <c r="R19" i="5"/>
  <c r="R23" i="5"/>
  <c r="R10" i="5"/>
  <c r="R15" i="5"/>
  <c r="R14" i="5"/>
  <c r="R32" i="5"/>
  <c r="R20" i="5"/>
  <c r="R34" i="5"/>
  <c r="R25" i="5"/>
  <c r="R33" i="5"/>
  <c r="R28" i="5"/>
  <c r="R13" i="5"/>
  <c r="R29" i="5"/>
  <c r="R31" i="5"/>
  <c r="R12" i="5"/>
  <c r="R56" i="5"/>
  <c r="R45" i="5"/>
  <c r="R65" i="5"/>
  <c r="R63" i="5"/>
  <c r="R51" i="5"/>
  <c r="AM362" i="6"/>
  <c r="W262" i="6"/>
  <c r="AO263" i="6" s="1"/>
  <c r="Q22" i="5"/>
  <c r="Q12" i="5"/>
  <c r="Q10" i="5"/>
  <c r="Q32" i="5"/>
  <c r="Q28" i="5"/>
  <c r="Q15" i="5"/>
  <c r="Q11" i="5"/>
  <c r="Q25" i="5"/>
  <c r="Q19" i="5"/>
  <c r="Q29" i="5"/>
  <c r="Q20" i="5"/>
  <c r="Q30" i="5"/>
  <c r="Q27" i="5"/>
  <c r="Q34" i="5"/>
  <c r="Q26" i="5"/>
  <c r="Q24" i="5"/>
  <c r="Q16" i="5"/>
  <c r="Q33" i="5"/>
  <c r="Q13" i="5"/>
  <c r="Q21" i="5"/>
  <c r="Q17" i="5"/>
  <c r="Q18" i="5"/>
  <c r="Q31" i="5"/>
  <c r="Q23" i="5"/>
  <c r="Q14" i="5"/>
  <c r="AM72" i="6"/>
  <c r="AN72" i="6"/>
  <c r="Z95" i="7"/>
  <c r="V73" i="6"/>
  <c r="V74" i="6" s="1"/>
  <c r="W72" i="6"/>
  <c r="AO73" i="6" s="1"/>
  <c r="Z23" i="7"/>
  <c r="Z93" i="7"/>
  <c r="Z96" i="7" s="1"/>
  <c r="W482" i="6"/>
  <c r="X482" i="6" s="1"/>
  <c r="X483" i="6" s="1"/>
  <c r="X484" i="6" s="1"/>
  <c r="V483" i="6"/>
  <c r="V484" i="6" s="1"/>
  <c r="X19" i="3"/>
  <c r="AN482" i="6"/>
  <c r="U21" i="3"/>
  <c r="V362" i="6"/>
  <c r="V363" i="6" s="1"/>
  <c r="V364" i="6" s="1"/>
  <c r="AM482" i="6"/>
  <c r="X17" i="3"/>
  <c r="AN113" i="6"/>
  <c r="AB87" i="7"/>
  <c r="W12" i="6"/>
  <c r="W13" i="6" s="1"/>
  <c r="W14" i="6" s="1"/>
  <c r="AH11" i="9"/>
  <c r="AH13" i="9" s="1"/>
  <c r="AN12" i="6"/>
  <c r="AN13" i="6" s="1"/>
  <c r="V13" i="6"/>
  <c r="V14" i="6" s="1"/>
  <c r="U473" i="6"/>
  <c r="U474" i="6" s="1"/>
  <c r="N200" i="5"/>
  <c r="N214" i="5" s="1"/>
  <c r="V472" i="6"/>
  <c r="W472" i="6" s="1"/>
  <c r="AM472" i="6"/>
  <c r="AM632" i="6"/>
  <c r="AN172" i="6"/>
  <c r="AN173" i="6"/>
  <c r="AN632" i="6"/>
  <c r="AL413" i="6"/>
  <c r="U162" i="6"/>
  <c r="V162" i="6" s="1"/>
  <c r="V163" i="6" s="1"/>
  <c r="V164" i="6" s="1"/>
  <c r="T163" i="6"/>
  <c r="T164" i="6" s="1"/>
  <c r="W172" i="6"/>
  <c r="X172" i="6" s="1"/>
  <c r="Y172" i="6" s="1"/>
  <c r="Z172" i="6" s="1"/>
  <c r="AN633" i="6"/>
  <c r="AM363" i="6"/>
  <c r="U412" i="6"/>
  <c r="U413" i="6" s="1"/>
  <c r="U414" i="6" s="1"/>
  <c r="AL162" i="6"/>
  <c r="V122" i="6"/>
  <c r="W632" i="6"/>
  <c r="X632" i="6" s="1"/>
  <c r="AP633" i="6" s="1"/>
  <c r="W112" i="6"/>
  <c r="X112" i="6" s="1"/>
  <c r="AP112" i="6" s="1"/>
  <c r="AL412" i="6"/>
  <c r="AL163" i="6"/>
  <c r="O168" i="5"/>
  <c r="N181" i="5"/>
  <c r="N193" i="5"/>
  <c r="N187" i="5"/>
  <c r="N180" i="5"/>
  <c r="N192" i="5"/>
  <c r="N188" i="5"/>
  <c r="N173" i="5"/>
  <c r="N170" i="5"/>
  <c r="N179" i="5"/>
  <c r="N177" i="5"/>
  <c r="N186" i="5"/>
  <c r="N178" i="5"/>
  <c r="N182" i="5"/>
  <c r="N176" i="5"/>
  <c r="N185" i="5"/>
  <c r="N183" i="5"/>
  <c r="N175" i="5"/>
  <c r="N171" i="5"/>
  <c r="N189" i="5"/>
  <c r="N174" i="5"/>
  <c r="N194" i="5"/>
  <c r="N191" i="5"/>
  <c r="N184" i="5"/>
  <c r="N190" i="5"/>
  <c r="N172" i="5"/>
  <c r="AD23" i="9"/>
  <c r="AD25" i="9" s="1"/>
  <c r="Y29" i="7"/>
  <c r="C170" i="5"/>
  <c r="A202" i="5"/>
  <c r="B170" i="5"/>
  <c r="D170" i="5"/>
  <c r="I130" i="6"/>
  <c r="J129" i="6"/>
  <c r="R133" i="6"/>
  <c r="R134" i="6" s="1"/>
  <c r="AJ132" i="6"/>
  <c r="AJ133" i="6" s="1"/>
  <c r="S132" i="6"/>
  <c r="AC29" i="9"/>
  <c r="AC31" i="9" s="1"/>
  <c r="AI27" i="6"/>
  <c r="AI28" i="6" s="1"/>
  <c r="Q28" i="6"/>
  <c r="Y33" i="7"/>
  <c r="F245" i="5"/>
  <c r="F254" i="5"/>
  <c r="F234" i="5"/>
  <c r="F242" i="5"/>
  <c r="F235" i="5"/>
  <c r="F241" i="5"/>
  <c r="F236" i="5"/>
  <c r="F249" i="5"/>
  <c r="F250" i="5"/>
  <c r="F257" i="5"/>
  <c r="F251" i="5"/>
  <c r="F246" i="5"/>
  <c r="F238" i="5"/>
  <c r="F255" i="5"/>
  <c r="M232" i="5"/>
  <c r="F256" i="5"/>
  <c r="F239" i="5"/>
  <c r="F237" i="5"/>
  <c r="F247" i="5"/>
  <c r="F243" i="5"/>
  <c r="F258" i="5"/>
  <c r="H231" i="5"/>
  <c r="F263" i="5" s="1"/>
  <c r="F253" i="5"/>
  <c r="F252" i="5"/>
  <c r="F244" i="5"/>
  <c r="F248" i="5"/>
  <c r="F240" i="5"/>
  <c r="M217" i="5"/>
  <c r="M202" i="5"/>
  <c r="M203" i="5"/>
  <c r="M224" i="5"/>
  <c r="M209" i="5"/>
  <c r="M212" i="5"/>
  <c r="M207" i="5"/>
  <c r="M221" i="5"/>
  <c r="M225" i="5"/>
  <c r="M216" i="5"/>
  <c r="M219" i="5"/>
  <c r="M223" i="5"/>
  <c r="M222" i="5"/>
  <c r="M226" i="5"/>
  <c r="M214" i="5"/>
  <c r="M220" i="5"/>
  <c r="M210" i="5"/>
  <c r="M208" i="5"/>
  <c r="M218" i="5"/>
  <c r="M213" i="5"/>
  <c r="M211" i="5"/>
  <c r="M215" i="5"/>
  <c r="M205" i="5"/>
  <c r="M204" i="5"/>
  <c r="M206" i="5"/>
  <c r="H45" i="6"/>
  <c r="I44" i="6" s="1"/>
  <c r="R88" i="5"/>
  <c r="R82" i="5"/>
  <c r="R83" i="5"/>
  <c r="R78" i="5"/>
  <c r="R77" i="5"/>
  <c r="R87" i="5"/>
  <c r="R84" i="5"/>
  <c r="R81" i="5"/>
  <c r="R79" i="5"/>
  <c r="R80" i="5"/>
  <c r="R85" i="5"/>
  <c r="R93" i="5"/>
  <c r="R91" i="5"/>
  <c r="R90" i="5"/>
  <c r="R86" i="5"/>
  <c r="R94" i="5"/>
  <c r="R96" i="5"/>
  <c r="R98" i="5"/>
  <c r="R89" i="5"/>
  <c r="R76" i="5"/>
  <c r="R92" i="5"/>
  <c r="R75" i="5"/>
  <c r="R74" i="5"/>
  <c r="R97" i="5"/>
  <c r="R95" i="5"/>
  <c r="S72" i="5"/>
  <c r="W7" i="6"/>
  <c r="AN7" i="6"/>
  <c r="V8" i="6"/>
  <c r="V9" i="6" s="1"/>
  <c r="AH4" i="9"/>
  <c r="AH6" i="9" s="1"/>
  <c r="AD8" i="7"/>
  <c r="AN8" i="6"/>
  <c r="AA80" i="7"/>
  <c r="AB80" i="7"/>
  <c r="AB83" i="7" s="1"/>
  <c r="AB10" i="7"/>
  <c r="AB11" i="7"/>
  <c r="AB82" i="7"/>
  <c r="AM8" i="6"/>
  <c r="AC8" i="7"/>
  <c r="AM7" i="6"/>
  <c r="AG4" i="9"/>
  <c r="AG6" i="9" s="1"/>
  <c r="U8" i="6"/>
  <c r="U9" i="6" s="1"/>
  <c r="AN423" i="6"/>
  <c r="W422" i="6"/>
  <c r="X422" i="6" s="1"/>
  <c r="AP423" i="6" s="1"/>
  <c r="X722" i="6"/>
  <c r="Y722" i="6" s="1"/>
  <c r="AO723" i="6"/>
  <c r="AO722" i="6"/>
  <c r="W723" i="6"/>
  <c r="W724" i="6" s="1"/>
  <c r="V113" i="6"/>
  <c r="V114" i="6" s="1"/>
  <c r="AN722" i="6"/>
  <c r="AN723" i="6"/>
  <c r="V723" i="6"/>
  <c r="V724" i="6" s="1"/>
  <c r="Z527" i="6"/>
  <c r="AR527" i="6" s="1"/>
  <c r="AR528" i="6" s="1"/>
  <c r="AM317" i="6"/>
  <c r="AM318" i="6" s="1"/>
  <c r="U318" i="6"/>
  <c r="U319" i="6" s="1"/>
  <c r="AF17" i="9"/>
  <c r="AL17" i="6"/>
  <c r="AB21" i="7"/>
  <c r="AL727" i="6"/>
  <c r="AL213" i="6"/>
  <c r="T213" i="6"/>
  <c r="T214" i="6" s="1"/>
  <c r="AL212" i="6"/>
  <c r="U212" i="6"/>
  <c r="V417" i="6"/>
  <c r="W417" i="6" s="1"/>
  <c r="AM417" i="6"/>
  <c r="AM418" i="6" s="1"/>
  <c r="U418" i="6"/>
  <c r="U419" i="6" s="1"/>
  <c r="V423" i="6"/>
  <c r="V424" i="6" s="1"/>
  <c r="AL317" i="6"/>
  <c r="V317" i="6"/>
  <c r="U17" i="6"/>
  <c r="AL627" i="6"/>
  <c r="V522" i="6"/>
  <c r="W522" i="6" s="1"/>
  <c r="AM522" i="6"/>
  <c r="U523" i="6"/>
  <c r="U524" i="6" s="1"/>
  <c r="AM523" i="6"/>
  <c r="AM422" i="6"/>
  <c r="U572" i="6"/>
  <c r="AL573" i="6"/>
  <c r="AL572" i="6"/>
  <c r="T573" i="6"/>
  <c r="T574" i="6" s="1"/>
  <c r="AL677" i="6"/>
  <c r="V677" i="6"/>
  <c r="W677" i="6" s="1"/>
  <c r="U627" i="6"/>
  <c r="AN422" i="6"/>
  <c r="W672" i="6"/>
  <c r="AN672" i="6"/>
  <c r="AN673" i="6"/>
  <c r="V673" i="6"/>
  <c r="V674" i="6" s="1"/>
  <c r="T313" i="6"/>
  <c r="T314" i="6" s="1"/>
  <c r="AL312" i="6"/>
  <c r="AL313" i="6"/>
  <c r="AL417" i="6"/>
  <c r="U727" i="6"/>
  <c r="U678" i="6"/>
  <c r="U679" i="6" s="1"/>
  <c r="AM677" i="6"/>
  <c r="AM678" i="6" s="1"/>
  <c r="U267" i="6"/>
  <c r="V267" i="6" s="1"/>
  <c r="AL267" i="6"/>
  <c r="AL477" i="6"/>
  <c r="U477" i="6"/>
  <c r="U312" i="6"/>
  <c r="U167" i="6"/>
  <c r="V167" i="6" s="1"/>
  <c r="AL167" i="6"/>
  <c r="U272" i="6"/>
  <c r="AL272" i="6"/>
  <c r="W622" i="6"/>
  <c r="X622" i="6" s="1"/>
  <c r="AN623" i="6"/>
  <c r="AN622" i="6"/>
  <c r="V623" i="6"/>
  <c r="V624" i="6" s="1"/>
  <c r="X68" i="6"/>
  <c r="X69" i="6" s="1"/>
  <c r="AP67" i="6"/>
  <c r="AP68" i="6" s="1"/>
  <c r="AO67" i="6"/>
  <c r="AO68" i="6" s="1"/>
  <c r="Y67" i="6"/>
  <c r="Z67" i="6" s="1"/>
  <c r="W68" i="6"/>
  <c r="W69" i="6" s="1"/>
  <c r="T624" i="6"/>
  <c r="W368" i="6"/>
  <c r="W369" i="6" s="1"/>
  <c r="AO367" i="6"/>
  <c r="AO368" i="6" s="1"/>
  <c r="AP63" i="6"/>
  <c r="AP62" i="6"/>
  <c r="X63" i="6"/>
  <c r="X64" i="6" s="1"/>
  <c r="X367" i="6"/>
  <c r="Y367" i="6" s="1"/>
  <c r="AO62" i="6"/>
  <c r="AO63" i="6"/>
  <c r="W63" i="6"/>
  <c r="W64" i="6" s="1"/>
  <c r="Y62" i="6"/>
  <c r="T21" i="3"/>
  <c r="V16" i="3"/>
  <c r="V21" i="3" s="1"/>
  <c r="U369" i="6"/>
  <c r="U64" i="6"/>
  <c r="T693" i="6"/>
  <c r="T694" i="6" s="1"/>
  <c r="AL692" i="6"/>
  <c r="AL693" i="6" s="1"/>
  <c r="AO77" i="6"/>
  <c r="AO78" i="6" s="1"/>
  <c r="W78" i="6"/>
  <c r="W79" i="6" s="1"/>
  <c r="AM487" i="6"/>
  <c r="AN587" i="6"/>
  <c r="AM637" i="6"/>
  <c r="T493" i="6"/>
  <c r="T494" i="6" s="1"/>
  <c r="AL492" i="6"/>
  <c r="AL493" i="6" s="1"/>
  <c r="U183" i="6"/>
  <c r="U184" i="6" s="1"/>
  <c r="AM182" i="6"/>
  <c r="AM183" i="6" s="1"/>
  <c r="S598" i="6"/>
  <c r="S599" i="6" s="1"/>
  <c r="AK597" i="6"/>
  <c r="AK598" i="6" s="1"/>
  <c r="AK747" i="6"/>
  <c r="AK748" i="6" s="1"/>
  <c r="S748" i="6"/>
  <c r="AM432" i="6"/>
  <c r="AM433" i="6" s="1"/>
  <c r="U433" i="6"/>
  <c r="U434" i="6" s="1"/>
  <c r="W688" i="6"/>
  <c r="W689" i="6" s="1"/>
  <c r="AO687" i="6"/>
  <c r="AO688" i="6" s="1"/>
  <c r="S188" i="6"/>
  <c r="S189" i="6" s="1"/>
  <c r="AK187" i="6"/>
  <c r="AK188" i="6" s="1"/>
  <c r="AK647" i="6"/>
  <c r="AK648" i="6" s="1"/>
  <c r="S648" i="6"/>
  <c r="S649" i="6" s="1"/>
  <c r="AM592" i="6"/>
  <c r="AM593" i="6" s="1"/>
  <c r="U593" i="6"/>
  <c r="U594" i="6" s="1"/>
  <c r="S237" i="6"/>
  <c r="T237" i="6" s="1"/>
  <c r="AI342" i="6"/>
  <c r="R342" i="6"/>
  <c r="Q343" i="6"/>
  <c r="AI548" i="6"/>
  <c r="H79" i="6"/>
  <c r="I78" i="6" s="1"/>
  <c r="AL592" i="6"/>
  <c r="AL593" i="6" s="1"/>
  <c r="T593" i="6"/>
  <c r="T594" i="6" s="1"/>
  <c r="V592" i="6"/>
  <c r="AI238" i="6"/>
  <c r="Q699" i="6"/>
  <c r="R92" i="6"/>
  <c r="S92" i="6" s="1"/>
  <c r="Q93" i="6"/>
  <c r="AI92" i="6"/>
  <c r="R142" i="6"/>
  <c r="S142" i="6" s="1"/>
  <c r="AI142" i="6"/>
  <c r="Q143" i="6"/>
  <c r="R602" i="6"/>
  <c r="S602" i="6" s="1"/>
  <c r="AI602" i="6"/>
  <c r="Q603" i="6"/>
  <c r="AL82" i="6"/>
  <c r="AL83" i="6" s="1"/>
  <c r="T83" i="6"/>
  <c r="T84" i="6" s="1"/>
  <c r="Q239" i="6"/>
  <c r="S697" i="6"/>
  <c r="T697" i="6" s="1"/>
  <c r="AI552" i="6"/>
  <c r="R552" i="6"/>
  <c r="Q553" i="6"/>
  <c r="Q193" i="6"/>
  <c r="AI192" i="6"/>
  <c r="R192" i="6"/>
  <c r="S192" i="6" s="1"/>
  <c r="I28" i="6"/>
  <c r="Q707" i="6"/>
  <c r="Q147" i="6"/>
  <c r="Q347" i="6"/>
  <c r="Q607" i="6"/>
  <c r="Q507" i="6"/>
  <c r="Q757" i="6"/>
  <c r="Q97" i="6"/>
  <c r="Q557" i="6"/>
  <c r="J27" i="6"/>
  <c r="Q657" i="6"/>
  <c r="Q297" i="6"/>
  <c r="Q197" i="6"/>
  <c r="Q447" i="6"/>
  <c r="Q247" i="6"/>
  <c r="Q397" i="6"/>
  <c r="R442" i="6"/>
  <c r="AI442" i="6"/>
  <c r="Q443" i="6"/>
  <c r="S547" i="6"/>
  <c r="T547" i="6" s="1"/>
  <c r="C221" i="5"/>
  <c r="B221" i="5"/>
  <c r="A253" i="5"/>
  <c r="D221" i="5"/>
  <c r="AN427" i="6"/>
  <c r="AL382" i="6"/>
  <c r="AL383" i="6" s="1"/>
  <c r="T383" i="6"/>
  <c r="T384" i="6" s="1"/>
  <c r="AN377" i="6"/>
  <c r="AL688" i="6"/>
  <c r="AM282" i="6"/>
  <c r="AM283" i="6" s="1"/>
  <c r="U283" i="6"/>
  <c r="U284" i="6" s="1"/>
  <c r="Q289" i="6"/>
  <c r="AJ137" i="6"/>
  <c r="AJ138" i="6" s="1"/>
  <c r="R138" i="6"/>
  <c r="R139" i="6" s="1"/>
  <c r="R388" i="6"/>
  <c r="R389" i="6" s="1"/>
  <c r="T387" i="6"/>
  <c r="U387" i="6" s="1"/>
  <c r="AJ387" i="6"/>
  <c r="AJ388" i="6" s="1"/>
  <c r="H113" i="6"/>
  <c r="I112" i="6" s="1"/>
  <c r="U227" i="6"/>
  <c r="V227" i="6" s="1"/>
  <c r="AM737" i="6"/>
  <c r="AM537" i="6"/>
  <c r="W734" i="6"/>
  <c r="Q89" i="6"/>
  <c r="AL538" i="6"/>
  <c r="S639" i="6"/>
  <c r="AM177" i="6"/>
  <c r="AI498" i="6"/>
  <c r="T337" i="6"/>
  <c r="U337" i="6" s="1"/>
  <c r="AJ337" i="6"/>
  <c r="AJ338" i="6" s="1"/>
  <c r="R338" i="6"/>
  <c r="R339" i="6" s="1"/>
  <c r="AL642" i="6"/>
  <c r="V642" i="6"/>
  <c r="W642" i="6" s="1"/>
  <c r="T643" i="6"/>
  <c r="T739" i="6"/>
  <c r="D238" i="5"/>
  <c r="C238" i="5"/>
  <c r="B238" i="5"/>
  <c r="A270" i="5"/>
  <c r="U82" i="6"/>
  <c r="W377" i="6"/>
  <c r="X377" i="6" s="1"/>
  <c r="AJ237" i="6"/>
  <c r="AJ238" i="6" s="1"/>
  <c r="R238" i="6"/>
  <c r="R239" i="6" s="1"/>
  <c r="A305" i="5"/>
  <c r="D273" i="5"/>
  <c r="B273" i="5"/>
  <c r="C273" i="5"/>
  <c r="AM542" i="6"/>
  <c r="AM543" i="6" s="1"/>
  <c r="U543" i="6"/>
  <c r="U544" i="6" s="1"/>
  <c r="AL278" i="6"/>
  <c r="T228" i="6"/>
  <c r="T229" i="6" s="1"/>
  <c r="AL227" i="6"/>
  <c r="AL228" i="6" s="1"/>
  <c r="V734" i="6"/>
  <c r="V223" i="6"/>
  <c r="V224" i="6" s="1"/>
  <c r="AN223" i="6"/>
  <c r="AN222" i="6"/>
  <c r="T379" i="6"/>
  <c r="AI438" i="6"/>
  <c r="AI288" i="6"/>
  <c r="AI138" i="6"/>
  <c r="AI388" i="6"/>
  <c r="AK232" i="6"/>
  <c r="AK233" i="6" s="1"/>
  <c r="S233" i="6"/>
  <c r="S234" i="6" s="1"/>
  <c r="AL487" i="6"/>
  <c r="AL488" i="6" s="1"/>
  <c r="T488" i="6"/>
  <c r="V487" i="6"/>
  <c r="W487" i="6" s="1"/>
  <c r="V373" i="6"/>
  <c r="AN373" i="6"/>
  <c r="AN372" i="6"/>
  <c r="I23" i="2"/>
  <c r="J22" i="2" s="1"/>
  <c r="T183" i="6"/>
  <c r="AL182" i="6"/>
  <c r="V182" i="6"/>
  <c r="T743" i="6"/>
  <c r="AL742" i="6"/>
  <c r="AL743" i="6" s="1"/>
  <c r="V742" i="6"/>
  <c r="W742" i="6" s="1"/>
  <c r="AJ597" i="6"/>
  <c r="AJ598" i="6" s="1"/>
  <c r="T597" i="6"/>
  <c r="R598" i="6"/>
  <c r="R599" i="6" s="1"/>
  <c r="AK87" i="6"/>
  <c r="AK88" i="6" s="1"/>
  <c r="S88" i="6"/>
  <c r="S89" i="6" s="1"/>
  <c r="AI748" i="6"/>
  <c r="T187" i="6"/>
  <c r="AJ187" i="6"/>
  <c r="AJ188" i="6" s="1"/>
  <c r="R188" i="6"/>
  <c r="R189" i="6" s="1"/>
  <c r="AN127" i="6"/>
  <c r="X127" i="6"/>
  <c r="Y127" i="6" s="1"/>
  <c r="AD18" i="7"/>
  <c r="AD89" i="7"/>
  <c r="AD17" i="7"/>
  <c r="AD87" i="7"/>
  <c r="AD90" i="7" s="1"/>
  <c r="Q499" i="6"/>
  <c r="AI338" i="6"/>
  <c r="AI648" i="6"/>
  <c r="AM642" i="6"/>
  <c r="AM643" i="6" s="1"/>
  <c r="U643" i="6"/>
  <c r="U644" i="6" s="1"/>
  <c r="V737" i="6"/>
  <c r="B214" i="5"/>
  <c r="A246" i="5"/>
  <c r="D214" i="5"/>
  <c r="C214" i="5"/>
  <c r="AK488" i="6"/>
  <c r="D242" i="5"/>
  <c r="C242" i="5"/>
  <c r="B242" i="5"/>
  <c r="A274" i="5"/>
  <c r="S744" i="6"/>
  <c r="Q753" i="6"/>
  <c r="AI752" i="6"/>
  <c r="R752" i="6"/>
  <c r="S752" i="6" s="1"/>
  <c r="AM277" i="6"/>
  <c r="AI698" i="6"/>
  <c r="AI502" i="6"/>
  <c r="Q503" i="6"/>
  <c r="R502" i="6"/>
  <c r="S502" i="6" s="1"/>
  <c r="AI392" i="6"/>
  <c r="R392" i="6"/>
  <c r="S392" i="6" s="1"/>
  <c r="Q393" i="6"/>
  <c r="R702" i="6"/>
  <c r="S702" i="6" s="1"/>
  <c r="AI702" i="6"/>
  <c r="Q703" i="6"/>
  <c r="Q243" i="6"/>
  <c r="AI242" i="6"/>
  <c r="R242" i="6"/>
  <c r="S242" i="6" s="1"/>
  <c r="Q549" i="6"/>
  <c r="C216" i="5"/>
  <c r="B216" i="5"/>
  <c r="A248" i="5"/>
  <c r="D216" i="5"/>
  <c r="D218" i="5"/>
  <c r="A250" i="5"/>
  <c r="B218" i="5"/>
  <c r="C218" i="5"/>
  <c r="V277" i="6"/>
  <c r="AK437" i="6"/>
  <c r="AK438" i="6" s="1"/>
  <c r="S438" i="6"/>
  <c r="S439" i="6" s="1"/>
  <c r="Q439" i="6"/>
  <c r="S288" i="6"/>
  <c r="S289" i="6" s="1"/>
  <c r="AK287" i="6"/>
  <c r="AK288" i="6" s="1"/>
  <c r="Q139" i="6"/>
  <c r="S388" i="6"/>
  <c r="S389" i="6" s="1"/>
  <c r="AK387" i="6"/>
  <c r="AK388" i="6" s="1"/>
  <c r="Q234" i="6"/>
  <c r="H232" i="6"/>
  <c r="I231" i="6"/>
  <c r="H249" i="6"/>
  <c r="I248" i="6" s="1"/>
  <c r="H147" i="6"/>
  <c r="I146" i="6"/>
  <c r="W128" i="6"/>
  <c r="W129" i="6" s="1"/>
  <c r="AO127" i="6"/>
  <c r="AO128" i="6" s="1"/>
  <c r="U382" i="6"/>
  <c r="U492" i="6"/>
  <c r="V492" i="6" s="1"/>
  <c r="S493" i="6"/>
  <c r="S494" i="6" s="1"/>
  <c r="AK492" i="6"/>
  <c r="U219" i="6"/>
  <c r="AL282" i="6"/>
  <c r="T283" i="6"/>
  <c r="V282" i="6"/>
  <c r="R744" i="6"/>
  <c r="Q599" i="6"/>
  <c r="T87" i="6"/>
  <c r="AJ87" i="6"/>
  <c r="AJ88" i="6" s="1"/>
  <c r="R88" i="6"/>
  <c r="R89" i="6" s="1"/>
  <c r="Q749" i="6"/>
  <c r="AI188" i="6"/>
  <c r="W222" i="6"/>
  <c r="S333" i="6"/>
  <c r="AK332" i="6"/>
  <c r="AK497" i="6"/>
  <c r="AK498" i="6" s="1"/>
  <c r="S498" i="6"/>
  <c r="S499" i="6" s="1"/>
  <c r="S338" i="6"/>
  <c r="S339" i="6" s="1"/>
  <c r="AK337" i="6"/>
  <c r="AK338" i="6" s="1"/>
  <c r="Q649" i="6"/>
  <c r="AL738" i="6"/>
  <c r="V177" i="6"/>
  <c r="W427" i="6"/>
  <c r="X427" i="6" s="1"/>
  <c r="W372" i="6"/>
  <c r="AJ697" i="6"/>
  <c r="AJ698" i="6" s="1"/>
  <c r="R698" i="6"/>
  <c r="R699" i="6" s="1"/>
  <c r="AI652" i="6"/>
  <c r="R652" i="6"/>
  <c r="S652" i="6" s="1"/>
  <c r="Q653" i="6"/>
  <c r="AM742" i="6"/>
  <c r="AM743" i="6" s="1"/>
  <c r="U743" i="6"/>
  <c r="Q293" i="6"/>
  <c r="R292" i="6"/>
  <c r="S292" i="6" s="1"/>
  <c r="AI292" i="6"/>
  <c r="R548" i="6"/>
  <c r="R549" i="6" s="1"/>
  <c r="AJ547" i="6"/>
  <c r="AJ548" i="6" s="1"/>
  <c r="C258" i="5"/>
  <c r="A290" i="5"/>
  <c r="B258" i="5"/>
  <c r="D258" i="5"/>
  <c r="S693" i="6"/>
  <c r="S694" i="6" s="1"/>
  <c r="U692" i="6"/>
  <c r="V692" i="6" s="1"/>
  <c r="AK692" i="6"/>
  <c r="AK693" i="6" s="1"/>
  <c r="AN327" i="6"/>
  <c r="AP733" i="6"/>
  <c r="AP732" i="6"/>
  <c r="X733" i="6"/>
  <c r="AL378" i="6"/>
  <c r="AN77" i="6"/>
  <c r="X77" i="6"/>
  <c r="AN687" i="6"/>
  <c r="X687" i="6"/>
  <c r="Y687" i="6" s="1"/>
  <c r="R438" i="6"/>
  <c r="R439" i="6" s="1"/>
  <c r="T437" i="6"/>
  <c r="AJ437" i="6"/>
  <c r="AJ438" i="6" s="1"/>
  <c r="R288" i="6"/>
  <c r="R289" i="6" s="1"/>
  <c r="AJ287" i="6"/>
  <c r="AJ288" i="6" s="1"/>
  <c r="T287" i="6"/>
  <c r="S137" i="6"/>
  <c r="Q389" i="6"/>
  <c r="T232" i="6"/>
  <c r="AJ232" i="6"/>
  <c r="AJ233" i="6" s="1"/>
  <c r="R233" i="6"/>
  <c r="R234" i="6" s="1"/>
  <c r="AI233" i="6"/>
  <c r="AM587" i="6"/>
  <c r="W587" i="6"/>
  <c r="T638" i="6"/>
  <c r="T639" i="6" s="1"/>
  <c r="AL637" i="6"/>
  <c r="AL638" i="6" s="1"/>
  <c r="V637" i="6"/>
  <c r="D256" i="5"/>
  <c r="A288" i="5"/>
  <c r="B256" i="5"/>
  <c r="C256" i="5"/>
  <c r="C204" i="5"/>
  <c r="A236" i="5"/>
  <c r="B204" i="5"/>
  <c r="D204" i="5"/>
  <c r="Y732" i="6"/>
  <c r="AI598" i="6"/>
  <c r="AI88" i="6"/>
  <c r="R748" i="6"/>
  <c r="T747" i="6"/>
  <c r="AJ747" i="6"/>
  <c r="AJ748" i="6" s="1"/>
  <c r="Q189" i="6"/>
  <c r="V537" i="6"/>
  <c r="T433" i="6"/>
  <c r="T434" i="6" s="1"/>
  <c r="AL432" i="6"/>
  <c r="V432" i="6"/>
  <c r="W432" i="6" s="1"/>
  <c r="I197" i="6"/>
  <c r="H198" i="6"/>
  <c r="AM327" i="6"/>
  <c r="W327" i="6"/>
  <c r="X327" i="6" s="1"/>
  <c r="I62" i="6"/>
  <c r="J61" i="6"/>
  <c r="AK638" i="6"/>
  <c r="AL542" i="6"/>
  <c r="AL543" i="6" s="1"/>
  <c r="T543" i="6"/>
  <c r="V542" i="6"/>
  <c r="W542" i="6" s="1"/>
  <c r="AJ497" i="6"/>
  <c r="AJ498" i="6" s="1"/>
  <c r="T497" i="6"/>
  <c r="R498" i="6"/>
  <c r="R499" i="6" s="1"/>
  <c r="Q339" i="6"/>
  <c r="AJ647" i="6"/>
  <c r="AJ648" i="6" s="1"/>
  <c r="R648" i="6"/>
  <c r="R649" i="6" s="1"/>
  <c r="T647" i="6"/>
  <c r="T332" i="6"/>
  <c r="S22" i="6" l="1"/>
  <c r="R23" i="6"/>
  <c r="R24" i="6" s="1"/>
  <c r="R777" i="6" s="1"/>
  <c r="Z27" i="7"/>
  <c r="Z101" i="7" s="1"/>
  <c r="Y30" i="7"/>
  <c r="Y101" i="7"/>
  <c r="S104" i="5"/>
  <c r="S109" i="5" s="1"/>
  <c r="AN217" i="6"/>
  <c r="AN218" i="6" s="1"/>
  <c r="X217" i="6"/>
  <c r="Y217" i="6" s="1"/>
  <c r="Y218" i="6" s="1"/>
  <c r="Y219" i="6" s="1"/>
  <c r="W218" i="6"/>
  <c r="W219" i="6" s="1"/>
  <c r="V218" i="6"/>
  <c r="V219" i="6" s="1"/>
  <c r="AA93" i="7"/>
  <c r="AA96" i="7" s="1"/>
  <c r="S774" i="6"/>
  <c r="AA95" i="7"/>
  <c r="Q32" i="6"/>
  <c r="AC36" i="9" s="1"/>
  <c r="AC38" i="9" s="1"/>
  <c r="AA24" i="7"/>
  <c r="R27" i="6"/>
  <c r="S27" i="6" s="1"/>
  <c r="AK27" i="6" s="1"/>
  <c r="AK28" i="6" s="1"/>
  <c r="Q776" i="6"/>
  <c r="AQ527" i="6"/>
  <c r="AQ528" i="6" s="1"/>
  <c r="P136" i="5"/>
  <c r="O162" i="5"/>
  <c r="O161" i="5"/>
  <c r="O154" i="5"/>
  <c r="O147" i="5"/>
  <c r="O155" i="5"/>
  <c r="O141" i="5"/>
  <c r="O146" i="5"/>
  <c r="O157" i="5"/>
  <c r="O148" i="5"/>
  <c r="O160" i="5"/>
  <c r="O149" i="5"/>
  <c r="O150" i="5"/>
  <c r="O153" i="5"/>
  <c r="O139" i="5"/>
  <c r="O142" i="5"/>
  <c r="O138" i="5"/>
  <c r="O159" i="5"/>
  <c r="O156" i="5"/>
  <c r="O151" i="5"/>
  <c r="O152" i="5"/>
  <c r="O145" i="5"/>
  <c r="O158" i="5"/>
  <c r="O140" i="5"/>
  <c r="O143" i="5"/>
  <c r="O144" i="5"/>
  <c r="B35" i="7"/>
  <c r="V35" i="7" s="1"/>
  <c r="AN532" i="6"/>
  <c r="G11" i="6"/>
  <c r="H10" i="6" s="1"/>
  <c r="BS2" i="6" s="1"/>
  <c r="G265" i="6"/>
  <c r="AO683" i="6"/>
  <c r="I181" i="6"/>
  <c r="J180" i="6" s="1"/>
  <c r="I96" i="6"/>
  <c r="J95" i="6" s="1"/>
  <c r="I215" i="6"/>
  <c r="J214" i="6" s="1"/>
  <c r="H18" i="9"/>
  <c r="I10" i="3"/>
  <c r="W683" i="6"/>
  <c r="W684" i="6" s="1"/>
  <c r="D245" i="5"/>
  <c r="C245" i="5"/>
  <c r="B245" i="5"/>
  <c r="A277" i="5"/>
  <c r="D313" i="5"/>
  <c r="B313" i="5"/>
  <c r="C313" i="5"/>
  <c r="D240" i="5"/>
  <c r="B240" i="5"/>
  <c r="C240" i="5"/>
  <c r="A272" i="5"/>
  <c r="A284" i="5"/>
  <c r="C252" i="5"/>
  <c r="D252" i="5"/>
  <c r="B252" i="5"/>
  <c r="C301" i="5"/>
  <c r="D301" i="5"/>
  <c r="B301" i="5"/>
  <c r="B307" i="5"/>
  <c r="D307" i="5"/>
  <c r="C307" i="5"/>
  <c r="A303" i="5"/>
  <c r="C271" i="5"/>
  <c r="D271" i="5"/>
  <c r="B271" i="5"/>
  <c r="J171" i="6"/>
  <c r="K163" i="6"/>
  <c r="J164" i="6"/>
  <c r="J173" i="6"/>
  <c r="B254" i="5"/>
  <c r="A286" i="5"/>
  <c r="D254" i="5"/>
  <c r="C254" i="5"/>
  <c r="AP577" i="6"/>
  <c r="AP578" i="6" s="1"/>
  <c r="W583" i="6"/>
  <c r="W584" i="6" s="1"/>
  <c r="X528" i="6"/>
  <c r="X529" i="6" s="1"/>
  <c r="X578" i="6"/>
  <c r="X579" i="6" s="1"/>
  <c r="AP527" i="6"/>
  <c r="AP528" i="6" s="1"/>
  <c r="AN582" i="6"/>
  <c r="X682" i="6"/>
  <c r="AP682" i="6" s="1"/>
  <c r="T40" i="5"/>
  <c r="U40" i="5" s="1"/>
  <c r="U66" i="5" s="1"/>
  <c r="AN583" i="6"/>
  <c r="V583" i="6"/>
  <c r="V584" i="6" s="1"/>
  <c r="AO583" i="6"/>
  <c r="V533" i="6"/>
  <c r="V534" i="6" s="1"/>
  <c r="X582" i="6"/>
  <c r="Y582" i="6" s="1"/>
  <c r="AQ582" i="6" s="1"/>
  <c r="W532" i="6"/>
  <c r="W533" i="6" s="1"/>
  <c r="W534" i="6" s="1"/>
  <c r="V323" i="6"/>
  <c r="V324" i="6" s="1"/>
  <c r="AN117" i="6"/>
  <c r="AN118" i="6" s="1"/>
  <c r="X322" i="6"/>
  <c r="AP323" i="6" s="1"/>
  <c r="W73" i="6"/>
  <c r="W74" i="6" s="1"/>
  <c r="W323" i="6"/>
  <c r="W324" i="6" s="1"/>
  <c r="AN322" i="6"/>
  <c r="AO322" i="6"/>
  <c r="S59" i="5"/>
  <c r="S64" i="5"/>
  <c r="AN323" i="6"/>
  <c r="S55" i="5"/>
  <c r="S56" i="5"/>
  <c r="S49" i="5"/>
  <c r="S48" i="5"/>
  <c r="AO262" i="6"/>
  <c r="S52" i="5"/>
  <c r="S44" i="5"/>
  <c r="S43" i="5"/>
  <c r="S54" i="5"/>
  <c r="S46" i="5"/>
  <c r="S65" i="5"/>
  <c r="S51" i="5"/>
  <c r="W263" i="6"/>
  <c r="W264" i="6" s="1"/>
  <c r="S47" i="5"/>
  <c r="S66" i="5"/>
  <c r="S60" i="5"/>
  <c r="S62" i="5"/>
  <c r="S57" i="5"/>
  <c r="S45" i="5"/>
  <c r="X262" i="6"/>
  <c r="AP263" i="6" s="1"/>
  <c r="S63" i="5"/>
  <c r="S53" i="5"/>
  <c r="S61" i="5"/>
  <c r="S42" i="5"/>
  <c r="S58" i="5"/>
  <c r="N210" i="5"/>
  <c r="W117" i="6"/>
  <c r="AO117" i="6" s="1"/>
  <c r="AO118" i="6" s="1"/>
  <c r="S19" i="5"/>
  <c r="S15" i="5"/>
  <c r="S32" i="5"/>
  <c r="S17" i="5"/>
  <c r="S11" i="5"/>
  <c r="S25" i="5"/>
  <c r="S23" i="5"/>
  <c r="S33" i="5"/>
  <c r="S10" i="5"/>
  <c r="S21" i="5"/>
  <c r="S14" i="5"/>
  <c r="S30" i="5"/>
  <c r="S20" i="5"/>
  <c r="S34" i="5"/>
  <c r="S18" i="5"/>
  <c r="S27" i="5"/>
  <c r="S24" i="5"/>
  <c r="S12" i="5"/>
  <c r="S13" i="5"/>
  <c r="S31" i="5"/>
  <c r="S28" i="5"/>
  <c r="S26" i="5"/>
  <c r="S29" i="5"/>
  <c r="S22" i="5"/>
  <c r="S16" i="5"/>
  <c r="T4" i="5"/>
  <c r="AP483" i="6"/>
  <c r="R776" i="6"/>
  <c r="AO72" i="6"/>
  <c r="X72" i="6"/>
  <c r="X73" i="6" s="1"/>
  <c r="AO112" i="6"/>
  <c r="AN472" i="6"/>
  <c r="AO483" i="6"/>
  <c r="X423" i="6"/>
  <c r="X424" i="6" s="1"/>
  <c r="Y482" i="6"/>
  <c r="Y483" i="6" s="1"/>
  <c r="N202" i="5"/>
  <c r="AO482" i="6"/>
  <c r="AP482" i="6"/>
  <c r="N224" i="5"/>
  <c r="AN473" i="6"/>
  <c r="N226" i="5"/>
  <c r="N218" i="5"/>
  <c r="X12" i="6"/>
  <c r="AP12" i="6" s="1"/>
  <c r="AP13" i="6" s="1"/>
  <c r="W483" i="6"/>
  <c r="W484" i="6" s="1"/>
  <c r="AO12" i="6"/>
  <c r="AO13" i="6" s="1"/>
  <c r="AN363" i="6"/>
  <c r="AM162" i="6"/>
  <c r="V473" i="6"/>
  <c r="V474" i="6" s="1"/>
  <c r="N204" i="5"/>
  <c r="AM412" i="6"/>
  <c r="AM413" i="6"/>
  <c r="W362" i="6"/>
  <c r="X362" i="6" s="1"/>
  <c r="AP362" i="6" s="1"/>
  <c r="AN362" i="6"/>
  <c r="N211" i="5"/>
  <c r="N219" i="5"/>
  <c r="N225" i="5"/>
  <c r="N216" i="5"/>
  <c r="N213" i="5"/>
  <c r="N206" i="5"/>
  <c r="N222" i="5"/>
  <c r="N223" i="5"/>
  <c r="N221" i="5"/>
  <c r="N207" i="5"/>
  <c r="N220" i="5"/>
  <c r="N203" i="5"/>
  <c r="N212" i="5"/>
  <c r="O200" i="5"/>
  <c r="O224" i="5" s="1"/>
  <c r="N217" i="5"/>
  <c r="N208" i="5"/>
  <c r="N205" i="5"/>
  <c r="N215" i="5"/>
  <c r="N209" i="5"/>
  <c r="V412" i="6"/>
  <c r="AN412" i="6" s="1"/>
  <c r="AE15" i="7"/>
  <c r="AE18" i="7" s="1"/>
  <c r="AI11" i="9"/>
  <c r="AI13" i="9" s="1"/>
  <c r="AN162" i="6"/>
  <c r="AO633" i="6"/>
  <c r="Y422" i="6"/>
  <c r="AQ423" i="6" s="1"/>
  <c r="W633" i="6"/>
  <c r="W634" i="6" s="1"/>
  <c r="AO422" i="6"/>
  <c r="X633" i="6"/>
  <c r="X634" i="6" s="1"/>
  <c r="AP632" i="6"/>
  <c r="X173" i="6"/>
  <c r="X174" i="6" s="1"/>
  <c r="X113" i="6"/>
  <c r="X114" i="6" s="1"/>
  <c r="Y632" i="6"/>
  <c r="AQ633" i="6" s="1"/>
  <c r="AP172" i="6"/>
  <c r="AO632" i="6"/>
  <c r="AP173" i="6"/>
  <c r="AP422" i="6"/>
  <c r="Y112" i="6"/>
  <c r="Z112" i="6" s="1"/>
  <c r="AR113" i="6" s="1"/>
  <c r="AP113" i="6"/>
  <c r="U163" i="6"/>
  <c r="U164" i="6" s="1"/>
  <c r="AN163" i="6"/>
  <c r="W122" i="6"/>
  <c r="AN123" i="6"/>
  <c r="AN122" i="6"/>
  <c r="V123" i="6"/>
  <c r="V124" i="6" s="1"/>
  <c r="AO113" i="6"/>
  <c r="W162" i="6"/>
  <c r="W163" i="6" s="1"/>
  <c r="W164" i="6" s="1"/>
  <c r="AO173" i="6"/>
  <c r="AO172" i="6"/>
  <c r="W173" i="6"/>
  <c r="W174" i="6" s="1"/>
  <c r="W113" i="6"/>
  <c r="W114" i="6" s="1"/>
  <c r="AM163" i="6"/>
  <c r="S129" i="5"/>
  <c r="S112" i="5"/>
  <c r="S115" i="5"/>
  <c r="S114" i="5"/>
  <c r="S122" i="5"/>
  <c r="S107" i="5"/>
  <c r="S117" i="5"/>
  <c r="S123" i="5"/>
  <c r="S130" i="5"/>
  <c r="S113" i="5"/>
  <c r="S124" i="5"/>
  <c r="S128" i="5"/>
  <c r="S121" i="5"/>
  <c r="S111" i="5"/>
  <c r="S118" i="5"/>
  <c r="S125" i="5"/>
  <c r="S106" i="5"/>
  <c r="S108" i="5"/>
  <c r="S120" i="5"/>
  <c r="Y37" i="7"/>
  <c r="Y38" i="7"/>
  <c r="Y105" i="7"/>
  <c r="T22" i="6"/>
  <c r="U22" i="6" s="1"/>
  <c r="AE23" i="9"/>
  <c r="AE25" i="9" s="1"/>
  <c r="AK22" i="6"/>
  <c r="AK23" i="6" s="1"/>
  <c r="S23" i="6"/>
  <c r="AA27" i="7"/>
  <c r="F267" i="5"/>
  <c r="F288" i="5"/>
  <c r="F272" i="5"/>
  <c r="F276" i="5"/>
  <c r="F283" i="5"/>
  <c r="F278" i="5"/>
  <c r="F289" i="5"/>
  <c r="F279" i="5"/>
  <c r="F281" i="5"/>
  <c r="F285" i="5"/>
  <c r="F290" i="5"/>
  <c r="F270" i="5"/>
  <c r="F295" i="5"/>
  <c r="F286" i="5"/>
  <c r="F274" i="5"/>
  <c r="H263" i="5"/>
  <c r="F287" i="5"/>
  <c r="F266" i="5"/>
  <c r="M264" i="5"/>
  <c r="F271" i="5"/>
  <c r="F280" i="5"/>
  <c r="F275" i="5"/>
  <c r="F284" i="5"/>
  <c r="F268" i="5"/>
  <c r="F277" i="5"/>
  <c r="F273" i="5"/>
  <c r="F282" i="5"/>
  <c r="F269" i="5"/>
  <c r="Q29" i="6"/>
  <c r="T132" i="6"/>
  <c r="AK132" i="6"/>
  <c r="AK133" i="6" s="1"/>
  <c r="S133" i="6"/>
  <c r="S134" i="6" s="1"/>
  <c r="B202" i="5"/>
  <c r="D202" i="5"/>
  <c r="C202" i="5"/>
  <c r="A234" i="5"/>
  <c r="M241" i="5"/>
  <c r="M248" i="5"/>
  <c r="M252" i="5"/>
  <c r="M253" i="5"/>
  <c r="M239" i="5"/>
  <c r="M249" i="5"/>
  <c r="M240" i="5"/>
  <c r="M237" i="5"/>
  <c r="M255" i="5"/>
  <c r="M235" i="5"/>
  <c r="M238" i="5"/>
  <c r="M244" i="5"/>
  <c r="M256" i="5"/>
  <c r="M245" i="5"/>
  <c r="M258" i="5"/>
  <c r="M236" i="5"/>
  <c r="M247" i="5"/>
  <c r="M257" i="5"/>
  <c r="M242" i="5"/>
  <c r="M250" i="5"/>
  <c r="M251" i="5"/>
  <c r="N232" i="5"/>
  <c r="M254" i="5"/>
  <c r="M234" i="5"/>
  <c r="M246" i="5"/>
  <c r="M243" i="5"/>
  <c r="O171" i="5"/>
  <c r="O178" i="5"/>
  <c r="O189" i="5"/>
  <c r="O176" i="5"/>
  <c r="O187" i="5"/>
  <c r="O177" i="5"/>
  <c r="O170" i="5"/>
  <c r="O172" i="5"/>
  <c r="O174" i="5"/>
  <c r="O185" i="5"/>
  <c r="O192" i="5"/>
  <c r="O188" i="5"/>
  <c r="O180" i="5"/>
  <c r="O181" i="5"/>
  <c r="O183" i="5"/>
  <c r="O182" i="5"/>
  <c r="O175" i="5"/>
  <c r="O179" i="5"/>
  <c r="O194" i="5"/>
  <c r="O186" i="5"/>
  <c r="O184" i="5"/>
  <c r="O190" i="5"/>
  <c r="O193" i="5"/>
  <c r="O173" i="5"/>
  <c r="O191" i="5"/>
  <c r="T104" i="5"/>
  <c r="I45" i="6"/>
  <c r="J44" i="6"/>
  <c r="K129" i="6"/>
  <c r="J130" i="6"/>
  <c r="J137" i="6"/>
  <c r="J139" i="6"/>
  <c r="P168" i="5"/>
  <c r="Q778" i="6"/>
  <c r="S95" i="5"/>
  <c r="S75" i="5"/>
  <c r="S93" i="5"/>
  <c r="S81" i="5"/>
  <c r="S78" i="5"/>
  <c r="S90" i="5"/>
  <c r="S76" i="5"/>
  <c r="S87" i="5"/>
  <c r="S97" i="5"/>
  <c r="S84" i="5"/>
  <c r="S74" i="5"/>
  <c r="S89" i="5"/>
  <c r="T72" i="5"/>
  <c r="U72" i="5" s="1"/>
  <c r="S88" i="5"/>
  <c r="S82" i="5"/>
  <c r="S83" i="5"/>
  <c r="S94" i="5"/>
  <c r="S77" i="5"/>
  <c r="S79" i="5"/>
  <c r="S80" i="5"/>
  <c r="S85" i="5"/>
  <c r="S86" i="5"/>
  <c r="S98" i="5"/>
  <c r="S91" i="5"/>
  <c r="S96" i="5"/>
  <c r="S92" i="5"/>
  <c r="AD82" i="7"/>
  <c r="AD10" i="7"/>
  <c r="AD80" i="7"/>
  <c r="AD83" i="7" s="1"/>
  <c r="AD11" i="7"/>
  <c r="AE8" i="7"/>
  <c r="AO7" i="6"/>
  <c r="W8" i="6"/>
  <c r="W9" i="6" s="1"/>
  <c r="AI4" i="9"/>
  <c r="AI6" i="9" s="1"/>
  <c r="AO8" i="6"/>
  <c r="AO423" i="6"/>
  <c r="W423" i="6"/>
  <c r="W424" i="6" s="1"/>
  <c r="AH527" i="6"/>
  <c r="AC10" i="7"/>
  <c r="AC80" i="7"/>
  <c r="AC83" i="7" s="1"/>
  <c r="AC82" i="7"/>
  <c r="AC11" i="7"/>
  <c r="X7" i="6"/>
  <c r="Y7" i="6" s="1"/>
  <c r="Z528" i="6"/>
  <c r="Z529" i="6" s="1"/>
  <c r="AQ723" i="6"/>
  <c r="Y723" i="6"/>
  <c r="Y724" i="6" s="1"/>
  <c r="AQ722" i="6"/>
  <c r="AP723" i="6"/>
  <c r="X723" i="6"/>
  <c r="X724" i="6" s="1"/>
  <c r="AP722" i="6"/>
  <c r="Z722" i="6"/>
  <c r="AH722" i="6" s="1"/>
  <c r="V168" i="6"/>
  <c r="V169" i="6" s="1"/>
  <c r="AN167" i="6"/>
  <c r="AN168" i="6" s="1"/>
  <c r="V268" i="6"/>
  <c r="V269" i="6" s="1"/>
  <c r="AN267" i="6"/>
  <c r="AN268" i="6" s="1"/>
  <c r="AO473" i="6"/>
  <c r="W473" i="6"/>
  <c r="W474" i="6" s="1"/>
  <c r="AO472" i="6"/>
  <c r="AM272" i="6"/>
  <c r="W673" i="6"/>
  <c r="W674" i="6" s="1"/>
  <c r="AO672" i="6"/>
  <c r="AO673" i="6"/>
  <c r="AM627" i="6"/>
  <c r="AM628" i="6" s="1"/>
  <c r="U628" i="6"/>
  <c r="U629" i="6" s="1"/>
  <c r="AM573" i="6"/>
  <c r="U573" i="6"/>
  <c r="AM572" i="6"/>
  <c r="AO523" i="6"/>
  <c r="W523" i="6"/>
  <c r="W524" i="6" s="1"/>
  <c r="AO522" i="6"/>
  <c r="V523" i="6"/>
  <c r="V524" i="6" s="1"/>
  <c r="AN523" i="6"/>
  <c r="AN522" i="6"/>
  <c r="X522" i="6"/>
  <c r="V17" i="6"/>
  <c r="W17" i="6" s="1"/>
  <c r="AG17" i="9"/>
  <c r="AC21" i="7"/>
  <c r="AM17" i="6"/>
  <c r="W317" i="6"/>
  <c r="X317" i="6" s="1"/>
  <c r="AN317" i="6"/>
  <c r="AN318" i="6" s="1"/>
  <c r="V318" i="6"/>
  <c r="V319" i="6" s="1"/>
  <c r="X417" i="6"/>
  <c r="Y417" i="6" s="1"/>
  <c r="AO417" i="6"/>
  <c r="AO418" i="6" s="1"/>
  <c r="W418" i="6"/>
  <c r="W419" i="6" s="1"/>
  <c r="T770" i="6"/>
  <c r="AM313" i="6"/>
  <c r="U313" i="6"/>
  <c r="U314" i="6" s="1"/>
  <c r="AM312" i="6"/>
  <c r="AO677" i="6"/>
  <c r="AO678" i="6" s="1"/>
  <c r="W678" i="6"/>
  <c r="W679" i="6" s="1"/>
  <c r="V312" i="6"/>
  <c r="W312" i="6" s="1"/>
  <c r="V572" i="6"/>
  <c r="V627" i="6"/>
  <c r="AM212" i="6"/>
  <c r="U213" i="6"/>
  <c r="U214" i="6" s="1"/>
  <c r="AM213" i="6"/>
  <c r="U168" i="6"/>
  <c r="U169" i="6" s="1"/>
  <c r="AM167" i="6"/>
  <c r="AM168" i="6" s="1"/>
  <c r="W167" i="6"/>
  <c r="U478" i="6"/>
  <c r="U479" i="6" s="1"/>
  <c r="AM477" i="6"/>
  <c r="AM478" i="6" s="1"/>
  <c r="V477" i="6"/>
  <c r="W477" i="6" s="1"/>
  <c r="X477" i="6" s="1"/>
  <c r="AP477" i="6" s="1"/>
  <c r="AP478" i="6" s="1"/>
  <c r="V727" i="6"/>
  <c r="U728" i="6"/>
  <c r="AM727" i="6"/>
  <c r="AM728" i="6" s="1"/>
  <c r="X472" i="6"/>
  <c r="T771" i="6"/>
  <c r="V272" i="6"/>
  <c r="W272" i="6" s="1"/>
  <c r="AM267" i="6"/>
  <c r="AM268" i="6" s="1"/>
  <c r="U268" i="6"/>
  <c r="U269" i="6" s="1"/>
  <c r="W267" i="6"/>
  <c r="X267" i="6" s="1"/>
  <c r="X672" i="6"/>
  <c r="Y672" i="6" s="1"/>
  <c r="X677" i="6"/>
  <c r="Y677" i="6" s="1"/>
  <c r="AN677" i="6"/>
  <c r="AN678" i="6" s="1"/>
  <c r="V678" i="6"/>
  <c r="V679" i="6" s="1"/>
  <c r="AN417" i="6"/>
  <c r="AN418" i="6" s="1"/>
  <c r="V418" i="6"/>
  <c r="V419" i="6" s="1"/>
  <c r="V212" i="6"/>
  <c r="W212" i="6" s="1"/>
  <c r="AB93" i="7"/>
  <c r="Z68" i="6"/>
  <c r="Z69" i="6" s="1"/>
  <c r="AR67" i="6"/>
  <c r="AR68" i="6" s="1"/>
  <c r="AH67" i="6"/>
  <c r="Y622" i="6"/>
  <c r="AP623" i="6"/>
  <c r="AP622" i="6"/>
  <c r="X623" i="6"/>
  <c r="X624" i="6" s="1"/>
  <c r="AQ577" i="6"/>
  <c r="Z577" i="6"/>
  <c r="Y578" i="6"/>
  <c r="Y579" i="6" s="1"/>
  <c r="AO623" i="6"/>
  <c r="AO622" i="6"/>
  <c r="W623" i="6"/>
  <c r="W624" i="6" s="1"/>
  <c r="W16" i="3"/>
  <c r="Y68" i="6"/>
  <c r="AQ67" i="6"/>
  <c r="AQ68" i="6" s="1"/>
  <c r="Y63" i="6"/>
  <c r="Y64" i="6" s="1"/>
  <c r="AQ63" i="6"/>
  <c r="AQ62" i="6"/>
  <c r="X368" i="6"/>
  <c r="AP367" i="6"/>
  <c r="Z367" i="6"/>
  <c r="Z62" i="6"/>
  <c r="AH62" i="6" s="1"/>
  <c r="Y368" i="6"/>
  <c r="Y369" i="6" s="1"/>
  <c r="AQ367" i="6"/>
  <c r="AQ368" i="6" s="1"/>
  <c r="AO542" i="6"/>
  <c r="AK292" i="6"/>
  <c r="AK293" i="6" s="1"/>
  <c r="S293" i="6"/>
  <c r="S294" i="6" s="1"/>
  <c r="X428" i="6"/>
  <c r="X429" i="6" s="1"/>
  <c r="AP427" i="6"/>
  <c r="AP428" i="6" s="1"/>
  <c r="S93" i="6"/>
  <c r="S94" i="6" s="1"/>
  <c r="AK92" i="6"/>
  <c r="AK93" i="6" s="1"/>
  <c r="AO432" i="6"/>
  <c r="X378" i="6"/>
  <c r="X379" i="6" s="1"/>
  <c r="AP377" i="6"/>
  <c r="AP378" i="6" s="1"/>
  <c r="S143" i="6"/>
  <c r="S144" i="6" s="1"/>
  <c r="AK142" i="6"/>
  <c r="AK143" i="6" s="1"/>
  <c r="Z173" i="6"/>
  <c r="Z174" i="6" s="1"/>
  <c r="AR172" i="6"/>
  <c r="AR173" i="6"/>
  <c r="AH172" i="6"/>
  <c r="X328" i="6"/>
  <c r="X329" i="6" s="1"/>
  <c r="AP327" i="6"/>
  <c r="AP328" i="6" s="1"/>
  <c r="Y688" i="6"/>
  <c r="Y689" i="6" s="1"/>
  <c r="AQ687" i="6"/>
  <c r="AQ688" i="6" s="1"/>
  <c r="AN492" i="6"/>
  <c r="AK702" i="6"/>
  <c r="AK703" i="6" s="1"/>
  <c r="S703" i="6"/>
  <c r="S704" i="6" s="1"/>
  <c r="AK752" i="6"/>
  <c r="AK753" i="6" s="1"/>
  <c r="S753" i="6"/>
  <c r="AK602" i="6"/>
  <c r="AK603" i="6" s="1"/>
  <c r="S603" i="6"/>
  <c r="S604" i="6" s="1"/>
  <c r="AN692" i="6"/>
  <c r="AO487" i="6"/>
  <c r="AO488" i="6" s="1"/>
  <c r="W488" i="6"/>
  <c r="W489" i="6" s="1"/>
  <c r="AL497" i="6"/>
  <c r="AL498" i="6" s="1"/>
  <c r="T498" i="6"/>
  <c r="T499" i="6" s="1"/>
  <c r="AL433" i="6"/>
  <c r="AL747" i="6"/>
  <c r="AL748" i="6" s="1"/>
  <c r="T748" i="6"/>
  <c r="AN637" i="6"/>
  <c r="AL437" i="6"/>
  <c r="AL438" i="6" s="1"/>
  <c r="T438" i="6"/>
  <c r="T439" i="6" s="1"/>
  <c r="U744" i="6"/>
  <c r="T698" i="6"/>
  <c r="T699" i="6" s="1"/>
  <c r="AL697" i="6"/>
  <c r="AL698" i="6" s="1"/>
  <c r="AK333" i="6"/>
  <c r="W223" i="6"/>
  <c r="AO223" i="6"/>
  <c r="AO222" i="6"/>
  <c r="AL283" i="6"/>
  <c r="AK493" i="6"/>
  <c r="AM382" i="6"/>
  <c r="U383" i="6"/>
  <c r="J231" i="6"/>
  <c r="I232" i="6"/>
  <c r="A280" i="5"/>
  <c r="B248" i="5"/>
  <c r="D248" i="5"/>
  <c r="C248" i="5"/>
  <c r="AJ242" i="6"/>
  <c r="AJ243" i="6" s="1"/>
  <c r="T242" i="6"/>
  <c r="U242" i="6" s="1"/>
  <c r="R243" i="6"/>
  <c r="R244" i="6" s="1"/>
  <c r="AI703" i="6"/>
  <c r="AJ392" i="6"/>
  <c r="AJ393" i="6" s="1"/>
  <c r="R393" i="6"/>
  <c r="R394" i="6" s="1"/>
  <c r="T392" i="6"/>
  <c r="U392" i="6" s="1"/>
  <c r="Q504" i="6"/>
  <c r="AO642" i="6"/>
  <c r="AN742" i="6"/>
  <c r="X742" i="6"/>
  <c r="Y742" i="6" s="1"/>
  <c r="AL183" i="6"/>
  <c r="T489" i="6"/>
  <c r="B305" i="5"/>
  <c r="C305" i="5"/>
  <c r="D305" i="5"/>
  <c r="AL237" i="6"/>
  <c r="AL238" i="6" s="1"/>
  <c r="T238" i="6"/>
  <c r="T239" i="6" s="1"/>
  <c r="T644" i="6"/>
  <c r="AL337" i="6"/>
  <c r="AL338" i="6" s="1"/>
  <c r="V337" i="6"/>
  <c r="W337" i="6" s="1"/>
  <c r="T338" i="6"/>
  <c r="T137" i="6"/>
  <c r="U137" i="6" s="1"/>
  <c r="Q444" i="6"/>
  <c r="R443" i="6"/>
  <c r="R444" i="6" s="1"/>
  <c r="AJ442" i="6"/>
  <c r="AJ443" i="6" s="1"/>
  <c r="AI197" i="6"/>
  <c r="R197" i="6"/>
  <c r="Q198" i="6"/>
  <c r="Q402" i="6"/>
  <c r="Q252" i="6"/>
  <c r="Q202" i="6"/>
  <c r="Q762" i="6"/>
  <c r="Q662" i="6"/>
  <c r="Q712" i="6"/>
  <c r="K27" i="6"/>
  <c r="J35" i="6"/>
  <c r="Q562" i="6"/>
  <c r="Q612" i="6"/>
  <c r="Q152" i="6"/>
  <c r="Q302" i="6"/>
  <c r="J28" i="6"/>
  <c r="Q452" i="6"/>
  <c r="Q512" i="6"/>
  <c r="Q352" i="6"/>
  <c r="Q102" i="6"/>
  <c r="J37" i="6"/>
  <c r="R507" i="6"/>
  <c r="S507" i="6" s="1"/>
  <c r="AI507" i="6"/>
  <c r="Q508" i="6"/>
  <c r="R147" i="6"/>
  <c r="AI147" i="6"/>
  <c r="Q148" i="6"/>
  <c r="AI193" i="6"/>
  <c r="Q554" i="6"/>
  <c r="AN592" i="6"/>
  <c r="Q344" i="6"/>
  <c r="U237" i="6"/>
  <c r="AK237" i="6"/>
  <c r="AK238" i="6" s="1"/>
  <c r="S238" i="6"/>
  <c r="S239" i="6" s="1"/>
  <c r="U187" i="6"/>
  <c r="V187" i="6" s="1"/>
  <c r="X587" i="6"/>
  <c r="Y587" i="6" s="1"/>
  <c r="Y173" i="6"/>
  <c r="Y174" i="6" s="1"/>
  <c r="AQ173" i="6"/>
  <c r="AQ172" i="6"/>
  <c r="AL332" i="6"/>
  <c r="AL333" i="6" s="1"/>
  <c r="T333" i="6"/>
  <c r="T334" i="6" s="1"/>
  <c r="T648" i="6"/>
  <c r="T649" i="6" s="1"/>
  <c r="AL647" i="6"/>
  <c r="AL648" i="6" s="1"/>
  <c r="J62" i="6"/>
  <c r="K61" i="6"/>
  <c r="J69" i="6"/>
  <c r="J71" i="6"/>
  <c r="I198" i="6"/>
  <c r="J197" i="6" s="1"/>
  <c r="R749" i="6"/>
  <c r="AQ733" i="6"/>
  <c r="AQ732" i="6"/>
  <c r="Y733" i="6"/>
  <c r="A268" i="5"/>
  <c r="D236" i="5"/>
  <c r="C236" i="5"/>
  <c r="B236" i="5"/>
  <c r="D288" i="5"/>
  <c r="C288" i="5"/>
  <c r="A320" i="5"/>
  <c r="B288" i="5"/>
  <c r="AJ292" i="6"/>
  <c r="AJ293" i="6" s="1"/>
  <c r="T292" i="6"/>
  <c r="U292" i="6" s="1"/>
  <c r="R293" i="6"/>
  <c r="R294" i="6" s="1"/>
  <c r="Q654" i="6"/>
  <c r="AI653" i="6"/>
  <c r="AO373" i="6"/>
  <c r="AO372" i="6"/>
  <c r="W373" i="6"/>
  <c r="W374" i="6" s="1"/>
  <c r="AN177" i="6"/>
  <c r="AM337" i="6"/>
  <c r="AM338" i="6" s="1"/>
  <c r="U338" i="6"/>
  <c r="U339" i="6" s="1"/>
  <c r="U497" i="6"/>
  <c r="V497" i="6" s="1"/>
  <c r="S334" i="6"/>
  <c r="AL87" i="6"/>
  <c r="T88" i="6"/>
  <c r="T89" i="6" s="1"/>
  <c r="U388" i="6"/>
  <c r="U389" i="6" s="1"/>
  <c r="AM387" i="6"/>
  <c r="AM388" i="6" s="1"/>
  <c r="A282" i="5"/>
  <c r="D250" i="5"/>
  <c r="C250" i="5"/>
  <c r="B250" i="5"/>
  <c r="AI243" i="6"/>
  <c r="AI393" i="6"/>
  <c r="AI503" i="6"/>
  <c r="T752" i="6"/>
  <c r="AJ752" i="6"/>
  <c r="AJ753" i="6" s="1"/>
  <c r="R753" i="6"/>
  <c r="C274" i="5"/>
  <c r="A306" i="5"/>
  <c r="D274" i="5"/>
  <c r="B274" i="5"/>
  <c r="C246" i="5"/>
  <c r="B246" i="5"/>
  <c r="A278" i="5"/>
  <c r="D246" i="5"/>
  <c r="AP127" i="6"/>
  <c r="X128" i="6"/>
  <c r="Z127" i="6"/>
  <c r="AL597" i="6"/>
  <c r="T598" i="6"/>
  <c r="T184" i="6"/>
  <c r="AN227" i="6"/>
  <c r="B270" i="5"/>
  <c r="C270" i="5"/>
  <c r="A302" i="5"/>
  <c r="D270" i="5"/>
  <c r="X642" i="6"/>
  <c r="Y642" i="6" s="1"/>
  <c r="AN642" i="6"/>
  <c r="AL387" i="6"/>
  <c r="AL388" i="6" s="1"/>
  <c r="T388" i="6"/>
  <c r="V387" i="6"/>
  <c r="W387" i="6" s="1"/>
  <c r="AI443" i="6"/>
  <c r="AI397" i="6"/>
  <c r="R397" i="6"/>
  <c r="Q398" i="6"/>
  <c r="R557" i="6"/>
  <c r="AI557" i="6"/>
  <c r="Q558" i="6"/>
  <c r="R607" i="6"/>
  <c r="S607" i="6" s="1"/>
  <c r="Q608" i="6"/>
  <c r="AI607" i="6"/>
  <c r="AI707" i="6"/>
  <c r="Q708" i="6"/>
  <c r="R707" i="6"/>
  <c r="S707" i="6" s="1"/>
  <c r="S193" i="6"/>
  <c r="S194" i="6" s="1"/>
  <c r="AK192" i="6"/>
  <c r="AK193" i="6" s="1"/>
  <c r="R553" i="6"/>
  <c r="R554" i="6" s="1"/>
  <c r="AJ552" i="6"/>
  <c r="AJ553" i="6" s="1"/>
  <c r="R603" i="6"/>
  <c r="R604" i="6" s="1"/>
  <c r="T602" i="6"/>
  <c r="AJ602" i="6"/>
  <c r="AJ603" i="6" s="1"/>
  <c r="T142" i="6"/>
  <c r="AJ142" i="6"/>
  <c r="AJ143" i="6" s="1"/>
  <c r="R143" i="6"/>
  <c r="R144" i="6" s="1"/>
  <c r="R93" i="6"/>
  <c r="R94" i="6" s="1"/>
  <c r="AJ92" i="6"/>
  <c r="AJ93" i="6" s="1"/>
  <c r="T92" i="6"/>
  <c r="R343" i="6"/>
  <c r="R344" i="6" s="1"/>
  <c r="AJ342" i="6"/>
  <c r="AJ343" i="6" s="1"/>
  <c r="W592" i="6"/>
  <c r="X592" i="6" s="1"/>
  <c r="U747" i="6"/>
  <c r="V747" i="6" s="1"/>
  <c r="W637" i="6"/>
  <c r="AN542" i="6"/>
  <c r="X542" i="6"/>
  <c r="AN537" i="6"/>
  <c r="T288" i="6"/>
  <c r="T289" i="6" s="1"/>
  <c r="AL287" i="6"/>
  <c r="AL288" i="6" s="1"/>
  <c r="AP77" i="6"/>
  <c r="AP78" i="6" s="1"/>
  <c r="X78" i="6"/>
  <c r="X79" i="6" s="1"/>
  <c r="Z732" i="6"/>
  <c r="AH732" i="6" s="1"/>
  <c r="AL547" i="6"/>
  <c r="AL548" i="6" s="1"/>
  <c r="T548" i="6"/>
  <c r="T549" i="6" s="1"/>
  <c r="Q294" i="6"/>
  <c r="AK652" i="6"/>
  <c r="AK653" i="6" s="1"/>
  <c r="S653" i="6"/>
  <c r="S654" i="6" s="1"/>
  <c r="AN282" i="6"/>
  <c r="U493" i="6"/>
  <c r="U494" i="6" s="1"/>
  <c r="W492" i="6"/>
  <c r="AM492" i="6"/>
  <c r="AM493" i="6" s="1"/>
  <c r="Y128" i="6"/>
  <c r="Y129" i="6" s="1"/>
  <c r="AQ127" i="6"/>
  <c r="AQ128" i="6" s="1"/>
  <c r="I147" i="6"/>
  <c r="J146" i="6"/>
  <c r="U287" i="6"/>
  <c r="V287" i="6" s="1"/>
  <c r="U437" i="6"/>
  <c r="AN277" i="6"/>
  <c r="Q244" i="6"/>
  <c r="R703" i="6"/>
  <c r="R704" i="6" s="1"/>
  <c r="AJ702" i="6"/>
  <c r="AJ703" i="6" s="1"/>
  <c r="T702" i="6"/>
  <c r="AK392" i="6"/>
  <c r="AK393" i="6" s="1"/>
  <c r="S393" i="6"/>
  <c r="S394" i="6" s="1"/>
  <c r="AK502" i="6"/>
  <c r="AK503" i="6" s="1"/>
  <c r="S503" i="6"/>
  <c r="S504" i="6" s="1"/>
  <c r="W277" i="6"/>
  <c r="AI753" i="6"/>
  <c r="T188" i="6"/>
  <c r="AL187" i="6"/>
  <c r="T744" i="6"/>
  <c r="V374" i="6"/>
  <c r="AO377" i="6"/>
  <c r="W378" i="6"/>
  <c r="Y377" i="6"/>
  <c r="AL643" i="6"/>
  <c r="W177" i="6"/>
  <c r="X177" i="6" s="1"/>
  <c r="AM227" i="6"/>
  <c r="W227" i="6"/>
  <c r="X227" i="6" s="1"/>
  <c r="W282" i="6"/>
  <c r="X282" i="6" s="1"/>
  <c r="AK547" i="6"/>
  <c r="AK548" i="6" s="1"/>
  <c r="U547" i="6"/>
  <c r="V547" i="6" s="1"/>
  <c r="S548" i="6"/>
  <c r="S549" i="6" s="1"/>
  <c r="S442" i="6"/>
  <c r="AI247" i="6"/>
  <c r="R247" i="6"/>
  <c r="S247" i="6" s="1"/>
  <c r="Q248" i="6"/>
  <c r="AI297" i="6"/>
  <c r="Q298" i="6"/>
  <c r="R297" i="6"/>
  <c r="AI97" i="6"/>
  <c r="R97" i="6"/>
  <c r="S97" i="6" s="1"/>
  <c r="Q98" i="6"/>
  <c r="Q194" i="6"/>
  <c r="AI553" i="6"/>
  <c r="Q604" i="6"/>
  <c r="Q144" i="6"/>
  <c r="AI93" i="6"/>
  <c r="S342" i="6"/>
  <c r="T544" i="6"/>
  <c r="Y327" i="6"/>
  <c r="Z327" i="6" s="1"/>
  <c r="AO327" i="6"/>
  <c r="AO328" i="6" s="1"/>
  <c r="W328" i="6"/>
  <c r="W329" i="6" s="1"/>
  <c r="X432" i="6"/>
  <c r="AN432" i="6"/>
  <c r="AO587" i="6"/>
  <c r="W588" i="6"/>
  <c r="W589" i="6" s="1"/>
  <c r="AL232" i="6"/>
  <c r="T233" i="6"/>
  <c r="T234" i="6" s="1"/>
  <c r="S138" i="6"/>
  <c r="AK137" i="6"/>
  <c r="AP687" i="6"/>
  <c r="AP688" i="6" s="1"/>
  <c r="X688" i="6"/>
  <c r="X689" i="6" s="1"/>
  <c r="Z687" i="6"/>
  <c r="AH687" i="6" s="1"/>
  <c r="X734" i="6"/>
  <c r="U693" i="6"/>
  <c r="U694" i="6" s="1"/>
  <c r="W692" i="6"/>
  <c r="AM692" i="6"/>
  <c r="C290" i="5"/>
  <c r="D290" i="5"/>
  <c r="B290" i="5"/>
  <c r="A322" i="5"/>
  <c r="AI293" i="6"/>
  <c r="AO742" i="6"/>
  <c r="R653" i="6"/>
  <c r="R654" i="6" s="1"/>
  <c r="AJ652" i="6"/>
  <c r="AJ653" i="6" s="1"/>
  <c r="T652" i="6"/>
  <c r="W428" i="6"/>
  <c r="AO427" i="6"/>
  <c r="Y427" i="6"/>
  <c r="U332" i="6"/>
  <c r="V332" i="6" s="1"/>
  <c r="T284" i="6"/>
  <c r="I249" i="6"/>
  <c r="J248" i="6" s="1"/>
  <c r="AK242" i="6"/>
  <c r="AK243" i="6" s="1"/>
  <c r="S243" i="6"/>
  <c r="S244" i="6" s="1"/>
  <c r="Q704" i="6"/>
  <c r="Q394" i="6"/>
  <c r="R503" i="6"/>
  <c r="R504" i="6" s="1"/>
  <c r="AJ502" i="6"/>
  <c r="AJ503" i="6" s="1"/>
  <c r="T502" i="6"/>
  <c r="Q754" i="6"/>
  <c r="AN737" i="6"/>
  <c r="U87" i="6"/>
  <c r="AN182" i="6"/>
  <c r="K22" i="2"/>
  <c r="J23" i="2"/>
  <c r="X372" i="6"/>
  <c r="X487" i="6"/>
  <c r="AN487" i="6"/>
  <c r="U232" i="6"/>
  <c r="X222" i="6"/>
  <c r="U83" i="6"/>
  <c r="AM82" i="6"/>
  <c r="W537" i="6"/>
  <c r="W737" i="6"/>
  <c r="X737" i="6" s="1"/>
  <c r="J112" i="6"/>
  <c r="I113" i="6"/>
  <c r="V382" i="6"/>
  <c r="W382" i="6" s="1"/>
  <c r="B253" i="5"/>
  <c r="A285" i="5"/>
  <c r="D253" i="5"/>
  <c r="C253" i="5"/>
  <c r="R447" i="6"/>
  <c r="S447" i="6" s="1"/>
  <c r="Q448" i="6"/>
  <c r="AI447" i="6"/>
  <c r="Q658" i="6"/>
  <c r="AI657" i="6"/>
  <c r="R657" i="6"/>
  <c r="R757" i="6"/>
  <c r="S757" i="6" s="1"/>
  <c r="AI757" i="6"/>
  <c r="Q758" i="6"/>
  <c r="R347" i="6"/>
  <c r="S347" i="6" s="1"/>
  <c r="AI347" i="6"/>
  <c r="Q348" i="6"/>
  <c r="R193" i="6"/>
  <c r="R194" i="6" s="1"/>
  <c r="AJ192" i="6"/>
  <c r="AJ193" i="6" s="1"/>
  <c r="T192" i="6"/>
  <c r="S552" i="6"/>
  <c r="AK697" i="6"/>
  <c r="AK698" i="6" s="1"/>
  <c r="S698" i="6"/>
  <c r="S699" i="6" s="1"/>
  <c r="U697" i="6"/>
  <c r="V82" i="6"/>
  <c r="W82" i="6" s="1"/>
  <c r="AI603" i="6"/>
  <c r="AI143" i="6"/>
  <c r="Q94" i="6"/>
  <c r="I79" i="6"/>
  <c r="J78" i="6" s="1"/>
  <c r="AI343" i="6"/>
  <c r="U647" i="6"/>
  <c r="V647" i="6" s="1"/>
  <c r="S749" i="6"/>
  <c r="U597" i="6"/>
  <c r="W182" i="6"/>
  <c r="X182" i="6" s="1"/>
  <c r="Y77" i="6"/>
  <c r="Z77" i="6" s="1"/>
  <c r="S126" i="5" l="1"/>
  <c r="S116" i="5"/>
  <c r="S127" i="5"/>
  <c r="S110" i="5"/>
  <c r="S119" i="5"/>
  <c r="Z99" i="7"/>
  <c r="Z102" i="7" s="1"/>
  <c r="Z30" i="7"/>
  <c r="Z29" i="7"/>
  <c r="X218" i="6"/>
  <c r="X219" i="6" s="1"/>
  <c r="R28" i="6"/>
  <c r="R29" i="6" s="1"/>
  <c r="R779" i="6" s="1"/>
  <c r="AP217" i="6"/>
  <c r="AP218" i="6" s="1"/>
  <c r="S28" i="6"/>
  <c r="S29" i="6" s="1"/>
  <c r="S779" i="6" s="1"/>
  <c r="AQ217" i="6"/>
  <c r="AQ218" i="6" s="1"/>
  <c r="Z217" i="6"/>
  <c r="AH217" i="6" s="1"/>
  <c r="AI32" i="6"/>
  <c r="AI33" i="6" s="1"/>
  <c r="AZ527" i="6"/>
  <c r="H265" i="6"/>
  <c r="G266" i="6"/>
  <c r="Q33" i="6"/>
  <c r="Q780" i="6" s="1"/>
  <c r="Y41" i="7"/>
  <c r="Y43" i="7" s="1"/>
  <c r="H11" i="6"/>
  <c r="I10" i="6" s="1"/>
  <c r="BT2" i="6" s="1"/>
  <c r="Q37" i="6"/>
  <c r="Q38" i="6" s="1"/>
  <c r="BR3" i="6"/>
  <c r="R32" i="6"/>
  <c r="R33" i="6" s="1"/>
  <c r="AJ27" i="6"/>
  <c r="AJ28" i="6" s="1"/>
  <c r="AA33" i="7"/>
  <c r="AA105" i="7" s="1"/>
  <c r="T27" i="6"/>
  <c r="U27" i="6" s="1"/>
  <c r="Z33" i="7"/>
  <c r="Z37" i="7" s="1"/>
  <c r="AE29" i="9"/>
  <c r="AE31" i="9" s="1"/>
  <c r="AD29" i="9"/>
  <c r="AD31" i="9" s="1"/>
  <c r="P145" i="5"/>
  <c r="P160" i="5"/>
  <c r="P157" i="5"/>
  <c r="P155" i="5"/>
  <c r="P153" i="5"/>
  <c r="P141" i="5"/>
  <c r="P140" i="5"/>
  <c r="P162" i="5"/>
  <c r="P138" i="5"/>
  <c r="P150" i="5"/>
  <c r="P139" i="5"/>
  <c r="P149" i="5"/>
  <c r="P156" i="5"/>
  <c r="P142" i="5"/>
  <c r="P143" i="5"/>
  <c r="P154" i="5"/>
  <c r="P147" i="5"/>
  <c r="P159" i="5"/>
  <c r="P152" i="5"/>
  <c r="P146" i="5"/>
  <c r="P144" i="5"/>
  <c r="P158" i="5"/>
  <c r="P151" i="5"/>
  <c r="P161" i="5"/>
  <c r="P148" i="5"/>
  <c r="Q136" i="5"/>
  <c r="R136" i="5" s="1"/>
  <c r="T733" i="6"/>
  <c r="U733" i="6"/>
  <c r="U734" i="6" s="1"/>
  <c r="AK528" i="6"/>
  <c r="AL528" i="6"/>
  <c r="Q723" i="6"/>
  <c r="R723" i="6"/>
  <c r="S723" i="6"/>
  <c r="S218" i="6"/>
  <c r="S219" i="6" s="1"/>
  <c r="T218" i="6"/>
  <c r="T219" i="6" s="1"/>
  <c r="U173" i="6"/>
  <c r="U174" i="6" s="1"/>
  <c r="T173" i="6"/>
  <c r="T174" i="6" s="1"/>
  <c r="S528" i="6"/>
  <c r="S529" i="6" s="1"/>
  <c r="T528" i="6"/>
  <c r="T529" i="6" s="1"/>
  <c r="U688" i="6"/>
  <c r="U689" i="6" s="1"/>
  <c r="V688" i="6"/>
  <c r="V689" i="6" s="1"/>
  <c r="Q63" i="6"/>
  <c r="Q64" i="6" s="1"/>
  <c r="R63" i="6"/>
  <c r="R64" i="6" s="1"/>
  <c r="S63" i="6"/>
  <c r="S64" i="6" s="1"/>
  <c r="S68" i="6"/>
  <c r="S69" i="6" s="1"/>
  <c r="T68" i="6"/>
  <c r="T69" i="6" s="1"/>
  <c r="J222" i="6"/>
  <c r="K214" i="6"/>
  <c r="J224" i="6"/>
  <c r="J215" i="6"/>
  <c r="K95" i="6"/>
  <c r="J105" i="6"/>
  <c r="J96" i="6"/>
  <c r="J103" i="6"/>
  <c r="K180" i="6"/>
  <c r="J188" i="6"/>
  <c r="J181" i="6"/>
  <c r="J190" i="6"/>
  <c r="AP582" i="6"/>
  <c r="P11" i="7"/>
  <c r="I13" i="9" s="1"/>
  <c r="I11" i="3"/>
  <c r="P12" i="7" s="1"/>
  <c r="I14" i="9" s="1"/>
  <c r="AO533" i="6"/>
  <c r="X532" i="6"/>
  <c r="AP532" i="6" s="1"/>
  <c r="AO532" i="6"/>
  <c r="B286" i="5"/>
  <c r="D286" i="5"/>
  <c r="C286" i="5"/>
  <c r="A318" i="5"/>
  <c r="K164" i="6"/>
  <c r="K173" i="6"/>
  <c r="K171" i="6"/>
  <c r="B272" i="5"/>
  <c r="C272" i="5"/>
  <c r="D272" i="5"/>
  <c r="A304" i="5"/>
  <c r="A316" i="5"/>
  <c r="D284" i="5"/>
  <c r="B284" i="5"/>
  <c r="C284" i="5"/>
  <c r="C303" i="5"/>
  <c r="D303" i="5"/>
  <c r="B303" i="5"/>
  <c r="B277" i="5"/>
  <c r="A309" i="5"/>
  <c r="D277" i="5"/>
  <c r="C277" i="5"/>
  <c r="X683" i="6"/>
  <c r="X684" i="6" s="1"/>
  <c r="AP683" i="6"/>
  <c r="T64" i="5"/>
  <c r="U57" i="5"/>
  <c r="T57" i="5"/>
  <c r="T65" i="5"/>
  <c r="U52" i="5"/>
  <c r="T55" i="5"/>
  <c r="U42" i="5"/>
  <c r="U60" i="5"/>
  <c r="U65" i="5"/>
  <c r="T59" i="5"/>
  <c r="T50" i="5"/>
  <c r="U63" i="5"/>
  <c r="U59" i="5"/>
  <c r="T52" i="5"/>
  <c r="T66" i="5"/>
  <c r="T60" i="5"/>
  <c r="U51" i="5"/>
  <c r="U48" i="5"/>
  <c r="U55" i="5"/>
  <c r="T43" i="5"/>
  <c r="T56" i="5"/>
  <c r="T48" i="5"/>
  <c r="T63" i="5"/>
  <c r="U43" i="5"/>
  <c r="U58" i="5"/>
  <c r="U61" i="5"/>
  <c r="T45" i="5"/>
  <c r="T47" i="5"/>
  <c r="T42" i="5"/>
  <c r="T54" i="5"/>
  <c r="T61" i="5"/>
  <c r="T58" i="5"/>
  <c r="U46" i="5"/>
  <c r="U49" i="5"/>
  <c r="U56" i="5"/>
  <c r="U47" i="5"/>
  <c r="U64" i="5"/>
  <c r="U45" i="5"/>
  <c r="Y322" i="6"/>
  <c r="AQ322" i="6" s="1"/>
  <c r="V40" i="5"/>
  <c r="V43" i="5" s="1"/>
  <c r="T51" i="5"/>
  <c r="T46" i="5"/>
  <c r="T44" i="5"/>
  <c r="T62" i="5"/>
  <c r="T49" i="5"/>
  <c r="T53" i="5"/>
  <c r="Y682" i="6"/>
  <c r="Z682" i="6" s="1"/>
  <c r="AR682" i="6" s="1"/>
  <c r="X323" i="6"/>
  <c r="X324" i="6" s="1"/>
  <c r="U54" i="5"/>
  <c r="U62" i="5"/>
  <c r="U53" i="5"/>
  <c r="U50" i="5"/>
  <c r="U44" i="5"/>
  <c r="AP322" i="6"/>
  <c r="AP583" i="6"/>
  <c r="AQ583" i="6"/>
  <c r="Z582" i="6"/>
  <c r="AH582" i="6" s="1"/>
  <c r="Y583" i="6"/>
  <c r="Y584" i="6" s="1"/>
  <c r="X583" i="6"/>
  <c r="X584" i="6" s="1"/>
  <c r="W118" i="6"/>
  <c r="W119" i="6" s="1"/>
  <c r="X117" i="6"/>
  <c r="AP117" i="6" s="1"/>
  <c r="AP262" i="6"/>
  <c r="W363" i="6"/>
  <c r="W364" i="6" s="1"/>
  <c r="Y262" i="6"/>
  <c r="AQ263" i="6" s="1"/>
  <c r="X363" i="6"/>
  <c r="X364" i="6" s="1"/>
  <c r="X263" i="6"/>
  <c r="X264" i="6" s="1"/>
  <c r="AO363" i="6"/>
  <c r="AP73" i="6"/>
  <c r="Y72" i="6"/>
  <c r="Z72" i="6" s="1"/>
  <c r="AR73" i="6" s="1"/>
  <c r="AP72" i="6"/>
  <c r="Y362" i="6"/>
  <c r="AQ363" i="6" s="1"/>
  <c r="AP363" i="6"/>
  <c r="AO362" i="6"/>
  <c r="U4" i="5"/>
  <c r="V4" i="5" s="1"/>
  <c r="T18" i="5"/>
  <c r="T16" i="5"/>
  <c r="T26" i="5"/>
  <c r="T24" i="5"/>
  <c r="T15" i="5"/>
  <c r="T19" i="5"/>
  <c r="T34" i="5"/>
  <c r="T10" i="5"/>
  <c r="T21" i="5"/>
  <c r="T25" i="5"/>
  <c r="T20" i="5"/>
  <c r="T29" i="5"/>
  <c r="T33" i="5"/>
  <c r="T28" i="5"/>
  <c r="T11" i="5"/>
  <c r="T22" i="5"/>
  <c r="T30" i="5"/>
  <c r="T27" i="5"/>
  <c r="T23" i="5"/>
  <c r="T32" i="5"/>
  <c r="T14" i="5"/>
  <c r="T13" i="5"/>
  <c r="T17" i="5"/>
  <c r="T31" i="5"/>
  <c r="T12" i="5"/>
  <c r="Y633" i="6"/>
  <c r="Y634" i="6" s="1"/>
  <c r="AQ482" i="6"/>
  <c r="AQ483" i="6"/>
  <c r="Z482" i="6"/>
  <c r="Z483" i="6" s="1"/>
  <c r="Z484" i="6" s="1"/>
  <c r="AF15" i="7"/>
  <c r="AF17" i="7" s="1"/>
  <c r="AE89" i="7"/>
  <c r="O214" i="5"/>
  <c r="Y423" i="6"/>
  <c r="Y424" i="6" s="1"/>
  <c r="X13" i="6"/>
  <c r="X14" i="6" s="1"/>
  <c r="AE87" i="7"/>
  <c r="AE90" i="7" s="1"/>
  <c r="O219" i="5"/>
  <c r="O204" i="5"/>
  <c r="AJ11" i="9"/>
  <c r="AJ13" i="9" s="1"/>
  <c r="AE17" i="7"/>
  <c r="O216" i="5"/>
  <c r="O209" i="5"/>
  <c r="Z632" i="6"/>
  <c r="AH632" i="6" s="1"/>
  <c r="Y12" i="6"/>
  <c r="Z12" i="6" s="1"/>
  <c r="Z13" i="6" s="1"/>
  <c r="Z14" i="6" s="1"/>
  <c r="Y113" i="6"/>
  <c r="Y114" i="6" s="1"/>
  <c r="V413" i="6"/>
  <c r="V414" i="6" s="1"/>
  <c r="O203" i="5"/>
  <c r="W412" i="6"/>
  <c r="X412" i="6" s="1"/>
  <c r="AQ632" i="6"/>
  <c r="AN413" i="6"/>
  <c r="P200" i="5"/>
  <c r="P219" i="5" s="1"/>
  <c r="O226" i="5"/>
  <c r="O206" i="5"/>
  <c r="O217" i="5"/>
  <c r="O223" i="5"/>
  <c r="O215" i="5"/>
  <c r="O213" i="5"/>
  <c r="O225" i="5"/>
  <c r="O221" i="5"/>
  <c r="O222" i="5"/>
  <c r="O205" i="5"/>
  <c r="O211" i="5"/>
  <c r="O202" i="5"/>
  <c r="O220" i="5"/>
  <c r="O218" i="5"/>
  <c r="O212" i="5"/>
  <c r="O210" i="5"/>
  <c r="O208" i="5"/>
  <c r="O207" i="5"/>
  <c r="U98" i="5"/>
  <c r="U88" i="5"/>
  <c r="U90" i="5"/>
  <c r="U97" i="5"/>
  <c r="U87" i="5"/>
  <c r="V72" i="5"/>
  <c r="W72" i="5" s="1"/>
  <c r="W96" i="5" s="1"/>
  <c r="U76" i="5"/>
  <c r="U95" i="5"/>
  <c r="U94" i="5"/>
  <c r="Z422" i="6"/>
  <c r="AR422" i="6" s="1"/>
  <c r="U82" i="5"/>
  <c r="U74" i="5"/>
  <c r="U86" i="5"/>
  <c r="AQ422" i="6"/>
  <c r="R778" i="6"/>
  <c r="U75" i="5"/>
  <c r="U92" i="5"/>
  <c r="U96" i="5"/>
  <c r="Z113" i="6"/>
  <c r="Z114" i="6" s="1"/>
  <c r="AO122" i="6"/>
  <c r="W123" i="6"/>
  <c r="W124" i="6" s="1"/>
  <c r="AO123" i="6"/>
  <c r="AH112" i="6"/>
  <c r="U80" i="5"/>
  <c r="U81" i="5"/>
  <c r="U77" i="5"/>
  <c r="U79" i="5"/>
  <c r="U89" i="5"/>
  <c r="U78" i="5"/>
  <c r="AR112" i="6"/>
  <c r="AQ113" i="6"/>
  <c r="W21" i="3"/>
  <c r="X16" i="3"/>
  <c r="U93" i="5"/>
  <c r="U85" i="5"/>
  <c r="U91" i="5"/>
  <c r="U84" i="5"/>
  <c r="U83" i="5"/>
  <c r="AQ112" i="6"/>
  <c r="AO163" i="6"/>
  <c r="Q724" i="6"/>
  <c r="X162" i="6"/>
  <c r="AP162" i="6" s="1"/>
  <c r="AO162" i="6"/>
  <c r="X122" i="6"/>
  <c r="Y122" i="6" s="1"/>
  <c r="F320" i="5"/>
  <c r="F305" i="5"/>
  <c r="F322" i="5"/>
  <c r="F313" i="5"/>
  <c r="F304" i="5"/>
  <c r="F300" i="5"/>
  <c r="F311" i="5"/>
  <c r="F309" i="5"/>
  <c r="F308" i="5"/>
  <c r="F318" i="5"/>
  <c r="H295" i="5"/>
  <c r="F302" i="5"/>
  <c r="F312" i="5"/>
  <c r="F307" i="5"/>
  <c r="F310" i="5"/>
  <c r="M296" i="5"/>
  <c r="F299" i="5"/>
  <c r="F315" i="5"/>
  <c r="F298" i="5"/>
  <c r="F321" i="5"/>
  <c r="F316" i="5"/>
  <c r="F317" i="5"/>
  <c r="F301" i="5"/>
  <c r="F319" i="5"/>
  <c r="F306" i="5"/>
  <c r="F314" i="5"/>
  <c r="F303" i="5"/>
  <c r="Y107" i="7"/>
  <c r="Y108" i="7"/>
  <c r="Q168" i="5"/>
  <c r="R168" i="5" s="1"/>
  <c r="P170" i="5"/>
  <c r="P179" i="5"/>
  <c r="P173" i="5"/>
  <c r="P182" i="5"/>
  <c r="P178" i="5"/>
  <c r="P181" i="5"/>
  <c r="P191" i="5"/>
  <c r="P172" i="5"/>
  <c r="P184" i="5"/>
  <c r="P190" i="5"/>
  <c r="P183" i="5"/>
  <c r="P177" i="5"/>
  <c r="P188" i="5"/>
  <c r="P193" i="5"/>
  <c r="P194" i="5"/>
  <c r="P171" i="5"/>
  <c r="P180" i="5"/>
  <c r="P189" i="5"/>
  <c r="P186" i="5"/>
  <c r="P185" i="5"/>
  <c r="P176" i="5"/>
  <c r="P192" i="5"/>
  <c r="P187" i="5"/>
  <c r="P175" i="5"/>
  <c r="P174" i="5"/>
  <c r="K139" i="6"/>
  <c r="K130" i="6"/>
  <c r="K137" i="6"/>
  <c r="J54" i="6"/>
  <c r="J45" i="6"/>
  <c r="K44" i="6"/>
  <c r="J52" i="6"/>
  <c r="B234" i="5"/>
  <c r="D234" i="5"/>
  <c r="A266" i="5"/>
  <c r="C234" i="5"/>
  <c r="T28" i="6"/>
  <c r="T29" i="6" s="1"/>
  <c r="N242" i="5"/>
  <c r="N240" i="5"/>
  <c r="N234" i="5"/>
  <c r="N235" i="5"/>
  <c r="N253" i="5"/>
  <c r="N237" i="5"/>
  <c r="O232" i="5"/>
  <c r="N254" i="5"/>
  <c r="N256" i="5"/>
  <c r="N255" i="5"/>
  <c r="N257" i="5"/>
  <c r="N243" i="5"/>
  <c r="N249" i="5"/>
  <c r="N250" i="5"/>
  <c r="N247" i="5"/>
  <c r="N244" i="5"/>
  <c r="N248" i="5"/>
  <c r="N245" i="5"/>
  <c r="N241" i="5"/>
  <c r="N251" i="5"/>
  <c r="N258" i="5"/>
  <c r="N239" i="5"/>
  <c r="N252" i="5"/>
  <c r="N238" i="5"/>
  <c r="N246" i="5"/>
  <c r="N236" i="5"/>
  <c r="AA29" i="7"/>
  <c r="AA101" i="7"/>
  <c r="AA99" i="7"/>
  <c r="AA102" i="7" s="1"/>
  <c r="AA30" i="7"/>
  <c r="U104" i="5"/>
  <c r="V104" i="5" s="1"/>
  <c r="T128" i="5"/>
  <c r="T120" i="5"/>
  <c r="T122" i="5"/>
  <c r="T117" i="5"/>
  <c r="T113" i="5"/>
  <c r="T126" i="5"/>
  <c r="T111" i="5"/>
  <c r="T109" i="5"/>
  <c r="T119" i="5"/>
  <c r="T116" i="5"/>
  <c r="T106" i="5"/>
  <c r="T108" i="5"/>
  <c r="T114" i="5"/>
  <c r="T110" i="5"/>
  <c r="T121" i="5"/>
  <c r="T129" i="5"/>
  <c r="T123" i="5"/>
  <c r="T130" i="5"/>
  <c r="T115" i="5"/>
  <c r="T107" i="5"/>
  <c r="T124" i="5"/>
  <c r="T118" i="5"/>
  <c r="T112" i="5"/>
  <c r="T125" i="5"/>
  <c r="T127" i="5"/>
  <c r="T133" i="6"/>
  <c r="T134" i="6" s="1"/>
  <c r="AL132" i="6"/>
  <c r="AL133" i="6" s="1"/>
  <c r="U132" i="6"/>
  <c r="M281" i="5"/>
  <c r="M269" i="5"/>
  <c r="M283" i="5"/>
  <c r="M287" i="5"/>
  <c r="M284" i="5"/>
  <c r="M285" i="5"/>
  <c r="M286" i="5"/>
  <c r="M280" i="5"/>
  <c r="M268" i="5"/>
  <c r="M282" i="5"/>
  <c r="M279" i="5"/>
  <c r="M278" i="5"/>
  <c r="M274" i="5"/>
  <c r="M275" i="5"/>
  <c r="M271" i="5"/>
  <c r="M290" i="5"/>
  <c r="M267" i="5"/>
  <c r="M273" i="5"/>
  <c r="M289" i="5"/>
  <c r="M272" i="5"/>
  <c r="M288" i="5"/>
  <c r="M266" i="5"/>
  <c r="M270" i="5"/>
  <c r="M277" i="5"/>
  <c r="M276" i="5"/>
  <c r="N264" i="5"/>
  <c r="AG23" i="9"/>
  <c r="AC27" i="7"/>
  <c r="AM22" i="6"/>
  <c r="T23" i="6"/>
  <c r="AL22" i="6"/>
  <c r="AL23" i="6" s="1"/>
  <c r="AF23" i="9"/>
  <c r="AF25" i="9" s="1"/>
  <c r="AB27" i="7"/>
  <c r="V22" i="6"/>
  <c r="Q42" i="6"/>
  <c r="Q779" i="6"/>
  <c r="K181" i="6"/>
  <c r="K190" i="6"/>
  <c r="K188" i="6"/>
  <c r="S24" i="6"/>
  <c r="S777" i="6" s="1"/>
  <c r="S776" i="6"/>
  <c r="T88" i="5"/>
  <c r="T79" i="5"/>
  <c r="T84" i="5"/>
  <c r="T74" i="5"/>
  <c r="T98" i="5"/>
  <c r="T89" i="5"/>
  <c r="T78" i="5"/>
  <c r="T95" i="5"/>
  <c r="T91" i="5"/>
  <c r="T94" i="5"/>
  <c r="T75" i="5"/>
  <c r="T87" i="5"/>
  <c r="T80" i="5"/>
  <c r="T77" i="5"/>
  <c r="T97" i="5"/>
  <c r="T82" i="5"/>
  <c r="T85" i="5"/>
  <c r="T90" i="5"/>
  <c r="T96" i="5"/>
  <c r="T93" i="5"/>
  <c r="T86" i="5"/>
  <c r="T83" i="5"/>
  <c r="T81" i="5"/>
  <c r="T92" i="5"/>
  <c r="T76" i="5"/>
  <c r="AO477" i="6"/>
  <c r="AO478" i="6" s="1"/>
  <c r="X478" i="6"/>
  <c r="X479" i="6" s="1"/>
  <c r="AQ7" i="6"/>
  <c r="AQ8" i="6"/>
  <c r="AK4" i="9"/>
  <c r="AK6" i="9" s="1"/>
  <c r="Y8" i="6"/>
  <c r="Y9" i="6" s="1"/>
  <c r="AG8" i="7"/>
  <c r="AJ4" i="9"/>
  <c r="AJ6" i="9" s="1"/>
  <c r="AF8" i="7"/>
  <c r="AP7" i="6"/>
  <c r="AP8" i="6"/>
  <c r="X8" i="6"/>
  <c r="X9" i="6" s="1"/>
  <c r="Z7" i="6"/>
  <c r="AE11" i="7"/>
  <c r="AE82" i="7"/>
  <c r="AE80" i="7"/>
  <c r="AE83" i="7" s="1"/>
  <c r="AE10" i="7"/>
  <c r="AR722" i="6"/>
  <c r="AZ722" i="6" s="1"/>
  <c r="AR723" i="6"/>
  <c r="Z723" i="6"/>
  <c r="Z724" i="6" s="1"/>
  <c r="AQ672" i="6"/>
  <c r="Y673" i="6"/>
  <c r="Y674" i="6" s="1"/>
  <c r="AQ673" i="6"/>
  <c r="Y267" i="6"/>
  <c r="AQ267" i="6" s="1"/>
  <c r="X268" i="6"/>
  <c r="X269" i="6" s="1"/>
  <c r="AP267" i="6"/>
  <c r="AP268" i="6" s="1"/>
  <c r="X272" i="6"/>
  <c r="AO273" i="6"/>
  <c r="W273" i="6"/>
  <c r="W274" i="6" s="1"/>
  <c r="AO272" i="6"/>
  <c r="X17" i="6"/>
  <c r="Y17" i="6" s="1"/>
  <c r="W18" i="6"/>
  <c r="W19" i="6" s="1"/>
  <c r="AO17" i="6"/>
  <c r="AI17" i="9"/>
  <c r="AI19" i="9" s="1"/>
  <c r="AE21" i="7"/>
  <c r="AO18" i="6"/>
  <c r="AO213" i="6"/>
  <c r="W213" i="6"/>
  <c r="W214" i="6" s="1"/>
  <c r="AO212" i="6"/>
  <c r="AN573" i="6"/>
  <c r="AN572" i="6"/>
  <c r="V573" i="6"/>
  <c r="Y678" i="6"/>
  <c r="Y679" i="6" s="1"/>
  <c r="AQ677" i="6"/>
  <c r="AQ678" i="6" s="1"/>
  <c r="AQ417" i="6"/>
  <c r="AQ418" i="6" s="1"/>
  <c r="Y418" i="6"/>
  <c r="Y419" i="6" s="1"/>
  <c r="Y477" i="6"/>
  <c r="Y478" i="6" s="1"/>
  <c r="Y479" i="6" s="1"/>
  <c r="X678" i="6"/>
  <c r="X679" i="6" s="1"/>
  <c r="AP677" i="6"/>
  <c r="AP678" i="6" s="1"/>
  <c r="Z677" i="6"/>
  <c r="AH677" i="6" s="1"/>
  <c r="U729" i="6"/>
  <c r="U773" i="6" s="1"/>
  <c r="U772" i="6"/>
  <c r="V313" i="6"/>
  <c r="V314" i="6" s="1"/>
  <c r="AN312" i="6"/>
  <c r="AN313" i="6"/>
  <c r="U574" i="6"/>
  <c r="U771" i="6" s="1"/>
  <c r="U770" i="6"/>
  <c r="W478" i="6"/>
  <c r="W479" i="6" s="1"/>
  <c r="AN213" i="6"/>
  <c r="AN212" i="6"/>
  <c r="V213" i="6"/>
  <c r="V214" i="6" s="1"/>
  <c r="X212" i="6"/>
  <c r="Y212" i="6" s="1"/>
  <c r="X673" i="6"/>
  <c r="X674" i="6" s="1"/>
  <c r="AP673" i="6"/>
  <c r="AP672" i="6"/>
  <c r="Z672" i="6"/>
  <c r="AH672" i="6" s="1"/>
  <c r="V273" i="6"/>
  <c r="AN273" i="6"/>
  <c r="AN272" i="6"/>
  <c r="AP472" i="6"/>
  <c r="AP473" i="6"/>
  <c r="X473" i="6"/>
  <c r="X474" i="6" s="1"/>
  <c r="AN727" i="6"/>
  <c r="AN728" i="6" s="1"/>
  <c r="V728" i="6"/>
  <c r="X167" i="6"/>
  <c r="Y167" i="6" s="1"/>
  <c r="AO167" i="6"/>
  <c r="AO168" i="6" s="1"/>
  <c r="W168" i="6"/>
  <c r="W169" i="6" s="1"/>
  <c r="X312" i="6"/>
  <c r="Y312" i="6" s="1"/>
  <c r="AO312" i="6"/>
  <c r="W313" i="6"/>
  <c r="W314" i="6" s="1"/>
  <c r="AO313" i="6"/>
  <c r="Y317" i="6"/>
  <c r="Z317" i="6" s="1"/>
  <c r="AP317" i="6"/>
  <c r="AP318" i="6" s="1"/>
  <c r="X318" i="6"/>
  <c r="X319" i="6" s="1"/>
  <c r="AC93" i="7"/>
  <c r="AD21" i="7"/>
  <c r="AN18" i="6"/>
  <c r="AN17" i="6"/>
  <c r="V18" i="6"/>
  <c r="V19" i="6" s="1"/>
  <c r="AH17" i="9"/>
  <c r="AH19" i="9" s="1"/>
  <c r="AO267" i="6"/>
  <c r="AO268" i="6" s="1"/>
  <c r="W268" i="6"/>
  <c r="W269" i="6" s="1"/>
  <c r="W727" i="6"/>
  <c r="AN477" i="6"/>
  <c r="AN478" i="6" s="1"/>
  <c r="V478" i="6"/>
  <c r="V479" i="6" s="1"/>
  <c r="W627" i="6"/>
  <c r="X627" i="6" s="1"/>
  <c r="V628" i="6"/>
  <c r="V629" i="6" s="1"/>
  <c r="AN627" i="6"/>
  <c r="AN628" i="6" s="1"/>
  <c r="X418" i="6"/>
  <c r="AP417" i="6"/>
  <c r="AP418" i="6" s="1"/>
  <c r="Z417" i="6"/>
  <c r="AO317" i="6"/>
  <c r="AO318" i="6" s="1"/>
  <c r="W318" i="6"/>
  <c r="W319" i="6" s="1"/>
  <c r="AP523" i="6"/>
  <c r="AP522" i="6"/>
  <c r="X523" i="6"/>
  <c r="X524" i="6" s="1"/>
  <c r="Y522" i="6"/>
  <c r="Z522" i="6" s="1"/>
  <c r="W572" i="6"/>
  <c r="Y472" i="6"/>
  <c r="Z472" i="6" s="1"/>
  <c r="AZ67" i="6"/>
  <c r="AQ622" i="6"/>
  <c r="Y623" i="6"/>
  <c r="Y624" i="6" s="1"/>
  <c r="AQ623" i="6"/>
  <c r="Y69" i="6"/>
  <c r="AR577" i="6"/>
  <c r="AR578" i="6" s="1"/>
  <c r="Z578" i="6"/>
  <c r="Z622" i="6"/>
  <c r="AH622" i="6" s="1"/>
  <c r="AH577" i="6"/>
  <c r="AQ578" i="6"/>
  <c r="AR367" i="6"/>
  <c r="AR368" i="6" s="1"/>
  <c r="Z368" i="6"/>
  <c r="Z369" i="6" s="1"/>
  <c r="Z63" i="6"/>
  <c r="Z64" i="6" s="1"/>
  <c r="AR63" i="6"/>
  <c r="AR62" i="6"/>
  <c r="AZ62" i="6" s="1"/>
  <c r="AP368" i="6"/>
  <c r="AH367" i="6"/>
  <c r="X369" i="6"/>
  <c r="AP182" i="6"/>
  <c r="AP183" i="6" s="1"/>
  <c r="X183" i="6"/>
  <c r="X184" i="6" s="1"/>
  <c r="AN647" i="6"/>
  <c r="AN648" i="6" s="1"/>
  <c r="V648" i="6"/>
  <c r="V649" i="6" s="1"/>
  <c r="AN332" i="6"/>
  <c r="AN287" i="6"/>
  <c r="AN288" i="6" s="1"/>
  <c r="V288" i="6"/>
  <c r="V289" i="6" s="1"/>
  <c r="AQ642" i="6"/>
  <c r="AQ643" i="6" s="1"/>
  <c r="Y643" i="6"/>
  <c r="Y644" i="6" s="1"/>
  <c r="Z78" i="6"/>
  <c r="Z79" i="6" s="1"/>
  <c r="AR77" i="6"/>
  <c r="AR78" i="6" s="1"/>
  <c r="AH77" i="6"/>
  <c r="AN747" i="6"/>
  <c r="AN748" i="6" s="1"/>
  <c r="V748" i="6"/>
  <c r="AM292" i="6"/>
  <c r="AM293" i="6" s="1"/>
  <c r="U293" i="6"/>
  <c r="U294" i="6" s="1"/>
  <c r="AK447" i="6"/>
  <c r="AK448" i="6" s="1"/>
  <c r="S448" i="6"/>
  <c r="S449" i="6" s="1"/>
  <c r="Z328" i="6"/>
  <c r="Z329" i="6" s="1"/>
  <c r="AR327" i="6"/>
  <c r="AR328" i="6" s="1"/>
  <c r="AH327" i="6"/>
  <c r="AN547" i="6"/>
  <c r="AN548" i="6" s="1"/>
  <c r="V548" i="6"/>
  <c r="V549" i="6" s="1"/>
  <c r="AP227" i="6"/>
  <c r="AP228" i="6" s="1"/>
  <c r="X228" i="6"/>
  <c r="X229" i="6" s="1"/>
  <c r="AO382" i="6"/>
  <c r="AP737" i="6"/>
  <c r="AP738" i="6" s="1"/>
  <c r="X738" i="6"/>
  <c r="AP177" i="6"/>
  <c r="AP178" i="6" s="1"/>
  <c r="X178" i="6"/>
  <c r="X179" i="6" s="1"/>
  <c r="AP592" i="6"/>
  <c r="AP593" i="6" s="1"/>
  <c r="X593" i="6"/>
  <c r="X594" i="6" s="1"/>
  <c r="V498" i="6"/>
  <c r="V499" i="6" s="1"/>
  <c r="AN497" i="6"/>
  <c r="AN498" i="6" s="1"/>
  <c r="K78" i="6"/>
  <c r="J79" i="6"/>
  <c r="J86" i="6"/>
  <c r="J88" i="6"/>
  <c r="S348" i="6"/>
  <c r="S349" i="6" s="1"/>
  <c r="AK347" i="6"/>
  <c r="AK348" i="6" s="1"/>
  <c r="S758" i="6"/>
  <c r="AK757" i="6"/>
  <c r="AK758" i="6" s="1"/>
  <c r="AJ657" i="6"/>
  <c r="AJ658" i="6" s="1"/>
  <c r="R658" i="6"/>
  <c r="R659" i="6" s="1"/>
  <c r="AI448" i="6"/>
  <c r="K112" i="6"/>
  <c r="J120" i="6"/>
  <c r="J122" i="6" s="1"/>
  <c r="J113" i="6"/>
  <c r="U84" i="6"/>
  <c r="AP487" i="6"/>
  <c r="AP488" i="6" s="1"/>
  <c r="X488" i="6"/>
  <c r="X489" i="6" s="1"/>
  <c r="K23" i="2"/>
  <c r="L22" i="2"/>
  <c r="L23" i="2" s="1"/>
  <c r="T653" i="6"/>
  <c r="T654" i="6" s="1"/>
  <c r="AL652" i="6"/>
  <c r="AL653" i="6" s="1"/>
  <c r="B322" i="5"/>
  <c r="C322" i="5"/>
  <c r="D322" i="5"/>
  <c r="AM693" i="6"/>
  <c r="AK138" i="6"/>
  <c r="AL233" i="6"/>
  <c r="S343" i="6"/>
  <c r="S344" i="6" s="1"/>
  <c r="AK342" i="6"/>
  <c r="Q99" i="6"/>
  <c r="AJ297" i="6"/>
  <c r="AJ298" i="6" s="1"/>
  <c r="R298" i="6"/>
  <c r="R299" i="6" s="1"/>
  <c r="S248" i="6"/>
  <c r="S249" i="6" s="1"/>
  <c r="AK247" i="6"/>
  <c r="AK248" i="6" s="1"/>
  <c r="AO378" i="6"/>
  <c r="AN187" i="6"/>
  <c r="AN188" i="6" s="1"/>
  <c r="V188" i="6"/>
  <c r="V189" i="6" s="1"/>
  <c r="AO492" i="6"/>
  <c r="AP282" i="6"/>
  <c r="AP283" i="6" s="1"/>
  <c r="X283" i="6"/>
  <c r="X284" i="6" s="1"/>
  <c r="T342" i="6"/>
  <c r="T93" i="6"/>
  <c r="AL92" i="6"/>
  <c r="T552" i="6"/>
  <c r="U552" i="6" s="1"/>
  <c r="AK707" i="6"/>
  <c r="AK708" i="6" s="1"/>
  <c r="S708" i="6"/>
  <c r="S709" i="6" s="1"/>
  <c r="Q609" i="6"/>
  <c r="R558" i="6"/>
  <c r="R559" i="6" s="1"/>
  <c r="AJ557" i="6"/>
  <c r="AJ558" i="6" s="1"/>
  <c r="R398" i="6"/>
  <c r="R399" i="6" s="1"/>
  <c r="AJ397" i="6"/>
  <c r="AJ398" i="6" s="1"/>
  <c r="T599" i="6"/>
  <c r="Z128" i="6"/>
  <c r="Z129" i="6" s="1"/>
  <c r="AR127" i="6"/>
  <c r="AR128" i="6" s="1"/>
  <c r="D278" i="5"/>
  <c r="B278" i="5"/>
  <c r="C278" i="5"/>
  <c r="A310" i="5"/>
  <c r="AL752" i="6"/>
  <c r="T753" i="6"/>
  <c r="AL88" i="6"/>
  <c r="C268" i="5"/>
  <c r="A300" i="5"/>
  <c r="B268" i="5"/>
  <c r="D268" i="5"/>
  <c r="Q149" i="6"/>
  <c r="AK507" i="6"/>
  <c r="AK508" i="6" s="1"/>
  <c r="S508" i="6"/>
  <c r="S509" i="6" s="1"/>
  <c r="AI452" i="6"/>
  <c r="R452" i="6"/>
  <c r="S452" i="6" s="1"/>
  <c r="Q453" i="6"/>
  <c r="Q613" i="6"/>
  <c r="R612" i="6"/>
  <c r="S612" i="6" s="1"/>
  <c r="AI612" i="6"/>
  <c r="Q713" i="6"/>
  <c r="R712" i="6"/>
  <c r="S712" i="6" s="1"/>
  <c r="AI712" i="6"/>
  <c r="Q253" i="6"/>
  <c r="R252" i="6"/>
  <c r="S252" i="6" s="1"/>
  <c r="AI252" i="6"/>
  <c r="R198" i="6"/>
  <c r="R199" i="6" s="1"/>
  <c r="AJ197" i="6"/>
  <c r="AJ198" i="6" s="1"/>
  <c r="V697" i="6"/>
  <c r="W697" i="6" s="1"/>
  <c r="U702" i="6"/>
  <c r="V702" i="6" s="1"/>
  <c r="U92" i="6"/>
  <c r="U648" i="6"/>
  <c r="W647" i="6"/>
  <c r="AM647" i="6"/>
  <c r="AN82" i="6"/>
  <c r="X82" i="6"/>
  <c r="Y82" i="6" s="1"/>
  <c r="T193" i="6"/>
  <c r="T194" i="6" s="1"/>
  <c r="AL192" i="6"/>
  <c r="AL193" i="6" s="1"/>
  <c r="T347" i="6"/>
  <c r="AJ347" i="6"/>
  <c r="AJ348" i="6" s="1"/>
  <c r="R348" i="6"/>
  <c r="R349" i="6" s="1"/>
  <c r="AI658" i="6"/>
  <c r="Q449" i="6"/>
  <c r="X382" i="6"/>
  <c r="Y382" i="6" s="1"/>
  <c r="AN382" i="6"/>
  <c r="AP373" i="6"/>
  <c r="AP372" i="6"/>
  <c r="X373" i="6"/>
  <c r="AM87" i="6"/>
  <c r="AM88" i="6" s="1"/>
  <c r="U88" i="6"/>
  <c r="AL502" i="6"/>
  <c r="AL503" i="6" s="1"/>
  <c r="T503" i="6"/>
  <c r="T504" i="6" s="1"/>
  <c r="AM332" i="6"/>
  <c r="AM333" i="6" s="1"/>
  <c r="U333" i="6"/>
  <c r="W332" i="6"/>
  <c r="Y428" i="6"/>
  <c r="Y429" i="6" s="1"/>
  <c r="AQ427" i="6"/>
  <c r="AQ428" i="6" s="1"/>
  <c r="AO692" i="6"/>
  <c r="AM137" i="6"/>
  <c r="AM138" i="6" s="1"/>
  <c r="U138" i="6"/>
  <c r="U139" i="6" s="1"/>
  <c r="V232" i="6"/>
  <c r="W232" i="6" s="1"/>
  <c r="AO588" i="6"/>
  <c r="X433" i="6"/>
  <c r="AP432" i="6"/>
  <c r="AP433" i="6" s="1"/>
  <c r="Y328" i="6"/>
  <c r="Y329" i="6" s="1"/>
  <c r="AQ327" i="6"/>
  <c r="AQ328" i="6" s="1"/>
  <c r="R98" i="6"/>
  <c r="R99" i="6" s="1"/>
  <c r="AJ97" i="6"/>
  <c r="AJ98" i="6" s="1"/>
  <c r="T97" i="6"/>
  <c r="U97" i="6" s="1"/>
  <c r="Q299" i="6"/>
  <c r="AJ247" i="6"/>
  <c r="AJ248" i="6" s="1"/>
  <c r="T247" i="6"/>
  <c r="R248" i="6"/>
  <c r="R249" i="6" s="1"/>
  <c r="U502" i="6"/>
  <c r="AP542" i="6"/>
  <c r="X543" i="6"/>
  <c r="X544" i="6" s="1"/>
  <c r="W638" i="6"/>
  <c r="AO637" i="6"/>
  <c r="AO638" i="6" s="1"/>
  <c r="T143" i="6"/>
  <c r="AL142" i="6"/>
  <c r="AI708" i="6"/>
  <c r="AJ607" i="6"/>
  <c r="AJ608" i="6" s="1"/>
  <c r="R608" i="6"/>
  <c r="R609" i="6" s="1"/>
  <c r="T607" i="6"/>
  <c r="U607" i="6" s="1"/>
  <c r="S557" i="6"/>
  <c r="T557" i="6" s="1"/>
  <c r="AI398" i="6"/>
  <c r="V597" i="6"/>
  <c r="W597" i="6" s="1"/>
  <c r="X129" i="6"/>
  <c r="V87" i="6"/>
  <c r="K62" i="6"/>
  <c r="K69" i="6"/>
  <c r="K71" i="6"/>
  <c r="AP587" i="6"/>
  <c r="AP588" i="6" s="1"/>
  <c r="X588" i="6"/>
  <c r="X589" i="6" s="1"/>
  <c r="Z587" i="6"/>
  <c r="AM187" i="6"/>
  <c r="AM188" i="6" s="1"/>
  <c r="U188" i="6"/>
  <c r="U189" i="6" s="1"/>
  <c r="W187" i="6"/>
  <c r="U238" i="6"/>
  <c r="AM237" i="6"/>
  <c r="S147" i="6"/>
  <c r="T147" i="6" s="1"/>
  <c r="Q509" i="6"/>
  <c r="Q103" i="6"/>
  <c r="AI102" i="6"/>
  <c r="R102" i="6"/>
  <c r="S102" i="6" s="1"/>
  <c r="Q563" i="6"/>
  <c r="R562" i="6"/>
  <c r="S562" i="6" s="1"/>
  <c r="AI562" i="6"/>
  <c r="R662" i="6"/>
  <c r="AI662" i="6"/>
  <c r="Q663" i="6"/>
  <c r="AI402" i="6"/>
  <c r="R402" i="6"/>
  <c r="Q403" i="6"/>
  <c r="AI198" i="6"/>
  <c r="T243" i="6"/>
  <c r="T244" i="6" s="1"/>
  <c r="V242" i="6"/>
  <c r="W242" i="6" s="1"/>
  <c r="AL242" i="6"/>
  <c r="AL243" i="6" s="1"/>
  <c r="AM383" i="6"/>
  <c r="U752" i="6"/>
  <c r="AZ172" i="6"/>
  <c r="Y182" i="6"/>
  <c r="AO182" i="6"/>
  <c r="S553" i="6"/>
  <c r="S554" i="6" s="1"/>
  <c r="AK552" i="6"/>
  <c r="Q349" i="6"/>
  <c r="Q759" i="6"/>
  <c r="T757" i="6"/>
  <c r="R758" i="6"/>
  <c r="AJ757" i="6"/>
  <c r="AJ758" i="6" s="1"/>
  <c r="AO737" i="6"/>
  <c r="AO738" i="6" s="1"/>
  <c r="W738" i="6"/>
  <c r="Y737" i="6"/>
  <c r="AM83" i="6"/>
  <c r="AP222" i="6"/>
  <c r="X223" i="6"/>
  <c r="X224" i="6" s="1"/>
  <c r="AP223" i="6"/>
  <c r="U243" i="6"/>
  <c r="U244" i="6" s="1"/>
  <c r="AM242" i="6"/>
  <c r="AM243" i="6" s="1"/>
  <c r="J249" i="6"/>
  <c r="J256" i="6"/>
  <c r="K248" i="6"/>
  <c r="J258" i="6"/>
  <c r="AO428" i="6"/>
  <c r="S139" i="6"/>
  <c r="AI98" i="6"/>
  <c r="AI298" i="6"/>
  <c r="AI248" i="6"/>
  <c r="AM547" i="6"/>
  <c r="U548" i="6"/>
  <c r="U549" i="6" s="1"/>
  <c r="W547" i="6"/>
  <c r="AO282" i="6"/>
  <c r="Y282" i="6"/>
  <c r="AQ377" i="6"/>
  <c r="AL188" i="6"/>
  <c r="W278" i="6"/>
  <c r="W279" i="6" s="1"/>
  <c r="AO277" i="6"/>
  <c r="AO278" i="6" s="1"/>
  <c r="U393" i="6"/>
  <c r="U394" i="6" s="1"/>
  <c r="AM392" i="6"/>
  <c r="AM393" i="6" s="1"/>
  <c r="X277" i="6"/>
  <c r="AM437" i="6"/>
  <c r="U438" i="6"/>
  <c r="U652" i="6"/>
  <c r="AR733" i="6"/>
  <c r="AR732" i="6"/>
  <c r="AZ732" i="6" s="1"/>
  <c r="Z733" i="6"/>
  <c r="T707" i="6"/>
  <c r="R708" i="6"/>
  <c r="R709" i="6" s="1"/>
  <c r="AJ707" i="6"/>
  <c r="AJ708" i="6" s="1"/>
  <c r="AK607" i="6"/>
  <c r="AK608" i="6" s="1"/>
  <c r="S608" i="6"/>
  <c r="S609" i="6" s="1"/>
  <c r="Q559" i="6"/>
  <c r="Q399" i="6"/>
  <c r="X387" i="6"/>
  <c r="Y387" i="6" s="1"/>
  <c r="AN387" i="6"/>
  <c r="AN388" i="6" s="1"/>
  <c r="V388" i="6"/>
  <c r="V389" i="6" s="1"/>
  <c r="X643" i="6"/>
  <c r="X644" i="6" s="1"/>
  <c r="AP642" i="6"/>
  <c r="Z642" i="6"/>
  <c r="AH642" i="6" s="1"/>
  <c r="D302" i="5"/>
  <c r="C302" i="5"/>
  <c r="B302" i="5"/>
  <c r="AL598" i="6"/>
  <c r="AP128" i="6"/>
  <c r="R754" i="6"/>
  <c r="B282" i="5"/>
  <c r="A314" i="5"/>
  <c r="C282" i="5"/>
  <c r="D282" i="5"/>
  <c r="U498" i="6"/>
  <c r="AM497" i="6"/>
  <c r="W497" i="6"/>
  <c r="AL292" i="6"/>
  <c r="T293" i="6"/>
  <c r="V292" i="6"/>
  <c r="D320" i="5"/>
  <c r="C320" i="5"/>
  <c r="B320" i="5"/>
  <c r="Y734" i="6"/>
  <c r="AI148" i="6"/>
  <c r="AI508" i="6"/>
  <c r="R352" i="6"/>
  <c r="S352" i="6" s="1"/>
  <c r="AI352" i="6"/>
  <c r="Q353" i="6"/>
  <c r="Q303" i="6"/>
  <c r="R302" i="6"/>
  <c r="S302" i="6" s="1"/>
  <c r="AI302" i="6"/>
  <c r="R762" i="6"/>
  <c r="S762" i="6" s="1"/>
  <c r="Q763" i="6"/>
  <c r="AI762" i="6"/>
  <c r="S197" i="6"/>
  <c r="AL137" i="6"/>
  <c r="AL138" i="6" s="1"/>
  <c r="T138" i="6"/>
  <c r="T139" i="6" s="1"/>
  <c r="V137" i="6"/>
  <c r="T339" i="6"/>
  <c r="V237" i="6"/>
  <c r="K231" i="6"/>
  <c r="J241" i="6"/>
  <c r="J239" i="6"/>
  <c r="J232" i="6"/>
  <c r="W224" i="6"/>
  <c r="V437" i="6"/>
  <c r="S754" i="6"/>
  <c r="X492" i="6"/>
  <c r="Y492" i="6" s="1"/>
  <c r="U142" i="6"/>
  <c r="Z427" i="6"/>
  <c r="AH427" i="6" s="1"/>
  <c r="Y78" i="6"/>
  <c r="Y79" i="6" s="1"/>
  <c r="AQ77" i="6"/>
  <c r="AM597" i="6"/>
  <c r="AM598" i="6" s="1"/>
  <c r="U598" i="6"/>
  <c r="U599" i="6" s="1"/>
  <c r="AM697" i="6"/>
  <c r="U698" i="6"/>
  <c r="U699" i="6" s="1"/>
  <c r="AI348" i="6"/>
  <c r="AI758" i="6"/>
  <c r="S657" i="6"/>
  <c r="Q659" i="6"/>
  <c r="T447" i="6"/>
  <c r="AJ447" i="6"/>
  <c r="AJ448" i="6" s="1"/>
  <c r="R448" i="6"/>
  <c r="R449" i="6" s="1"/>
  <c r="A317" i="5"/>
  <c r="C285" i="5"/>
  <c r="B285" i="5"/>
  <c r="D285" i="5"/>
  <c r="W538" i="6"/>
  <c r="W539" i="6" s="1"/>
  <c r="AO537" i="6"/>
  <c r="AO538" i="6" s="1"/>
  <c r="AO82" i="6"/>
  <c r="AM232" i="6"/>
  <c r="AM233" i="6" s="1"/>
  <c r="U233" i="6"/>
  <c r="U234" i="6" s="1"/>
  <c r="W429" i="6"/>
  <c r="AQ742" i="6"/>
  <c r="AQ743" i="6" s="1"/>
  <c r="Y743" i="6"/>
  <c r="Z688" i="6"/>
  <c r="Z689" i="6" s="1"/>
  <c r="AR687" i="6"/>
  <c r="AR688" i="6" s="1"/>
  <c r="Y588" i="6"/>
  <c r="Y589" i="6" s="1"/>
  <c r="AQ587" i="6"/>
  <c r="AQ588" i="6" s="1"/>
  <c r="AK97" i="6"/>
  <c r="AK98" i="6" s="1"/>
  <c r="S98" i="6"/>
  <c r="S99" i="6" s="1"/>
  <c r="S297" i="6"/>
  <c r="T297" i="6" s="1"/>
  <c r="Q249" i="6"/>
  <c r="S443" i="6"/>
  <c r="S444" i="6" s="1"/>
  <c r="AK442" i="6"/>
  <c r="AO227" i="6"/>
  <c r="AO228" i="6" s="1"/>
  <c r="W228" i="6"/>
  <c r="W229" i="6" s="1"/>
  <c r="Y227" i="6"/>
  <c r="AO177" i="6"/>
  <c r="AO178" i="6" s="1"/>
  <c r="W178" i="6"/>
  <c r="Y177" i="6"/>
  <c r="W379" i="6"/>
  <c r="T189" i="6"/>
  <c r="T703" i="6"/>
  <c r="AL702" i="6"/>
  <c r="AL703" i="6" s="1"/>
  <c r="U288" i="6"/>
  <c r="AM287" i="6"/>
  <c r="AM288" i="6" s="1"/>
  <c r="W287" i="6"/>
  <c r="K146" i="6"/>
  <c r="J156" i="6"/>
  <c r="J147" i="6"/>
  <c r="J154" i="6"/>
  <c r="X537" i="6"/>
  <c r="U748" i="6"/>
  <c r="AM747" i="6"/>
  <c r="W747" i="6"/>
  <c r="X747" i="6" s="1"/>
  <c r="AO592" i="6"/>
  <c r="Y592" i="6"/>
  <c r="T603" i="6"/>
  <c r="T604" i="6" s="1"/>
  <c r="AL602" i="6"/>
  <c r="U192" i="6"/>
  <c r="Q709" i="6"/>
  <c r="AI608" i="6"/>
  <c r="AI558" i="6"/>
  <c r="S397" i="6"/>
  <c r="T389" i="6"/>
  <c r="X74" i="6"/>
  <c r="AH127" i="6"/>
  <c r="B306" i="5"/>
  <c r="D306" i="5"/>
  <c r="C306" i="5"/>
  <c r="AO387" i="6"/>
  <c r="AO337" i="6"/>
  <c r="Y372" i="6"/>
  <c r="J205" i="6"/>
  <c r="J207" i="6"/>
  <c r="J198" i="6"/>
  <c r="K197" i="6"/>
  <c r="R148" i="6"/>
  <c r="R149" i="6" s="1"/>
  <c r="AJ147" i="6"/>
  <c r="AJ148" i="6" s="1"/>
  <c r="R508" i="6"/>
  <c r="R509" i="6" s="1"/>
  <c r="AJ507" i="6"/>
  <c r="AJ508" i="6" s="1"/>
  <c r="T507" i="6"/>
  <c r="R512" i="6"/>
  <c r="S512" i="6" s="1"/>
  <c r="AI512" i="6"/>
  <c r="Q513" i="6"/>
  <c r="Q153" i="6"/>
  <c r="R152" i="6"/>
  <c r="AI152" i="6"/>
  <c r="Q457" i="6"/>
  <c r="Q617" i="6"/>
  <c r="Q407" i="6"/>
  <c r="K28" i="6"/>
  <c r="K37" i="6"/>
  <c r="Q307" i="6"/>
  <c r="Q517" i="6"/>
  <c r="Q567" i="6"/>
  <c r="Q107" i="6"/>
  <c r="Q207" i="6"/>
  <c r="Q357" i="6"/>
  <c r="Q157" i="6"/>
  <c r="Q767" i="6"/>
  <c r="Q717" i="6"/>
  <c r="Q257" i="6"/>
  <c r="Q667" i="6"/>
  <c r="K35" i="6"/>
  <c r="R202" i="6"/>
  <c r="Q203" i="6"/>
  <c r="AI202" i="6"/>
  <c r="Q199" i="6"/>
  <c r="T442" i="6"/>
  <c r="V338" i="6"/>
  <c r="V339" i="6" s="1"/>
  <c r="X337" i="6"/>
  <c r="Y337" i="6" s="1"/>
  <c r="AN337" i="6"/>
  <c r="AP742" i="6"/>
  <c r="AP743" i="6" s="1"/>
  <c r="X743" i="6"/>
  <c r="Z742" i="6"/>
  <c r="AH742" i="6" s="1"/>
  <c r="AL392" i="6"/>
  <c r="AL393" i="6" s="1"/>
  <c r="V392" i="6"/>
  <c r="T393" i="6"/>
  <c r="T394" i="6" s="1"/>
  <c r="D280" i="5"/>
  <c r="C280" i="5"/>
  <c r="A312" i="5"/>
  <c r="B280" i="5"/>
  <c r="U384" i="6"/>
  <c r="Y222" i="6"/>
  <c r="Z222" i="6" s="1"/>
  <c r="Y484" i="6"/>
  <c r="X637" i="6"/>
  <c r="T749" i="6"/>
  <c r="Y487" i="6"/>
  <c r="Z487" i="6" s="1"/>
  <c r="X692" i="6"/>
  <c r="U602" i="6"/>
  <c r="Z377" i="6"/>
  <c r="Y432" i="6"/>
  <c r="Y542" i="6"/>
  <c r="Z542" i="6" s="1"/>
  <c r="H266" i="6" l="1"/>
  <c r="Q34" i="6"/>
  <c r="Q781" i="6" s="1"/>
  <c r="AB33" i="7"/>
  <c r="AF29" i="9"/>
  <c r="AF31" i="9" s="1"/>
  <c r="AL27" i="6"/>
  <c r="AL28" i="6" s="1"/>
  <c r="S778" i="6"/>
  <c r="AJ32" i="6"/>
  <c r="AJ33" i="6" s="1"/>
  <c r="Y44" i="7"/>
  <c r="I11" i="6"/>
  <c r="J10" i="6" s="1"/>
  <c r="J11" i="6" s="1"/>
  <c r="I265" i="6"/>
  <c r="BS3" i="6"/>
  <c r="Z218" i="6"/>
  <c r="Z219" i="6" s="1"/>
  <c r="AR217" i="6"/>
  <c r="AR218" i="6" s="1"/>
  <c r="Y111" i="7"/>
  <c r="Y114" i="7" s="1"/>
  <c r="AD36" i="9"/>
  <c r="AD38" i="9" s="1"/>
  <c r="Y48" i="7"/>
  <c r="Y50" i="7" s="1"/>
  <c r="AA38" i="7"/>
  <c r="AC43" i="9"/>
  <c r="AC45" i="9" s="1"/>
  <c r="AA37" i="7"/>
  <c r="AI37" i="6"/>
  <c r="AI38" i="6" s="1"/>
  <c r="R37" i="6"/>
  <c r="S37" i="6" s="1"/>
  <c r="T37" i="6" s="1"/>
  <c r="Z105" i="7"/>
  <c r="Z107" i="7" s="1"/>
  <c r="Z41" i="7"/>
  <c r="Z44" i="7" s="1"/>
  <c r="S32" i="6"/>
  <c r="T32" i="6" s="1"/>
  <c r="AF36" i="9" s="1"/>
  <c r="AF38" i="9" s="1"/>
  <c r="Z38" i="7"/>
  <c r="V48" i="5"/>
  <c r="AH682" i="6"/>
  <c r="AQ262" i="6"/>
  <c r="X533" i="6"/>
  <c r="X534" i="6" s="1"/>
  <c r="Q154" i="5"/>
  <c r="Q143" i="5"/>
  <c r="Q144" i="5"/>
  <c r="Q157" i="5"/>
  <c r="Q147" i="5"/>
  <c r="Q139" i="5"/>
  <c r="Q141" i="5"/>
  <c r="Q146" i="5"/>
  <c r="Q159" i="5"/>
  <c r="Q149" i="5"/>
  <c r="Q156" i="5"/>
  <c r="Q162" i="5"/>
  <c r="Q151" i="5"/>
  <c r="Q161" i="5"/>
  <c r="Q152" i="5"/>
  <c r="Q148" i="5"/>
  <c r="Q158" i="5"/>
  <c r="Q150" i="5"/>
  <c r="Q153" i="5"/>
  <c r="Q142" i="5"/>
  <c r="Q160" i="5"/>
  <c r="Q155" i="5"/>
  <c r="Q138" i="5"/>
  <c r="Q140" i="5"/>
  <c r="Q145" i="5"/>
  <c r="S136" i="5"/>
  <c r="Y532" i="6"/>
  <c r="Z532" i="6" s="1"/>
  <c r="AR532" i="6" s="1"/>
  <c r="AH733" i="6"/>
  <c r="D256" i="6" s="1"/>
  <c r="Y323" i="6"/>
  <c r="Y324" i="6" s="1"/>
  <c r="AP533" i="6"/>
  <c r="AZ528" i="6"/>
  <c r="AH173" i="6"/>
  <c r="D69" i="6" s="1"/>
  <c r="D71" i="6" s="1"/>
  <c r="AH68" i="6"/>
  <c r="C35" i="6" s="1"/>
  <c r="C37" i="6" s="1"/>
  <c r="AH528" i="6"/>
  <c r="C188" i="6" s="1"/>
  <c r="C190" i="6" s="1"/>
  <c r="U328" i="6"/>
  <c r="U329" i="6" s="1"/>
  <c r="V328" i="6"/>
  <c r="V329" i="6" s="1"/>
  <c r="U583" i="6"/>
  <c r="U584" i="6" s="1"/>
  <c r="T583" i="6"/>
  <c r="T584" i="6" s="1"/>
  <c r="S724" i="6"/>
  <c r="W743" i="6"/>
  <c r="W744" i="6" s="1"/>
  <c r="V743" i="6"/>
  <c r="V744" i="6" s="1"/>
  <c r="U78" i="6"/>
  <c r="U79" i="6" s="1"/>
  <c r="V78" i="6"/>
  <c r="V79" i="6" s="1"/>
  <c r="AI63" i="6"/>
  <c r="AK63" i="6"/>
  <c r="AJ63" i="6"/>
  <c r="Q623" i="6"/>
  <c r="Q624" i="6" s="1"/>
  <c r="R623" i="6"/>
  <c r="R624" i="6" s="1"/>
  <c r="S623" i="6"/>
  <c r="S624" i="6" s="1"/>
  <c r="Q673" i="6"/>
  <c r="P523" i="6" s="1"/>
  <c r="R673" i="6"/>
  <c r="R674" i="6" s="1"/>
  <c r="S673" i="6"/>
  <c r="S674" i="6" s="1"/>
  <c r="S678" i="6"/>
  <c r="S679" i="6" s="1"/>
  <c r="T678" i="6"/>
  <c r="T679" i="6" s="1"/>
  <c r="AI723" i="6"/>
  <c r="AJ723" i="6"/>
  <c r="AK723" i="6"/>
  <c r="R724" i="6"/>
  <c r="T683" i="6"/>
  <c r="T684" i="6" s="1"/>
  <c r="U683" i="6"/>
  <c r="U428" i="6"/>
  <c r="U429" i="6" s="1"/>
  <c r="V428" i="6"/>
  <c r="V429" i="6" s="1"/>
  <c r="W643" i="6"/>
  <c r="W644" i="6" s="1"/>
  <c r="V643" i="6"/>
  <c r="V644" i="6" s="1"/>
  <c r="Q113" i="6"/>
  <c r="Q114" i="6" s="1"/>
  <c r="S113" i="6"/>
  <c r="S114" i="6" s="1"/>
  <c r="R113" i="6"/>
  <c r="R114" i="6" s="1"/>
  <c r="U128" i="6"/>
  <c r="U129" i="6" s="1"/>
  <c r="V128" i="6"/>
  <c r="V129" i="6" s="1"/>
  <c r="S368" i="6"/>
  <c r="S369" i="6" s="1"/>
  <c r="T368" i="6"/>
  <c r="T369" i="6" s="1"/>
  <c r="S578" i="6"/>
  <c r="S579" i="6" s="1"/>
  <c r="T578" i="6"/>
  <c r="T579" i="6" s="1"/>
  <c r="T633" i="6"/>
  <c r="T634" i="6" s="1"/>
  <c r="U633" i="6"/>
  <c r="U634" i="6" s="1"/>
  <c r="T734" i="6"/>
  <c r="I18" i="9"/>
  <c r="D258" i="6"/>
  <c r="J10" i="3"/>
  <c r="K224" i="6"/>
  <c r="K222" i="6"/>
  <c r="K215" i="6"/>
  <c r="K96" i="6"/>
  <c r="K103" i="6"/>
  <c r="K105" i="6"/>
  <c r="Z322" i="6"/>
  <c r="AH322" i="6" s="1"/>
  <c r="C309" i="5"/>
  <c r="D309" i="5"/>
  <c r="B309" i="5"/>
  <c r="C318" i="5"/>
  <c r="D318" i="5"/>
  <c r="B318" i="5"/>
  <c r="V56" i="5"/>
  <c r="C304" i="5"/>
  <c r="B304" i="5"/>
  <c r="D304" i="5"/>
  <c r="D316" i="5"/>
  <c r="B316" i="5"/>
  <c r="C316" i="5"/>
  <c r="V42" i="5"/>
  <c r="V63" i="5"/>
  <c r="V59" i="5"/>
  <c r="V57" i="5"/>
  <c r="V54" i="5"/>
  <c r="V53" i="5"/>
  <c r="V46" i="5"/>
  <c r="AQ682" i="6"/>
  <c r="AZ682" i="6" s="1"/>
  <c r="V66" i="5"/>
  <c r="V49" i="5"/>
  <c r="V61" i="5"/>
  <c r="V60" i="5"/>
  <c r="V62" i="5"/>
  <c r="V47" i="5"/>
  <c r="AR683" i="6"/>
  <c r="V64" i="5"/>
  <c r="V52" i="5"/>
  <c r="V45" i="5"/>
  <c r="V58" i="5"/>
  <c r="W40" i="5"/>
  <c r="W58" i="5" s="1"/>
  <c r="V51" i="5"/>
  <c r="V44" i="5"/>
  <c r="V55" i="5"/>
  <c r="V50" i="5"/>
  <c r="V65" i="5"/>
  <c r="AQ683" i="6"/>
  <c r="AQ323" i="6"/>
  <c r="Z683" i="6"/>
  <c r="Z684" i="6" s="1"/>
  <c r="Y683" i="6"/>
  <c r="Y684" i="6" s="1"/>
  <c r="AQ72" i="6"/>
  <c r="Z583" i="6"/>
  <c r="Z584" i="6" s="1"/>
  <c r="AR583" i="6"/>
  <c r="AR582" i="6"/>
  <c r="AZ582" i="6" s="1"/>
  <c r="Z262" i="6"/>
  <c r="AH262" i="6" s="1"/>
  <c r="X118" i="6"/>
  <c r="X119" i="6" s="1"/>
  <c r="Y263" i="6"/>
  <c r="Y264" i="6" s="1"/>
  <c r="Y117" i="6"/>
  <c r="Z117" i="6" s="1"/>
  <c r="Z118" i="6" s="1"/>
  <c r="Z119" i="6" s="1"/>
  <c r="Y73" i="6"/>
  <c r="Y74" i="6" s="1"/>
  <c r="AQ73" i="6"/>
  <c r="AH72" i="6"/>
  <c r="AR72" i="6"/>
  <c r="Z73" i="6"/>
  <c r="Z74" i="6" s="1"/>
  <c r="AH482" i="6"/>
  <c r="V90" i="5"/>
  <c r="W75" i="5"/>
  <c r="Y363" i="6"/>
  <c r="Y364" i="6" s="1"/>
  <c r="Z362" i="6"/>
  <c r="AH362" i="6" s="1"/>
  <c r="AQ362" i="6"/>
  <c r="AF18" i="7"/>
  <c r="V83" i="5"/>
  <c r="V80" i="5"/>
  <c r="W93" i="5"/>
  <c r="P221" i="5"/>
  <c r="AR482" i="6"/>
  <c r="AZ482" i="6" s="1"/>
  <c r="V74" i="5"/>
  <c r="W89" i="5"/>
  <c r="P202" i="5"/>
  <c r="V98" i="5"/>
  <c r="AR483" i="6"/>
  <c r="V78" i="5"/>
  <c r="W98" i="5"/>
  <c r="W94" i="5"/>
  <c r="P211" i="5"/>
  <c r="P215" i="5"/>
  <c r="V25" i="5"/>
  <c r="V17" i="5"/>
  <c r="V15" i="5"/>
  <c r="V28" i="5"/>
  <c r="V11" i="5"/>
  <c r="V10" i="5"/>
  <c r="V34" i="5"/>
  <c r="V12" i="5"/>
  <c r="V30" i="5"/>
  <c r="V14" i="5"/>
  <c r="V20" i="5"/>
  <c r="V22" i="5"/>
  <c r="V24" i="5"/>
  <c r="V33" i="5"/>
  <c r="V18" i="5"/>
  <c r="V16" i="5"/>
  <c r="V13" i="5"/>
  <c r="V32" i="5"/>
  <c r="V26" i="5"/>
  <c r="V19" i="5"/>
  <c r="V21" i="5"/>
  <c r="V29" i="5"/>
  <c r="V31" i="5"/>
  <c r="V27" i="5"/>
  <c r="V23" i="5"/>
  <c r="U27" i="5"/>
  <c r="U19" i="5"/>
  <c r="U33" i="5"/>
  <c r="U16" i="5"/>
  <c r="U15" i="5"/>
  <c r="U22" i="5"/>
  <c r="U31" i="5"/>
  <c r="U10" i="5"/>
  <c r="U21" i="5"/>
  <c r="U26" i="5"/>
  <c r="U24" i="5"/>
  <c r="U11" i="5"/>
  <c r="U20" i="5"/>
  <c r="U34" i="5"/>
  <c r="U23" i="5"/>
  <c r="U14" i="5"/>
  <c r="U29" i="5"/>
  <c r="U17" i="5"/>
  <c r="U32" i="5"/>
  <c r="U25" i="5"/>
  <c r="U30" i="5"/>
  <c r="U28" i="5"/>
  <c r="U12" i="5"/>
  <c r="U18" i="5"/>
  <c r="U13" i="5"/>
  <c r="W4" i="5"/>
  <c r="X4" i="5" s="1"/>
  <c r="AK11" i="9"/>
  <c r="AK13" i="9" s="1"/>
  <c r="AH15" i="7"/>
  <c r="AH17" i="7" s="1"/>
  <c r="AR12" i="6"/>
  <c r="AR13" i="6" s="1"/>
  <c r="Y162" i="6"/>
  <c r="AQ162" i="6" s="1"/>
  <c r="V87" i="5"/>
  <c r="AR633" i="6"/>
  <c r="Y13" i="6"/>
  <c r="Y14" i="6" s="1"/>
  <c r="AH422" i="6"/>
  <c r="W85" i="5"/>
  <c r="P207" i="5"/>
  <c r="P208" i="5"/>
  <c r="AF89" i="7"/>
  <c r="AP163" i="6"/>
  <c r="AF87" i="7"/>
  <c r="AF90" i="7" s="1"/>
  <c r="AO413" i="6"/>
  <c r="W413" i="6"/>
  <c r="W414" i="6" s="1"/>
  <c r="Z633" i="6"/>
  <c r="Z634" i="6" s="1"/>
  <c r="V82" i="5"/>
  <c r="V91" i="5"/>
  <c r="V95" i="5"/>
  <c r="V75" i="5"/>
  <c r="W84" i="5"/>
  <c r="W80" i="5"/>
  <c r="W78" i="5"/>
  <c r="W95" i="5"/>
  <c r="W87" i="5"/>
  <c r="W79" i="5"/>
  <c r="W83" i="5"/>
  <c r="P224" i="5"/>
  <c r="P226" i="5"/>
  <c r="P205" i="5"/>
  <c r="P218" i="5"/>
  <c r="P217" i="5"/>
  <c r="P209" i="5"/>
  <c r="P220" i="5"/>
  <c r="V86" i="5"/>
  <c r="V92" i="5"/>
  <c r="V96" i="5"/>
  <c r="V88" i="5"/>
  <c r="V79" i="5"/>
  <c r="V76" i="5"/>
  <c r="V84" i="5"/>
  <c r="Z423" i="6"/>
  <c r="Z424" i="6" s="1"/>
  <c r="W77" i="5"/>
  <c r="W90" i="5"/>
  <c r="W81" i="5"/>
  <c r="W76" i="5"/>
  <c r="W88" i="5"/>
  <c r="W91" i="5"/>
  <c r="P203" i="5"/>
  <c r="P214" i="5"/>
  <c r="P212" i="5"/>
  <c r="P210" i="5"/>
  <c r="P206" i="5"/>
  <c r="P216" i="5"/>
  <c r="Q200" i="5"/>
  <c r="Q215" i="5" s="1"/>
  <c r="V81" i="5"/>
  <c r="X72" i="5"/>
  <c r="X82" i="5" s="1"/>
  <c r="V77" i="5"/>
  <c r="V97" i="5"/>
  <c r="V85" i="5"/>
  <c r="V89" i="5"/>
  <c r="V94" i="5"/>
  <c r="V93" i="5"/>
  <c r="AR423" i="6"/>
  <c r="W86" i="5"/>
  <c r="W82" i="5"/>
  <c r="W74" i="5"/>
  <c r="W92" i="5"/>
  <c r="W97" i="5"/>
  <c r="P225" i="5"/>
  <c r="P213" i="5"/>
  <c r="P223" i="5"/>
  <c r="P204" i="5"/>
  <c r="P222" i="5"/>
  <c r="AG15" i="7"/>
  <c r="AG17" i="7" s="1"/>
  <c r="AL11" i="9"/>
  <c r="AL13" i="9" s="1"/>
  <c r="AR632" i="6"/>
  <c r="AZ632" i="6" s="1"/>
  <c r="AA12" i="6"/>
  <c r="AB12" i="6" s="1"/>
  <c r="AN11" i="9" s="1"/>
  <c r="AN13" i="9" s="1"/>
  <c r="AQ12" i="6"/>
  <c r="AQ13" i="6" s="1"/>
  <c r="AO412" i="6"/>
  <c r="AP412" i="6"/>
  <c r="AP413" i="6"/>
  <c r="X413" i="6"/>
  <c r="X414" i="6" s="1"/>
  <c r="Y412" i="6"/>
  <c r="Z412" i="6" s="1"/>
  <c r="AH412" i="6" s="1"/>
  <c r="AH688" i="6"/>
  <c r="E239" i="6" s="1"/>
  <c r="E241" i="6" s="1"/>
  <c r="AZ687" i="6"/>
  <c r="AH472" i="6"/>
  <c r="AZ367" i="6"/>
  <c r="AZ577" i="6"/>
  <c r="AZ422" i="6"/>
  <c r="T779" i="6"/>
  <c r="X163" i="6"/>
  <c r="X164" i="6" s="1"/>
  <c r="AH522" i="6"/>
  <c r="AQ123" i="6"/>
  <c r="Y123" i="6"/>
  <c r="Y124" i="6" s="1"/>
  <c r="AQ122" i="6"/>
  <c r="AP122" i="6"/>
  <c r="AP123" i="6"/>
  <c r="X123" i="6"/>
  <c r="Z122" i="6"/>
  <c r="AH122" i="6" s="1"/>
  <c r="AH723" i="6"/>
  <c r="B256" i="6" s="1"/>
  <c r="AZ112" i="6"/>
  <c r="AH63" i="6"/>
  <c r="B35" i="6" s="1"/>
  <c r="N269" i="5"/>
  <c r="N266" i="5"/>
  <c r="N278" i="5"/>
  <c r="N274" i="5"/>
  <c r="N288" i="5"/>
  <c r="N287" i="5"/>
  <c r="N290" i="5"/>
  <c r="N275" i="5"/>
  <c r="N283" i="5"/>
  <c r="N273" i="5"/>
  <c r="N286" i="5"/>
  <c r="N285" i="5"/>
  <c r="O264" i="5"/>
  <c r="P264" i="5" s="1"/>
  <c r="N272" i="5"/>
  <c r="N270" i="5"/>
  <c r="N281" i="5"/>
  <c r="N276" i="5"/>
  <c r="N284" i="5"/>
  <c r="N267" i="5"/>
  <c r="N289" i="5"/>
  <c r="N271" i="5"/>
  <c r="N282" i="5"/>
  <c r="N268" i="5"/>
  <c r="N279" i="5"/>
  <c r="N280" i="5"/>
  <c r="N277" i="5"/>
  <c r="O243" i="5"/>
  <c r="O248" i="5"/>
  <c r="O251" i="5"/>
  <c r="O237" i="5"/>
  <c r="O238" i="5"/>
  <c r="O246" i="5"/>
  <c r="O256" i="5"/>
  <c r="O247" i="5"/>
  <c r="O245" i="5"/>
  <c r="O249" i="5"/>
  <c r="O240" i="5"/>
  <c r="O242" i="5"/>
  <c r="O257" i="5"/>
  <c r="O253" i="5"/>
  <c r="O234" i="5"/>
  <c r="O258" i="5"/>
  <c r="O235" i="5"/>
  <c r="O241" i="5"/>
  <c r="O250" i="5"/>
  <c r="O255" i="5"/>
  <c r="O239" i="5"/>
  <c r="O252" i="5"/>
  <c r="O244" i="5"/>
  <c r="O254" i="5"/>
  <c r="O236" i="5"/>
  <c r="V27" i="6"/>
  <c r="W27" i="6" s="1"/>
  <c r="AM27" i="6"/>
  <c r="AM28" i="6" s="1"/>
  <c r="AG29" i="9"/>
  <c r="AG31" i="9" s="1"/>
  <c r="AC33" i="7"/>
  <c r="U28" i="6"/>
  <c r="U29" i="6" s="1"/>
  <c r="M310" i="5"/>
  <c r="M318" i="5"/>
  <c r="M303" i="5"/>
  <c r="M301" i="5"/>
  <c r="M309" i="5"/>
  <c r="M319" i="5"/>
  <c r="N296" i="5"/>
  <c r="O296" i="5" s="1"/>
  <c r="M302" i="5"/>
  <c r="M313" i="5"/>
  <c r="M306" i="5"/>
  <c r="M298" i="5"/>
  <c r="M300" i="5"/>
  <c r="M308" i="5"/>
  <c r="M314" i="5"/>
  <c r="M304" i="5"/>
  <c r="M316" i="5"/>
  <c r="M312" i="5"/>
  <c r="M315" i="5"/>
  <c r="M322" i="5"/>
  <c r="M320" i="5"/>
  <c r="M299" i="5"/>
  <c r="M307" i="5"/>
  <c r="M305" i="5"/>
  <c r="M317" i="5"/>
  <c r="M321" i="5"/>
  <c r="M311" i="5"/>
  <c r="AC99" i="7"/>
  <c r="V124" i="5"/>
  <c r="V126" i="5"/>
  <c r="V127" i="5"/>
  <c r="V111" i="5"/>
  <c r="V125" i="5"/>
  <c r="V109" i="5"/>
  <c r="V107" i="5"/>
  <c r="V110" i="5"/>
  <c r="V122" i="5"/>
  <c r="V106" i="5"/>
  <c r="V120" i="5"/>
  <c r="V121" i="5"/>
  <c r="V112" i="5"/>
  <c r="V114" i="5"/>
  <c r="V129" i="5"/>
  <c r="V123" i="5"/>
  <c r="V118" i="5"/>
  <c r="V113" i="5"/>
  <c r="V115" i="5"/>
  <c r="V119" i="5"/>
  <c r="V108" i="5"/>
  <c r="V116" i="5"/>
  <c r="V128" i="5"/>
  <c r="V117" i="5"/>
  <c r="V130" i="5"/>
  <c r="Q39" i="6"/>
  <c r="Q783" i="6" s="1"/>
  <c r="Q782" i="6"/>
  <c r="P232" i="5"/>
  <c r="Q232" i="5" s="1"/>
  <c r="AA108" i="7"/>
  <c r="AA107" i="7"/>
  <c r="AB37" i="7"/>
  <c r="AB38" i="7"/>
  <c r="AB105" i="7"/>
  <c r="D266" i="5"/>
  <c r="A298" i="5"/>
  <c r="C266" i="5"/>
  <c r="B266" i="5"/>
  <c r="R171" i="5"/>
  <c r="R175" i="5"/>
  <c r="R194" i="5"/>
  <c r="R183" i="5"/>
  <c r="R184" i="5"/>
  <c r="R174" i="5"/>
  <c r="R176" i="5"/>
  <c r="R187" i="5"/>
  <c r="R190" i="5"/>
  <c r="R182" i="5"/>
  <c r="R178" i="5"/>
  <c r="R188" i="5"/>
  <c r="R172" i="5"/>
  <c r="R185" i="5"/>
  <c r="R181" i="5"/>
  <c r="R180" i="5"/>
  <c r="R186" i="5"/>
  <c r="R179" i="5"/>
  <c r="R173" i="5"/>
  <c r="R192" i="5"/>
  <c r="R193" i="5"/>
  <c r="R177" i="5"/>
  <c r="R170" i="5"/>
  <c r="R189" i="5"/>
  <c r="R191" i="5"/>
  <c r="AI42" i="6"/>
  <c r="AI43" i="6" s="1"/>
  <c r="Q43" i="6"/>
  <c r="Y55" i="7"/>
  <c r="AC49" i="9"/>
  <c r="AC51" i="9" s="1"/>
  <c r="AH23" i="9"/>
  <c r="AN22" i="6"/>
  <c r="AD27" i="7"/>
  <c r="T24" i="6"/>
  <c r="T777" i="6" s="1"/>
  <c r="T776" i="6"/>
  <c r="W22" i="6"/>
  <c r="X22" i="6" s="1"/>
  <c r="AM132" i="6"/>
  <c r="AM133" i="6" s="1"/>
  <c r="U133" i="6"/>
  <c r="U134" i="6" s="1"/>
  <c r="V132" i="6"/>
  <c r="K52" i="6"/>
  <c r="K54" i="6"/>
  <c r="K45" i="6"/>
  <c r="Q175" i="5"/>
  <c r="Q180" i="5"/>
  <c r="Q181" i="5"/>
  <c r="Q172" i="5"/>
  <c r="Q193" i="5"/>
  <c r="Q191" i="5"/>
  <c r="Q185" i="5"/>
  <c r="Q171" i="5"/>
  <c r="Q192" i="5"/>
  <c r="Q182" i="5"/>
  <c r="Q174" i="5"/>
  <c r="Q177" i="5"/>
  <c r="Q184" i="5"/>
  <c r="Q194" i="5"/>
  <c r="Q173" i="5"/>
  <c r="Q176" i="5"/>
  <c r="Q190" i="5"/>
  <c r="Q179" i="5"/>
  <c r="Q178" i="5"/>
  <c r="Q187" i="5"/>
  <c r="Q170" i="5"/>
  <c r="Q188" i="5"/>
  <c r="Q183" i="5"/>
  <c r="Q189" i="5"/>
  <c r="Q186" i="5"/>
  <c r="S168" i="5"/>
  <c r="T168" i="5" s="1"/>
  <c r="T778" i="6"/>
  <c r="AB101" i="7"/>
  <c r="AB30" i="7"/>
  <c r="AB99" i="7"/>
  <c r="AB102" i="7" s="1"/>
  <c r="AB29" i="7"/>
  <c r="U116" i="5"/>
  <c r="U113" i="5"/>
  <c r="U122" i="5"/>
  <c r="U114" i="5"/>
  <c r="U109" i="5"/>
  <c r="U127" i="5"/>
  <c r="U125" i="5"/>
  <c r="U123" i="5"/>
  <c r="U124" i="5"/>
  <c r="U108" i="5"/>
  <c r="U118" i="5"/>
  <c r="U106" i="5"/>
  <c r="U112" i="5"/>
  <c r="U117" i="5"/>
  <c r="U120" i="5"/>
  <c r="U128" i="5"/>
  <c r="U110" i="5"/>
  <c r="U121" i="5"/>
  <c r="U119" i="5"/>
  <c r="U129" i="5"/>
  <c r="U130" i="5"/>
  <c r="U126" i="5"/>
  <c r="U111" i="5"/>
  <c r="U107" i="5"/>
  <c r="U115" i="5"/>
  <c r="W104" i="5"/>
  <c r="R34" i="6"/>
  <c r="R781" i="6" s="1"/>
  <c r="R780" i="6"/>
  <c r="AA7" i="6"/>
  <c r="AB7" i="6" s="1"/>
  <c r="AL4" i="9"/>
  <c r="AL6" i="9" s="1"/>
  <c r="Z8" i="6"/>
  <c r="Z9" i="6" s="1"/>
  <c r="AH8" i="7"/>
  <c r="AR8" i="6"/>
  <c r="AR7" i="6"/>
  <c r="AF80" i="7"/>
  <c r="AF83" i="7" s="1"/>
  <c r="AF11" i="7"/>
  <c r="AF10" i="7"/>
  <c r="AF82" i="7"/>
  <c r="AG10" i="7"/>
  <c r="AG80" i="7"/>
  <c r="AG83" i="7" s="1"/>
  <c r="AG82" i="7"/>
  <c r="AG11" i="7"/>
  <c r="Z477" i="6"/>
  <c r="AH477" i="6" s="1"/>
  <c r="AQ477" i="6"/>
  <c r="AQ478" i="6" s="1"/>
  <c r="W774" i="6"/>
  <c r="W775" i="6"/>
  <c r="AR472" i="6"/>
  <c r="AR473" i="6"/>
  <c r="Z473" i="6"/>
  <c r="Z474" i="6" s="1"/>
  <c r="Z167" i="6"/>
  <c r="AH167" i="6" s="1"/>
  <c r="Y168" i="6"/>
  <c r="Y169" i="6" s="1"/>
  <c r="AQ167" i="6"/>
  <c r="AQ168" i="6" s="1"/>
  <c r="AO573" i="6"/>
  <c r="W573" i="6"/>
  <c r="AO572" i="6"/>
  <c r="Z418" i="6"/>
  <c r="Z419" i="6" s="1"/>
  <c r="AR417" i="6"/>
  <c r="AR418" i="6" s="1"/>
  <c r="AP627" i="6"/>
  <c r="AP628" i="6" s="1"/>
  <c r="X628" i="6"/>
  <c r="X629" i="6" s="1"/>
  <c r="Z673" i="6"/>
  <c r="Z674" i="6" s="1"/>
  <c r="AR672" i="6"/>
  <c r="AZ672" i="6" s="1"/>
  <c r="AR673" i="6"/>
  <c r="V574" i="6"/>
  <c r="V771" i="6" s="1"/>
  <c r="V770" i="6"/>
  <c r="Y213" i="6"/>
  <c r="Y214" i="6" s="1"/>
  <c r="AQ212" i="6"/>
  <c r="AQ213" i="6"/>
  <c r="AQ17" i="6"/>
  <c r="AG21" i="7"/>
  <c r="AK17" i="9"/>
  <c r="AK19" i="9" s="1"/>
  <c r="AQ18" i="6"/>
  <c r="Y18" i="6"/>
  <c r="Y19" i="6" s="1"/>
  <c r="AP273" i="6"/>
  <c r="X273" i="6"/>
  <c r="AP272" i="6"/>
  <c r="AQ523" i="6"/>
  <c r="Y523" i="6"/>
  <c r="Y524" i="6" s="1"/>
  <c r="AQ522" i="6"/>
  <c r="X727" i="6"/>
  <c r="Y727" i="6" s="1"/>
  <c r="W728" i="6"/>
  <c r="AO727" i="6"/>
  <c r="AO728" i="6" s="1"/>
  <c r="X313" i="6"/>
  <c r="X314" i="6" s="1"/>
  <c r="AP313" i="6"/>
  <c r="AP312" i="6"/>
  <c r="Z312" i="6"/>
  <c r="AH312" i="6" s="1"/>
  <c r="AP212" i="6"/>
  <c r="Z212" i="6"/>
  <c r="AH212" i="6" s="1"/>
  <c r="X213" i="6"/>
  <c r="X214" i="6" s="1"/>
  <c r="AP213" i="6"/>
  <c r="Y272" i="6"/>
  <c r="Z272" i="6" s="1"/>
  <c r="Z267" i="6"/>
  <c r="AH267" i="6" s="1"/>
  <c r="Y268" i="6"/>
  <c r="Y269" i="6" s="1"/>
  <c r="AR523" i="6"/>
  <c r="AR522" i="6"/>
  <c r="Z523" i="6"/>
  <c r="Z524" i="6" s="1"/>
  <c r="X419" i="6"/>
  <c r="W628" i="6"/>
  <c r="AO627" i="6"/>
  <c r="Y627" i="6"/>
  <c r="Z318" i="6"/>
  <c r="Z319" i="6" s="1"/>
  <c r="AR317" i="6"/>
  <c r="AR318" i="6" s="1"/>
  <c r="Y313" i="6"/>
  <c r="Y314" i="6" s="1"/>
  <c r="AQ312" i="6"/>
  <c r="AQ313" i="6"/>
  <c r="AH417" i="6"/>
  <c r="AP167" i="6"/>
  <c r="X168" i="6"/>
  <c r="AR677" i="6"/>
  <c r="Z678" i="6"/>
  <c r="AE93" i="7"/>
  <c r="AE96" i="7" s="1"/>
  <c r="AE23" i="7"/>
  <c r="AE24" i="7"/>
  <c r="AE95" i="7"/>
  <c r="Y473" i="6"/>
  <c r="Y474" i="6" s="1"/>
  <c r="AQ473" i="6"/>
  <c r="AQ472" i="6"/>
  <c r="AD24" i="7"/>
  <c r="AD23" i="7"/>
  <c r="AD95" i="7"/>
  <c r="AD93" i="7"/>
  <c r="AD96" i="7" s="1"/>
  <c r="Y318" i="6"/>
  <c r="Y319" i="6" s="1"/>
  <c r="AQ317" i="6"/>
  <c r="AH317" i="6"/>
  <c r="V729" i="6"/>
  <c r="V773" i="6" s="1"/>
  <c r="V772" i="6"/>
  <c r="V274" i="6"/>
  <c r="V775" i="6" s="1"/>
  <c r="V774" i="6"/>
  <c r="X572" i="6"/>
  <c r="Y572" i="6" s="1"/>
  <c r="AF21" i="7"/>
  <c r="X18" i="6"/>
  <c r="X19" i="6" s="1"/>
  <c r="AJ17" i="9"/>
  <c r="AJ19" i="9" s="1"/>
  <c r="AP17" i="6"/>
  <c r="AP18" i="6"/>
  <c r="Z17" i="6"/>
  <c r="AR622" i="6"/>
  <c r="AZ622" i="6" s="1"/>
  <c r="Z623" i="6"/>
  <c r="AR623" i="6"/>
  <c r="Z579" i="6"/>
  <c r="AZ327" i="6"/>
  <c r="AQ268" i="6"/>
  <c r="AZ127" i="6"/>
  <c r="AP118" i="6"/>
  <c r="Y338" i="6"/>
  <c r="Y339" i="6" s="1"/>
  <c r="AQ337" i="6"/>
  <c r="AQ338" i="6" s="1"/>
  <c r="AR487" i="6"/>
  <c r="AR488" i="6" s="1"/>
  <c r="Z488" i="6"/>
  <c r="Z489" i="6" s="1"/>
  <c r="AH487" i="6"/>
  <c r="AR222" i="6"/>
  <c r="Z223" i="6"/>
  <c r="Z224" i="6" s="1"/>
  <c r="AR223" i="6"/>
  <c r="AH222" i="6"/>
  <c r="AK512" i="6"/>
  <c r="AK513" i="6" s="1"/>
  <c r="S513" i="6"/>
  <c r="S514" i="6" s="1"/>
  <c r="AP747" i="6"/>
  <c r="T558" i="6"/>
  <c r="T559" i="6" s="1"/>
  <c r="AL557" i="6"/>
  <c r="AL558" i="6" s="1"/>
  <c r="AQ382" i="6"/>
  <c r="AQ383" i="6" s="1"/>
  <c r="Y383" i="6"/>
  <c r="Y384" i="6" s="1"/>
  <c r="Z543" i="6"/>
  <c r="Z544" i="6" s="1"/>
  <c r="AR542" i="6"/>
  <c r="AR543" i="6" s="1"/>
  <c r="AH542" i="6"/>
  <c r="AL297" i="6"/>
  <c r="AL298" i="6" s="1"/>
  <c r="T298" i="6"/>
  <c r="T299" i="6" s="1"/>
  <c r="AQ492" i="6"/>
  <c r="AQ493" i="6" s="1"/>
  <c r="Y493" i="6"/>
  <c r="Y494" i="6" s="1"/>
  <c r="S303" i="6"/>
  <c r="S304" i="6" s="1"/>
  <c r="AK302" i="6"/>
  <c r="AK303" i="6" s="1"/>
  <c r="AN392" i="6"/>
  <c r="AN393" i="6" s="1"/>
  <c r="V393" i="6"/>
  <c r="V394" i="6" s="1"/>
  <c r="AN338" i="6"/>
  <c r="S202" i="6"/>
  <c r="T202" i="6" s="1"/>
  <c r="R667" i="6"/>
  <c r="S667" i="6" s="1"/>
  <c r="Q668" i="6"/>
  <c r="AI667" i="6"/>
  <c r="Q158" i="6"/>
  <c r="AI157" i="6"/>
  <c r="R157" i="6"/>
  <c r="S157" i="6" s="1"/>
  <c r="AI567" i="6"/>
  <c r="Q568" i="6"/>
  <c r="R567" i="6"/>
  <c r="S152" i="6"/>
  <c r="T152" i="6" s="1"/>
  <c r="Q514" i="6"/>
  <c r="AL507" i="6"/>
  <c r="AL508" i="6" s="1"/>
  <c r="T508" i="6"/>
  <c r="T509" i="6" s="1"/>
  <c r="AK397" i="6"/>
  <c r="S398" i="6"/>
  <c r="AL603" i="6"/>
  <c r="AQ592" i="6"/>
  <c r="AQ593" i="6" s="1"/>
  <c r="Y593" i="6"/>
  <c r="Y594" i="6" s="1"/>
  <c r="AM748" i="6"/>
  <c r="U289" i="6"/>
  <c r="AQ227" i="6"/>
  <c r="AQ228" i="6" s="1"/>
  <c r="Y228" i="6"/>
  <c r="Y229" i="6" s="1"/>
  <c r="AK443" i="6"/>
  <c r="AO232" i="6"/>
  <c r="AL447" i="6"/>
  <c r="AL448" i="6" s="1"/>
  <c r="T448" i="6"/>
  <c r="T449" i="6" s="1"/>
  <c r="AK657" i="6"/>
  <c r="S658" i="6"/>
  <c r="AQ78" i="6"/>
  <c r="AZ77" i="6"/>
  <c r="AI763" i="6"/>
  <c r="AJ762" i="6"/>
  <c r="AJ763" i="6" s="1"/>
  <c r="T762" i="6"/>
  <c r="U762" i="6" s="1"/>
  <c r="R763" i="6"/>
  <c r="Q304" i="6"/>
  <c r="R353" i="6"/>
  <c r="R354" i="6" s="1"/>
  <c r="T352" i="6"/>
  <c r="U352" i="6" s="1"/>
  <c r="AJ352" i="6"/>
  <c r="AJ353" i="6" s="1"/>
  <c r="AN292" i="6"/>
  <c r="AN293" i="6" s="1"/>
  <c r="V293" i="6"/>
  <c r="V294" i="6" s="1"/>
  <c r="AM498" i="6"/>
  <c r="Z387" i="6"/>
  <c r="AA387" i="6" s="1"/>
  <c r="AP387" i="6"/>
  <c r="AM607" i="6"/>
  <c r="AM608" i="6" s="1"/>
  <c r="U608" i="6"/>
  <c r="U609" i="6" s="1"/>
  <c r="T708" i="6"/>
  <c r="AL707" i="6"/>
  <c r="AL708" i="6" s="1"/>
  <c r="W437" i="6"/>
  <c r="X437" i="6" s="1"/>
  <c r="W392" i="6"/>
  <c r="AO547" i="6"/>
  <c r="U553" i="6"/>
  <c r="U554" i="6" s="1"/>
  <c r="AM552" i="6"/>
  <c r="AM553" i="6" s="1"/>
  <c r="U753" i="6"/>
  <c r="AM752" i="6"/>
  <c r="AM753" i="6" s="1"/>
  <c r="AI403" i="6"/>
  <c r="AJ662" i="6"/>
  <c r="AJ663" i="6" s="1"/>
  <c r="R663" i="6"/>
  <c r="R664" i="6" s="1"/>
  <c r="AI563" i="6"/>
  <c r="S103" i="6"/>
  <c r="S104" i="6" s="1"/>
  <c r="AK102" i="6"/>
  <c r="AK103" i="6" s="1"/>
  <c r="AJ102" i="6"/>
  <c r="AJ103" i="6" s="1"/>
  <c r="T102" i="6"/>
  <c r="R103" i="6"/>
  <c r="R104" i="6" s="1"/>
  <c r="AM238" i="6"/>
  <c r="AO187" i="6"/>
  <c r="V88" i="6"/>
  <c r="V89" i="6" s="1"/>
  <c r="AN87" i="6"/>
  <c r="AN88" i="6" s="1"/>
  <c r="X597" i="6"/>
  <c r="Y597" i="6" s="1"/>
  <c r="V598" i="6"/>
  <c r="V599" i="6" s="1"/>
  <c r="AN597" i="6"/>
  <c r="AN598" i="6" s="1"/>
  <c r="AL143" i="6"/>
  <c r="AL247" i="6"/>
  <c r="T248" i="6"/>
  <c r="T98" i="6"/>
  <c r="T99" i="6" s="1"/>
  <c r="AL97" i="6"/>
  <c r="AL98" i="6" s="1"/>
  <c r="V97" i="6"/>
  <c r="W97" i="6" s="1"/>
  <c r="X434" i="6"/>
  <c r="X232" i="6"/>
  <c r="AN232" i="6"/>
  <c r="AO332" i="6"/>
  <c r="U89" i="6"/>
  <c r="X374" i="6"/>
  <c r="AL347" i="6"/>
  <c r="T348" i="6"/>
  <c r="W702" i="6"/>
  <c r="X702" i="6" s="1"/>
  <c r="AM702" i="6"/>
  <c r="AM703" i="6" s="1"/>
  <c r="U703" i="6"/>
  <c r="U704" i="6" s="1"/>
  <c r="R253" i="6"/>
  <c r="R254" i="6" s="1"/>
  <c r="T252" i="6"/>
  <c r="U252" i="6" s="1"/>
  <c r="AJ252" i="6"/>
  <c r="AJ253" i="6" s="1"/>
  <c r="T712" i="6"/>
  <c r="U712" i="6" s="1"/>
  <c r="R713" i="6"/>
  <c r="R714" i="6" s="1"/>
  <c r="AJ712" i="6"/>
  <c r="AJ713" i="6" s="1"/>
  <c r="AJ612" i="6"/>
  <c r="AJ613" i="6" s="1"/>
  <c r="T612" i="6"/>
  <c r="U612" i="6" s="1"/>
  <c r="R613" i="6"/>
  <c r="R614" i="6" s="1"/>
  <c r="AJ452" i="6"/>
  <c r="AJ453" i="6" s="1"/>
  <c r="R453" i="6"/>
  <c r="R454" i="6" s="1"/>
  <c r="T452" i="6"/>
  <c r="U452" i="6" s="1"/>
  <c r="C310" i="5"/>
  <c r="D310" i="5"/>
  <c r="B310" i="5"/>
  <c r="T397" i="6"/>
  <c r="U707" i="6"/>
  <c r="T94" i="6"/>
  <c r="S759" i="6"/>
  <c r="K79" i="6"/>
  <c r="K86" i="6"/>
  <c r="K88" i="6"/>
  <c r="X739" i="6"/>
  <c r="X332" i="6"/>
  <c r="Y433" i="6"/>
  <c r="Y434" i="6" s="1"/>
  <c r="AQ432" i="6"/>
  <c r="AP692" i="6"/>
  <c r="AP693" i="6" s="1"/>
  <c r="X693" i="6"/>
  <c r="X694" i="6" s="1"/>
  <c r="AP337" i="6"/>
  <c r="Z337" i="6"/>
  <c r="AA337" i="6" s="1"/>
  <c r="Q204" i="6"/>
  <c r="R257" i="6"/>
  <c r="S257" i="6" s="1"/>
  <c r="AI257" i="6"/>
  <c r="Q258" i="6"/>
  <c r="Q358" i="6"/>
  <c r="AI357" i="6"/>
  <c r="R357" i="6"/>
  <c r="AI517" i="6"/>
  <c r="Q518" i="6"/>
  <c r="R517" i="6"/>
  <c r="S517" i="6" s="1"/>
  <c r="AI407" i="6"/>
  <c r="Q408" i="6"/>
  <c r="R407" i="6"/>
  <c r="S407" i="6" s="1"/>
  <c r="AI153" i="6"/>
  <c r="AI513" i="6"/>
  <c r="K198" i="6"/>
  <c r="K205" i="6"/>
  <c r="K207" i="6"/>
  <c r="AQ372" i="6"/>
  <c r="Y388" i="6"/>
  <c r="Y389" i="6" s="1"/>
  <c r="AQ387" i="6"/>
  <c r="AQ388" i="6" s="1"/>
  <c r="U193" i="6"/>
  <c r="U194" i="6" s="1"/>
  <c r="AM192" i="6"/>
  <c r="AM193" i="6" s="1"/>
  <c r="V602" i="6"/>
  <c r="W602" i="6" s="1"/>
  <c r="U749" i="6"/>
  <c r="K156" i="6"/>
  <c r="K147" i="6"/>
  <c r="K154" i="6"/>
  <c r="Y178" i="6"/>
  <c r="Y179" i="6" s="1"/>
  <c r="AQ177" i="6"/>
  <c r="U98" i="6"/>
  <c r="U99" i="6" s="1"/>
  <c r="AM97" i="6"/>
  <c r="AM98" i="6" s="1"/>
  <c r="Y744" i="6"/>
  <c r="Y83" i="6"/>
  <c r="Y84" i="6" s="1"/>
  <c r="AQ82" i="6"/>
  <c r="AQ83" i="6" s="1"/>
  <c r="B317" i="5"/>
  <c r="C317" i="5"/>
  <c r="D317" i="5"/>
  <c r="AM698" i="6"/>
  <c r="AO597" i="6"/>
  <c r="V238" i="6"/>
  <c r="V239" i="6" s="1"/>
  <c r="AN237" i="6"/>
  <c r="AN238" i="6" s="1"/>
  <c r="AN137" i="6"/>
  <c r="AN138" i="6" s="1"/>
  <c r="V138" i="6"/>
  <c r="V139" i="6" s="1"/>
  <c r="AK197" i="6"/>
  <c r="S198" i="6"/>
  <c r="Q764" i="6"/>
  <c r="AI303" i="6"/>
  <c r="Q354" i="6"/>
  <c r="T294" i="6"/>
  <c r="U499" i="6"/>
  <c r="C314" i="5"/>
  <c r="D314" i="5"/>
  <c r="B314" i="5"/>
  <c r="U653" i="6"/>
  <c r="AM652" i="6"/>
  <c r="AM438" i="6"/>
  <c r="AQ282" i="6"/>
  <c r="AQ283" i="6" s="1"/>
  <c r="Y283" i="6"/>
  <c r="Y284" i="6" s="1"/>
  <c r="Y738" i="6"/>
  <c r="AQ737" i="6"/>
  <c r="R759" i="6"/>
  <c r="Y183" i="6"/>
  <c r="Y184" i="6" s="1"/>
  <c r="AQ182" i="6"/>
  <c r="S402" i="6"/>
  <c r="T402" i="6" s="1"/>
  <c r="S662" i="6"/>
  <c r="AJ562" i="6"/>
  <c r="AJ563" i="6" s="1"/>
  <c r="R563" i="6"/>
  <c r="R564" i="6" s="1"/>
  <c r="T562" i="6"/>
  <c r="U562" i="6" s="1"/>
  <c r="AI103" i="6"/>
  <c r="U239" i="6"/>
  <c r="T608" i="6"/>
  <c r="T609" i="6" s="1"/>
  <c r="V607" i="6"/>
  <c r="AL607" i="6"/>
  <c r="T144" i="6"/>
  <c r="W639" i="6"/>
  <c r="U334" i="6"/>
  <c r="W87" i="6"/>
  <c r="X87" i="6" s="1"/>
  <c r="AM648" i="6"/>
  <c r="Q254" i="6"/>
  <c r="Q714" i="6"/>
  <c r="Q614" i="6"/>
  <c r="AI453" i="6"/>
  <c r="T754" i="6"/>
  <c r="V552" i="6"/>
  <c r="T553" i="6"/>
  <c r="T554" i="6" s="1"/>
  <c r="AL552" i="6"/>
  <c r="AL553" i="6" s="1"/>
  <c r="AL342" i="6"/>
  <c r="AL343" i="6" s="1"/>
  <c r="T343" i="6"/>
  <c r="Z282" i="6"/>
  <c r="X187" i="6"/>
  <c r="AK343" i="6"/>
  <c r="V652" i="6"/>
  <c r="W652" i="6" s="1"/>
  <c r="K113" i="6"/>
  <c r="K120" i="6"/>
  <c r="K122" i="6" s="1"/>
  <c r="U757" i="6"/>
  <c r="V757" i="6" s="1"/>
  <c r="X497" i="6"/>
  <c r="Y497" i="6" s="1"/>
  <c r="Z182" i="6"/>
  <c r="AR377" i="6"/>
  <c r="AZ377" i="6" s="1"/>
  <c r="AH377" i="6"/>
  <c r="AQ223" i="6"/>
  <c r="AQ222" i="6"/>
  <c r="Y223" i="6"/>
  <c r="Z743" i="6"/>
  <c r="AR742" i="6"/>
  <c r="AR743" i="6" s="1"/>
  <c r="AL442" i="6"/>
  <c r="AL443" i="6" s="1"/>
  <c r="T443" i="6"/>
  <c r="T444" i="6" s="1"/>
  <c r="AJ202" i="6"/>
  <c r="AJ203" i="6" s="1"/>
  <c r="R203" i="6"/>
  <c r="R204" i="6" s="1"/>
  <c r="AI717" i="6"/>
  <c r="R717" i="6"/>
  <c r="S717" i="6" s="1"/>
  <c r="Q718" i="6"/>
  <c r="Q208" i="6"/>
  <c r="R207" i="6"/>
  <c r="S207" i="6" s="1"/>
  <c r="AI207" i="6"/>
  <c r="R307" i="6"/>
  <c r="Q308" i="6"/>
  <c r="AI307" i="6"/>
  <c r="Q618" i="6"/>
  <c r="AI617" i="6"/>
  <c r="R617" i="6"/>
  <c r="R153" i="6"/>
  <c r="R154" i="6" s="1"/>
  <c r="AJ152" i="6"/>
  <c r="AJ153" i="6" s="1"/>
  <c r="T148" i="6"/>
  <c r="T149" i="6" s="1"/>
  <c r="AL147" i="6"/>
  <c r="AL148" i="6" s="1"/>
  <c r="AP537" i="6"/>
  <c r="AP538" i="6" s="1"/>
  <c r="X538" i="6"/>
  <c r="X539" i="6" s="1"/>
  <c r="AO287" i="6"/>
  <c r="V703" i="6"/>
  <c r="V704" i="6" s="1"/>
  <c r="AN702" i="6"/>
  <c r="AN703" i="6" s="1"/>
  <c r="W179" i="6"/>
  <c r="S298" i="6"/>
  <c r="U297" i="6"/>
  <c r="AK297" i="6"/>
  <c r="U143" i="6"/>
  <c r="U144" i="6" s="1"/>
  <c r="AM142" i="6"/>
  <c r="AM143" i="6" s="1"/>
  <c r="AP492" i="6"/>
  <c r="X493" i="6"/>
  <c r="X494" i="6" s="1"/>
  <c r="Z492" i="6"/>
  <c r="K239" i="6"/>
  <c r="K241" i="6"/>
  <c r="K232" i="6"/>
  <c r="S763" i="6"/>
  <c r="AK762" i="6"/>
  <c r="AK763" i="6" s="1"/>
  <c r="S353" i="6"/>
  <c r="S354" i="6" s="1"/>
  <c r="AK352" i="6"/>
  <c r="AK353" i="6" s="1"/>
  <c r="AL293" i="6"/>
  <c r="AR642" i="6"/>
  <c r="AR643" i="6" s="1"/>
  <c r="Z643" i="6"/>
  <c r="Z644" i="6" s="1"/>
  <c r="Z734" i="6"/>
  <c r="AP277" i="6"/>
  <c r="AP278" i="6" s="1"/>
  <c r="X278" i="6"/>
  <c r="X279" i="6" s="1"/>
  <c r="AM548" i="6"/>
  <c r="W739" i="6"/>
  <c r="T758" i="6"/>
  <c r="AL757" i="6"/>
  <c r="Q404" i="6"/>
  <c r="Q664" i="6"/>
  <c r="Q564" i="6"/>
  <c r="Q104" i="6"/>
  <c r="AK557" i="6"/>
  <c r="U557" i="6"/>
  <c r="S558" i="6"/>
  <c r="V142" i="6"/>
  <c r="AP543" i="6"/>
  <c r="AM502" i="6"/>
  <c r="U503" i="6"/>
  <c r="Z432" i="6"/>
  <c r="V502" i="6"/>
  <c r="V192" i="6"/>
  <c r="AP82" i="6"/>
  <c r="AP83" i="6" s="1"/>
  <c r="X83" i="6"/>
  <c r="X84" i="6" s="1"/>
  <c r="Z82" i="6"/>
  <c r="AO647" i="6"/>
  <c r="AM92" i="6"/>
  <c r="AM93" i="6" s="1"/>
  <c r="U93" i="6"/>
  <c r="U94" i="6" s="1"/>
  <c r="AN697" i="6"/>
  <c r="AN698" i="6" s="1"/>
  <c r="V698" i="6"/>
  <c r="V699" i="6" s="1"/>
  <c r="X697" i="6"/>
  <c r="Y697" i="6" s="1"/>
  <c r="S253" i="6"/>
  <c r="S254" i="6" s="1"/>
  <c r="AK252" i="6"/>
  <c r="AK253" i="6" s="1"/>
  <c r="AI713" i="6"/>
  <c r="AI613" i="6"/>
  <c r="Q454" i="6"/>
  <c r="C300" i="5"/>
  <c r="D300" i="5"/>
  <c r="B300" i="5"/>
  <c r="AL753" i="6"/>
  <c r="AL93" i="6"/>
  <c r="U342" i="6"/>
  <c r="V342" i="6" s="1"/>
  <c r="T657" i="6"/>
  <c r="U347" i="6"/>
  <c r="V347" i="6" s="1"/>
  <c r="Z592" i="6"/>
  <c r="Z177" i="6"/>
  <c r="Z227" i="6"/>
  <c r="X547" i="6"/>
  <c r="U447" i="6"/>
  <c r="V447" i="6" s="1"/>
  <c r="Y543" i="6"/>
  <c r="AQ542" i="6"/>
  <c r="AQ543" i="6" s="1"/>
  <c r="AM602" i="6"/>
  <c r="AM603" i="6" s="1"/>
  <c r="U603" i="6"/>
  <c r="U604" i="6" s="1"/>
  <c r="AQ487" i="6"/>
  <c r="Y488" i="6"/>
  <c r="X638" i="6"/>
  <c r="X639" i="6" s="1"/>
  <c r="AP637" i="6"/>
  <c r="D312" i="5"/>
  <c r="C312" i="5"/>
  <c r="B312" i="5"/>
  <c r="X744" i="6"/>
  <c r="AI203" i="6"/>
  <c r="R767" i="6"/>
  <c r="Q768" i="6"/>
  <c r="AI767" i="6"/>
  <c r="AI107" i="6"/>
  <c r="R107" i="6"/>
  <c r="S107" i="6" s="1"/>
  <c r="Q108" i="6"/>
  <c r="AI457" i="6"/>
  <c r="Q458" i="6"/>
  <c r="R457" i="6"/>
  <c r="Q154" i="6"/>
  <c r="AJ512" i="6"/>
  <c r="AJ513" i="6" s="1"/>
  <c r="T512" i="6"/>
  <c r="U512" i="6" s="1"/>
  <c r="R513" i="6"/>
  <c r="R514" i="6" s="1"/>
  <c r="AO747" i="6"/>
  <c r="Y747" i="6"/>
  <c r="Z747" i="6" s="1"/>
  <c r="T704" i="6"/>
  <c r="U442" i="6"/>
  <c r="Y537" i="6"/>
  <c r="Z537" i="6" s="1"/>
  <c r="AO697" i="6"/>
  <c r="AR427" i="6"/>
  <c r="AR428" i="6" s="1"/>
  <c r="Z428" i="6"/>
  <c r="Z429" i="6" s="1"/>
  <c r="V438" i="6"/>
  <c r="V439" i="6" s="1"/>
  <c r="AN437" i="6"/>
  <c r="AN438" i="6" s="1"/>
  <c r="AJ302" i="6"/>
  <c r="AJ303" i="6" s="1"/>
  <c r="T302" i="6"/>
  <c r="R303" i="6"/>
  <c r="R304" i="6" s="1"/>
  <c r="AI353" i="6"/>
  <c r="AO497" i="6"/>
  <c r="AP643" i="6"/>
  <c r="U439" i="6"/>
  <c r="Y277" i="6"/>
  <c r="K249" i="6"/>
  <c r="K256" i="6"/>
  <c r="K258" i="6"/>
  <c r="W243" i="6"/>
  <c r="W244" i="6" s="1"/>
  <c r="AO242" i="6"/>
  <c r="AO243" i="6" s="1"/>
  <c r="AK553" i="6"/>
  <c r="AN242" i="6"/>
  <c r="V243" i="6"/>
  <c r="X242" i="6"/>
  <c r="AJ402" i="6"/>
  <c r="AJ403" i="6" s="1"/>
  <c r="R403" i="6"/>
  <c r="R404" i="6" s="1"/>
  <c r="AI663" i="6"/>
  <c r="AK562" i="6"/>
  <c r="AK563" i="6" s="1"/>
  <c r="S563" i="6"/>
  <c r="S564" i="6" s="1"/>
  <c r="AK147" i="6"/>
  <c r="AK148" i="6" s="1"/>
  <c r="S148" i="6"/>
  <c r="S149" i="6" s="1"/>
  <c r="U147" i="6"/>
  <c r="W237" i="6"/>
  <c r="Z588" i="6"/>
  <c r="Z589" i="6" s="1"/>
  <c r="AR587" i="6"/>
  <c r="AR588" i="6" s="1"/>
  <c r="AH587" i="6"/>
  <c r="Y637" i="6"/>
  <c r="W137" i="6"/>
  <c r="Y692" i="6"/>
  <c r="Z372" i="6"/>
  <c r="X383" i="6"/>
  <c r="AP382" i="6"/>
  <c r="Z382" i="6"/>
  <c r="U649" i="6"/>
  <c r="T197" i="6"/>
  <c r="AI253" i="6"/>
  <c r="AK712" i="6"/>
  <c r="AK713" i="6" s="1"/>
  <c r="S713" i="6"/>
  <c r="S714" i="6" s="1"/>
  <c r="S613" i="6"/>
  <c r="S614" i="6" s="1"/>
  <c r="AK612" i="6"/>
  <c r="AK613" i="6" s="1"/>
  <c r="S453" i="6"/>
  <c r="S454" i="6" s="1"/>
  <c r="AK452" i="6"/>
  <c r="AK453" i="6" s="1"/>
  <c r="U507" i="6"/>
  <c r="V752" i="6"/>
  <c r="V92" i="6"/>
  <c r="U247" i="6"/>
  <c r="V247" i="6" s="1"/>
  <c r="Z737" i="6"/>
  <c r="W292" i="6"/>
  <c r="V749" i="6"/>
  <c r="X287" i="6"/>
  <c r="Y287" i="6" s="1"/>
  <c r="X647" i="6"/>
  <c r="Y117" i="7" l="1"/>
  <c r="Y113" i="7"/>
  <c r="AB41" i="7"/>
  <c r="BU2" i="6"/>
  <c r="J265" i="6"/>
  <c r="J273" i="6" s="1"/>
  <c r="J20" i="6"/>
  <c r="J18" i="6"/>
  <c r="Z48" i="7"/>
  <c r="Z50" i="7" s="1"/>
  <c r="AZ217" i="6"/>
  <c r="Q47" i="6"/>
  <c r="AC55" i="9" s="1"/>
  <c r="AC57" i="9" s="1"/>
  <c r="K10" i="6"/>
  <c r="K20" i="6" s="1"/>
  <c r="BT3" i="6"/>
  <c r="R42" i="6"/>
  <c r="AD49" i="9" s="1"/>
  <c r="AD51" i="9" s="1"/>
  <c r="I266" i="6"/>
  <c r="Z108" i="7"/>
  <c r="AH218" i="6"/>
  <c r="C86" i="6" s="1"/>
  <c r="C88" i="6" s="1"/>
  <c r="Y51" i="7"/>
  <c r="AK32" i="6"/>
  <c r="AK33" i="6" s="1"/>
  <c r="AQ533" i="6"/>
  <c r="Z43" i="7"/>
  <c r="Z111" i="7"/>
  <c r="Z114" i="7" s="1"/>
  <c r="AE36" i="9"/>
  <c r="AE38" i="9" s="1"/>
  <c r="T33" i="6"/>
  <c r="T34" i="6" s="1"/>
  <c r="T781" i="6" s="1"/>
  <c r="S33" i="6"/>
  <c r="S34" i="6" s="1"/>
  <c r="S781" i="6" s="1"/>
  <c r="AL32" i="6"/>
  <c r="AL33" i="6" s="1"/>
  <c r="AA41" i="7"/>
  <c r="AA111" i="7" s="1"/>
  <c r="U32" i="6"/>
  <c r="V32" i="6" s="1"/>
  <c r="V33" i="6" s="1"/>
  <c r="V34" i="6" s="1"/>
  <c r="V781" i="6" s="1"/>
  <c r="AQ532" i="6"/>
  <c r="AZ532" i="6" s="1"/>
  <c r="R38" i="6"/>
  <c r="R39" i="6" s="1"/>
  <c r="R783" i="6" s="1"/>
  <c r="AJ37" i="6"/>
  <c r="AJ38" i="6" s="1"/>
  <c r="AD43" i="9"/>
  <c r="AD45" i="9" s="1"/>
  <c r="AH532" i="6"/>
  <c r="AR533" i="6"/>
  <c r="Z533" i="6"/>
  <c r="Z534" i="6" s="1"/>
  <c r="Y533" i="6"/>
  <c r="Y534" i="6" s="1"/>
  <c r="AH328" i="6"/>
  <c r="E120" i="6" s="1"/>
  <c r="E122" i="6" s="1"/>
  <c r="AR322" i="6"/>
  <c r="AZ322" i="6" s="1"/>
  <c r="Z323" i="6"/>
  <c r="Z324" i="6" s="1"/>
  <c r="AR323" i="6"/>
  <c r="T136" i="5"/>
  <c r="U136" i="5" s="1"/>
  <c r="AH368" i="6"/>
  <c r="C137" i="6" s="1"/>
  <c r="C139" i="6" s="1"/>
  <c r="Q674" i="6"/>
  <c r="P524" i="6" s="1"/>
  <c r="P525" i="6" s="1"/>
  <c r="P526" i="6" s="1"/>
  <c r="P527" i="6" s="1"/>
  <c r="P528" i="6" s="1"/>
  <c r="P529" i="6" s="1"/>
  <c r="P530" i="6" s="1"/>
  <c r="P531" i="6" s="1"/>
  <c r="P532" i="6" s="1"/>
  <c r="P533" i="6" s="1"/>
  <c r="P534" i="6" s="1"/>
  <c r="P535" i="6" s="1"/>
  <c r="P536" i="6" s="1"/>
  <c r="P537" i="6" s="1"/>
  <c r="P538" i="6" s="1"/>
  <c r="P539" i="6" s="1"/>
  <c r="P540" i="6" s="1"/>
  <c r="P541" i="6" s="1"/>
  <c r="P542" i="6" s="1"/>
  <c r="P543" i="6" s="1"/>
  <c r="P544" i="6" s="1"/>
  <c r="P545" i="6" s="1"/>
  <c r="P546" i="6" s="1"/>
  <c r="P547" i="6" s="1"/>
  <c r="P548" i="6" s="1"/>
  <c r="P549" i="6" s="1"/>
  <c r="P550" i="6" s="1"/>
  <c r="P551" i="6" s="1"/>
  <c r="P552" i="6" s="1"/>
  <c r="P553" i="6" s="1"/>
  <c r="P554" i="6" s="1"/>
  <c r="P555" i="6" s="1"/>
  <c r="P556" i="6" s="1"/>
  <c r="P557" i="6" s="1"/>
  <c r="P558" i="6" s="1"/>
  <c r="AZ68" i="6"/>
  <c r="AH78" i="6"/>
  <c r="E35" i="6" s="1"/>
  <c r="E37" i="6" s="1"/>
  <c r="AZ723" i="6"/>
  <c r="AH623" i="6"/>
  <c r="B222" i="6" s="1"/>
  <c r="B224" i="6" s="1"/>
  <c r="AH743" i="6"/>
  <c r="F256" i="6" s="1"/>
  <c r="F258" i="6" s="1"/>
  <c r="AH578" i="6"/>
  <c r="C205" i="6" s="1"/>
  <c r="C207" i="6" s="1"/>
  <c r="AZ63" i="6"/>
  <c r="AH128" i="6"/>
  <c r="E52" i="6" s="1"/>
  <c r="E54" i="6" s="1"/>
  <c r="Q263" i="6"/>
  <c r="Q264" i="6" s="1"/>
  <c r="S263" i="6"/>
  <c r="S264" i="6" s="1"/>
  <c r="R263" i="6"/>
  <c r="R264" i="6" s="1"/>
  <c r="W543" i="6"/>
  <c r="W544" i="6" s="1"/>
  <c r="V543" i="6"/>
  <c r="V544" i="6" s="1"/>
  <c r="AI623" i="6"/>
  <c r="AJ623" i="6"/>
  <c r="AK623" i="6"/>
  <c r="S318" i="6"/>
  <c r="S319" i="6" s="1"/>
  <c r="T318" i="6"/>
  <c r="T319" i="6" s="1"/>
  <c r="S168" i="6"/>
  <c r="S169" i="6" s="1"/>
  <c r="T168" i="6"/>
  <c r="T169" i="6" s="1"/>
  <c r="AH113" i="6"/>
  <c r="B52" i="6" s="1"/>
  <c r="B54" i="6" s="1"/>
  <c r="AK368" i="6"/>
  <c r="AL368" i="6"/>
  <c r="Q413" i="6"/>
  <c r="Q414" i="6" s="1"/>
  <c r="R413" i="6"/>
  <c r="R414" i="6" s="1"/>
  <c r="S413" i="6"/>
  <c r="S414" i="6" s="1"/>
  <c r="T323" i="6"/>
  <c r="T324" i="6" s="1"/>
  <c r="U323" i="6"/>
  <c r="U324" i="6" s="1"/>
  <c r="U684" i="6"/>
  <c r="S418" i="6"/>
  <c r="S419" i="6" s="1"/>
  <c r="T418" i="6"/>
  <c r="T419" i="6" s="1"/>
  <c r="Q313" i="6"/>
  <c r="Q314" i="6" s="1"/>
  <c r="R313" i="6"/>
  <c r="R314" i="6" s="1"/>
  <c r="S313" i="6"/>
  <c r="S314" i="6" s="1"/>
  <c r="S478" i="6"/>
  <c r="S479" i="6" s="1"/>
  <c r="T478" i="6"/>
  <c r="T479" i="6" s="1"/>
  <c r="AK578" i="6"/>
  <c r="AL578" i="6"/>
  <c r="V588" i="6"/>
  <c r="V589" i="6" s="1"/>
  <c r="U588" i="6"/>
  <c r="U589" i="6" s="1"/>
  <c r="AK218" i="6"/>
  <c r="AL218" i="6"/>
  <c r="Y378" i="6"/>
  <c r="Y379" i="6" s="1"/>
  <c r="U378" i="6"/>
  <c r="U379" i="6" s="1"/>
  <c r="V378" i="6"/>
  <c r="V379" i="6" s="1"/>
  <c r="W62" i="5"/>
  <c r="S268" i="6"/>
  <c r="S269" i="6" s="1"/>
  <c r="T268" i="6"/>
  <c r="T269" i="6" s="1"/>
  <c r="Q213" i="6"/>
  <c r="Q214" i="6" s="1"/>
  <c r="R213" i="6"/>
  <c r="R214" i="6" s="1"/>
  <c r="S213" i="6"/>
  <c r="S214" i="6" s="1"/>
  <c r="AI673" i="6"/>
  <c r="AK673" i="6"/>
  <c r="AJ673" i="6"/>
  <c r="Q473" i="6"/>
  <c r="Q474" i="6" s="1"/>
  <c r="R473" i="6"/>
  <c r="R474" i="6" s="1"/>
  <c r="S473" i="6"/>
  <c r="S474" i="6" s="1"/>
  <c r="T73" i="6"/>
  <c r="T74" i="6" s="1"/>
  <c r="U73" i="6"/>
  <c r="U74" i="6" s="1"/>
  <c r="U223" i="6"/>
  <c r="U224" i="6" s="1"/>
  <c r="T223" i="6"/>
  <c r="T224" i="6" s="1"/>
  <c r="U488" i="6"/>
  <c r="U489" i="6" s="1"/>
  <c r="V488" i="6"/>
  <c r="V489" i="6" s="1"/>
  <c r="T423" i="6"/>
  <c r="T424" i="6" s="1"/>
  <c r="U423" i="6"/>
  <c r="U424" i="6" s="1"/>
  <c r="AI113" i="6"/>
  <c r="AK113" i="6"/>
  <c r="AJ113" i="6"/>
  <c r="T123" i="6"/>
  <c r="T124" i="6" s="1"/>
  <c r="U123" i="6"/>
  <c r="U124" i="6" s="1"/>
  <c r="Q523" i="6"/>
  <c r="Q524" i="6" s="1"/>
  <c r="R523" i="6"/>
  <c r="R524" i="6" s="1"/>
  <c r="S523" i="6"/>
  <c r="S524" i="6" s="1"/>
  <c r="Q363" i="6"/>
  <c r="Q364" i="6" s="1"/>
  <c r="S363" i="6"/>
  <c r="S364" i="6" s="1"/>
  <c r="R363" i="6"/>
  <c r="R364" i="6" s="1"/>
  <c r="T483" i="6"/>
  <c r="U483" i="6"/>
  <c r="U484" i="6" s="1"/>
  <c r="T533" i="6"/>
  <c r="T534" i="6" s="1"/>
  <c r="U533" i="6"/>
  <c r="U534" i="6" s="1"/>
  <c r="R11" i="7"/>
  <c r="J13" i="9" s="1"/>
  <c r="K10" i="3"/>
  <c r="J11" i="3"/>
  <c r="R12" i="7" s="1"/>
  <c r="J14" i="9" s="1"/>
  <c r="AZ72" i="6"/>
  <c r="W51" i="5"/>
  <c r="W55" i="5"/>
  <c r="W49" i="5"/>
  <c r="W64" i="5"/>
  <c r="W60" i="5"/>
  <c r="AH683" i="6"/>
  <c r="D239" i="6" s="1"/>
  <c r="X40" i="5"/>
  <c r="Y40" i="5" s="1"/>
  <c r="Y44" i="5" s="1"/>
  <c r="W42" i="5"/>
  <c r="W46" i="5"/>
  <c r="W47" i="5"/>
  <c r="W54" i="5"/>
  <c r="W52" i="5"/>
  <c r="W66" i="5"/>
  <c r="W61" i="5"/>
  <c r="W48" i="5"/>
  <c r="W53" i="5"/>
  <c r="W50" i="5"/>
  <c r="W63" i="5"/>
  <c r="W44" i="5"/>
  <c r="W65" i="5"/>
  <c r="W59" i="5"/>
  <c r="W43" i="5"/>
  <c r="W45" i="5"/>
  <c r="W56" i="5"/>
  <c r="W57" i="5"/>
  <c r="AH583" i="6"/>
  <c r="D205" i="6" s="1"/>
  <c r="D207" i="6" s="1"/>
  <c r="AZ417" i="6"/>
  <c r="Y163" i="6"/>
  <c r="Y164" i="6" s="1"/>
  <c r="Z363" i="6"/>
  <c r="Z364" i="6" s="1"/>
  <c r="AR363" i="6"/>
  <c r="AR362" i="6"/>
  <c r="AZ362" i="6" s="1"/>
  <c r="AR262" i="6"/>
  <c r="AZ262" i="6" s="1"/>
  <c r="Z263" i="6"/>
  <c r="Z264" i="6" s="1"/>
  <c r="AR263" i="6"/>
  <c r="AQ117" i="6"/>
  <c r="AQ118" i="6" s="1"/>
  <c r="AH117" i="6"/>
  <c r="AR117" i="6"/>
  <c r="AR118" i="6" s="1"/>
  <c r="Y118" i="6"/>
  <c r="Y119" i="6" s="1"/>
  <c r="AH87" i="7"/>
  <c r="AH90" i="7" s="1"/>
  <c r="AH18" i="7"/>
  <c r="AH89" i="7"/>
  <c r="Q225" i="5"/>
  <c r="Y4" i="5"/>
  <c r="Z4" i="5" s="1"/>
  <c r="X27" i="5"/>
  <c r="X14" i="5"/>
  <c r="X25" i="5"/>
  <c r="X23" i="5"/>
  <c r="X19" i="5"/>
  <c r="X17" i="5"/>
  <c r="X26" i="5"/>
  <c r="X32" i="5"/>
  <c r="X34" i="5"/>
  <c r="X11" i="5"/>
  <c r="X15" i="5"/>
  <c r="X10" i="5"/>
  <c r="X30" i="5"/>
  <c r="X12" i="5"/>
  <c r="X29" i="5"/>
  <c r="X22" i="5"/>
  <c r="X13" i="5"/>
  <c r="X24" i="5"/>
  <c r="X31" i="5"/>
  <c r="X33" i="5"/>
  <c r="X21" i="5"/>
  <c r="X16" i="5"/>
  <c r="X20" i="5"/>
  <c r="X28" i="5"/>
  <c r="X18" i="5"/>
  <c r="Q219" i="5"/>
  <c r="AG89" i="7"/>
  <c r="R200" i="5"/>
  <c r="R215" i="5" s="1"/>
  <c r="Q222" i="5"/>
  <c r="W11" i="5"/>
  <c r="W26" i="5"/>
  <c r="W21" i="5"/>
  <c r="W23" i="5"/>
  <c r="W25" i="5"/>
  <c r="W31" i="5"/>
  <c r="W24" i="5"/>
  <c r="W27" i="5"/>
  <c r="W29" i="5"/>
  <c r="W18" i="5"/>
  <c r="W34" i="5"/>
  <c r="W17" i="5"/>
  <c r="W20" i="5"/>
  <c r="W32" i="5"/>
  <c r="W30" i="5"/>
  <c r="W33" i="5"/>
  <c r="W22" i="5"/>
  <c r="W28" i="5"/>
  <c r="W13" i="5"/>
  <c r="W14" i="5"/>
  <c r="W10" i="5"/>
  <c r="W19" i="5"/>
  <c r="W15" i="5"/>
  <c r="W16" i="5"/>
  <c r="W12" i="5"/>
  <c r="Q204" i="5"/>
  <c r="X81" i="5"/>
  <c r="X87" i="5"/>
  <c r="X77" i="5"/>
  <c r="Q226" i="5"/>
  <c r="Q214" i="5"/>
  <c r="Q213" i="5"/>
  <c r="Q223" i="5"/>
  <c r="AG18" i="7"/>
  <c r="Q210" i="5"/>
  <c r="Q203" i="5"/>
  <c r="Q202" i="5"/>
  <c r="Q211" i="5"/>
  <c r="Q205" i="5"/>
  <c r="AG87" i="7"/>
  <c r="AG90" i="7" s="1"/>
  <c r="Q218" i="5"/>
  <c r="Q212" i="5"/>
  <c r="Q217" i="5"/>
  <c r="Q206" i="5"/>
  <c r="Q220" i="5"/>
  <c r="X94" i="5"/>
  <c r="X86" i="5"/>
  <c r="X83" i="5"/>
  <c r="X84" i="5"/>
  <c r="Y413" i="6"/>
  <c r="Y414" i="6" s="1"/>
  <c r="AQ163" i="6"/>
  <c r="X92" i="5"/>
  <c r="X75" i="5"/>
  <c r="Z162" i="6"/>
  <c r="AH162" i="6" s="1"/>
  <c r="Y72" i="5"/>
  <c r="Y93" i="5" s="1"/>
  <c r="X96" i="5"/>
  <c r="X97" i="5"/>
  <c r="X91" i="5"/>
  <c r="AR412" i="6"/>
  <c r="AH633" i="6"/>
  <c r="D222" i="6" s="1"/>
  <c r="D224" i="6" s="1"/>
  <c r="X93" i="5"/>
  <c r="X95" i="5"/>
  <c r="X80" i="5"/>
  <c r="X79" i="5"/>
  <c r="X85" i="5"/>
  <c r="X98" i="5"/>
  <c r="X78" i="5"/>
  <c r="X74" i="5"/>
  <c r="X90" i="5"/>
  <c r="X89" i="5"/>
  <c r="X76" i="5"/>
  <c r="X88" i="5"/>
  <c r="AI15" i="7"/>
  <c r="AI17" i="7" s="1"/>
  <c r="AB13" i="6"/>
  <c r="AB772" i="6" s="1"/>
  <c r="P270" i="5"/>
  <c r="P283" i="5"/>
  <c r="AQ413" i="6"/>
  <c r="Q209" i="5"/>
  <c r="Q224" i="5"/>
  <c r="Q221" i="5"/>
  <c r="Q207" i="5"/>
  <c r="Q216" i="5"/>
  <c r="Q208" i="5"/>
  <c r="AQ412" i="6"/>
  <c r="Z413" i="6"/>
  <c r="Z414" i="6" s="1"/>
  <c r="AC12" i="6"/>
  <c r="AO11" i="9" s="1"/>
  <c r="AO13" i="9" s="1"/>
  <c r="AS12" i="6"/>
  <c r="AS13" i="6" s="1"/>
  <c r="P282" i="5"/>
  <c r="AM11" i="9"/>
  <c r="AM13" i="9" s="1"/>
  <c r="AT12" i="6"/>
  <c r="AT13" i="6" s="1"/>
  <c r="AJ15" i="7"/>
  <c r="AJ87" i="7" s="1"/>
  <c r="AJ90" i="7" s="1"/>
  <c r="AA13" i="6"/>
  <c r="AA772" i="6" s="1"/>
  <c r="P273" i="5"/>
  <c r="AR413" i="6"/>
  <c r="P271" i="5"/>
  <c r="P289" i="5"/>
  <c r="P277" i="5"/>
  <c r="P278" i="5"/>
  <c r="P288" i="5"/>
  <c r="P281" i="5"/>
  <c r="P290" i="5"/>
  <c r="P276" i="5"/>
  <c r="P272" i="5"/>
  <c r="P279" i="5"/>
  <c r="Z378" i="6"/>
  <c r="Z379" i="6" s="1"/>
  <c r="P285" i="5"/>
  <c r="P266" i="5"/>
  <c r="P275" i="5"/>
  <c r="P287" i="5"/>
  <c r="P280" i="5"/>
  <c r="P286" i="5"/>
  <c r="P269" i="5"/>
  <c r="P284" i="5"/>
  <c r="P274" i="5"/>
  <c r="P268" i="5"/>
  <c r="P267" i="5"/>
  <c r="B258" i="6"/>
  <c r="X124" i="6"/>
  <c r="AZ587" i="6"/>
  <c r="AZ427" i="6"/>
  <c r="AH428" i="6"/>
  <c r="E154" i="6" s="1"/>
  <c r="E156" i="6" s="1"/>
  <c r="AZ522" i="6"/>
  <c r="AH673" i="6"/>
  <c r="B239" i="6" s="1"/>
  <c r="AZ472" i="6"/>
  <c r="B37" i="6"/>
  <c r="Z123" i="6"/>
  <c r="Z124" i="6" s="1"/>
  <c r="AR123" i="6"/>
  <c r="AR122" i="6"/>
  <c r="AZ122" i="6" s="1"/>
  <c r="U778" i="6"/>
  <c r="AE33" i="7"/>
  <c r="AO27" i="6"/>
  <c r="AI29" i="9"/>
  <c r="Q257" i="5"/>
  <c r="Q254" i="5"/>
  <c r="Q242" i="5"/>
  <c r="Q246" i="5"/>
  <c r="Q245" i="5"/>
  <c r="Q253" i="5"/>
  <c r="Q250" i="5"/>
  <c r="Q252" i="5"/>
  <c r="Q243" i="5"/>
  <c r="Q244" i="5"/>
  <c r="Q248" i="5"/>
  <c r="Q249" i="5"/>
  <c r="Q247" i="5"/>
  <c r="Q241" i="5"/>
  <c r="Q240" i="5"/>
  <c r="Q234" i="5"/>
  <c r="Q239" i="5"/>
  <c r="Q258" i="5"/>
  <c r="Q251" i="5"/>
  <c r="Q235" i="5"/>
  <c r="Q236" i="5"/>
  <c r="Q238" i="5"/>
  <c r="Q256" i="5"/>
  <c r="Q255" i="5"/>
  <c r="Q237" i="5"/>
  <c r="U37" i="6"/>
  <c r="V37" i="6" s="1"/>
  <c r="AB48" i="7"/>
  <c r="T38" i="6"/>
  <c r="T39" i="6" s="1"/>
  <c r="AL37" i="6"/>
  <c r="AL38" i="6" s="1"/>
  <c r="AF43" i="9"/>
  <c r="AF45" i="9" s="1"/>
  <c r="U168" i="5"/>
  <c r="V168" i="5" s="1"/>
  <c r="Y22" i="6"/>
  <c r="Z22" i="6" s="1"/>
  <c r="AF27" i="7"/>
  <c r="X23" i="6"/>
  <c r="X24" i="6" s="1"/>
  <c r="X777" i="6" s="1"/>
  <c r="AP22" i="6"/>
  <c r="AP23" i="6" s="1"/>
  <c r="AJ23" i="9"/>
  <c r="AJ25" i="9" s="1"/>
  <c r="K18" i="6"/>
  <c r="AD33" i="7"/>
  <c r="AH29" i="9"/>
  <c r="AN27" i="6"/>
  <c r="X27" i="6"/>
  <c r="Z51" i="7"/>
  <c r="AE43" i="9"/>
  <c r="AE45" i="9" s="1"/>
  <c r="AA48" i="7"/>
  <c r="S38" i="6"/>
  <c r="AK37" i="6"/>
  <c r="AK38" i="6" s="1"/>
  <c r="Y120" i="7"/>
  <c r="Y119" i="7"/>
  <c r="C298" i="5"/>
  <c r="B298" i="5"/>
  <c r="D298" i="5"/>
  <c r="U779" i="6"/>
  <c r="W118" i="5"/>
  <c r="W129" i="5"/>
  <c r="W110" i="5"/>
  <c r="W113" i="5"/>
  <c r="W122" i="5"/>
  <c r="W115" i="5"/>
  <c r="W117" i="5"/>
  <c r="W119" i="5"/>
  <c r="W116" i="5"/>
  <c r="W124" i="5"/>
  <c r="W127" i="5"/>
  <c r="W125" i="5"/>
  <c r="W126" i="5"/>
  <c r="W120" i="5"/>
  <c r="W109" i="5"/>
  <c r="W111" i="5"/>
  <c r="W123" i="5"/>
  <c r="W130" i="5"/>
  <c r="W108" i="5"/>
  <c r="W106" i="5"/>
  <c r="W107" i="5"/>
  <c r="W112" i="5"/>
  <c r="W128" i="5"/>
  <c r="W114" i="5"/>
  <c r="W121" i="5"/>
  <c r="W23" i="6"/>
  <c r="AO22" i="6"/>
  <c r="AO23" i="6" s="1"/>
  <c r="AI23" i="9"/>
  <c r="AI25" i="9" s="1"/>
  <c r="AE27" i="7"/>
  <c r="AD99" i="7"/>
  <c r="BU3" i="6"/>
  <c r="J266" i="6"/>
  <c r="AB107" i="7"/>
  <c r="AB108" i="7"/>
  <c r="X104" i="5"/>
  <c r="O302" i="5"/>
  <c r="O313" i="5"/>
  <c r="O307" i="5"/>
  <c r="O308" i="5"/>
  <c r="O311" i="5"/>
  <c r="O318" i="5"/>
  <c r="O315" i="5"/>
  <c r="O316" i="5"/>
  <c r="O320" i="5"/>
  <c r="O317" i="5"/>
  <c r="O304" i="5"/>
  <c r="O303" i="5"/>
  <c r="O319" i="5"/>
  <c r="O312" i="5"/>
  <c r="O309" i="5"/>
  <c r="O306" i="5"/>
  <c r="O298" i="5"/>
  <c r="O314" i="5"/>
  <c r="O299" i="5"/>
  <c r="O301" i="5"/>
  <c r="O321" i="5"/>
  <c r="O300" i="5"/>
  <c r="O310" i="5"/>
  <c r="O305" i="5"/>
  <c r="O322" i="5"/>
  <c r="P296" i="5"/>
  <c r="Q296" i="5" s="1"/>
  <c r="N305" i="5"/>
  <c r="N302" i="5"/>
  <c r="N300" i="5"/>
  <c r="N316" i="5"/>
  <c r="N309" i="5"/>
  <c r="N320" i="5"/>
  <c r="N304" i="5"/>
  <c r="N308" i="5"/>
  <c r="N321" i="5"/>
  <c r="N319" i="5"/>
  <c r="N303" i="5"/>
  <c r="N307" i="5"/>
  <c r="N301" i="5"/>
  <c r="N312" i="5"/>
  <c r="N313" i="5"/>
  <c r="N306" i="5"/>
  <c r="N299" i="5"/>
  <c r="N298" i="5"/>
  <c r="N317" i="5"/>
  <c r="N315" i="5"/>
  <c r="N314" i="5"/>
  <c r="N318" i="5"/>
  <c r="N311" i="5"/>
  <c r="N322" i="5"/>
  <c r="N310" i="5"/>
  <c r="AC38" i="7"/>
  <c r="AC105" i="7"/>
  <c r="AC37" i="7"/>
  <c r="Q44" i="6"/>
  <c r="Q785" i="6" s="1"/>
  <c r="Q784" i="6"/>
  <c r="AN132" i="6"/>
  <c r="W132" i="6"/>
  <c r="Y57" i="7"/>
  <c r="Y123" i="7"/>
  <c r="Y58" i="7"/>
  <c r="P251" i="5"/>
  <c r="P243" i="5"/>
  <c r="P238" i="5"/>
  <c r="P237" i="5"/>
  <c r="P256" i="5"/>
  <c r="P234" i="5"/>
  <c r="P250" i="5"/>
  <c r="P249" i="5"/>
  <c r="P258" i="5"/>
  <c r="P246" i="5"/>
  <c r="P247" i="5"/>
  <c r="P253" i="5"/>
  <c r="P257" i="5"/>
  <c r="P244" i="5"/>
  <c r="P254" i="5"/>
  <c r="P242" i="5"/>
  <c r="P248" i="5"/>
  <c r="P245" i="5"/>
  <c r="P236" i="5"/>
  <c r="P239" i="5"/>
  <c r="P235" i="5"/>
  <c r="P252" i="5"/>
  <c r="P255" i="5"/>
  <c r="P240" i="5"/>
  <c r="P241" i="5"/>
  <c r="R232" i="5"/>
  <c r="AB44" i="7"/>
  <c r="AB111" i="7"/>
  <c r="AB43" i="7"/>
  <c r="O282" i="5"/>
  <c r="O274" i="5"/>
  <c r="O285" i="5"/>
  <c r="O267" i="5"/>
  <c r="O290" i="5"/>
  <c r="O273" i="5"/>
  <c r="O278" i="5"/>
  <c r="O280" i="5"/>
  <c r="O289" i="5"/>
  <c r="O266" i="5"/>
  <c r="O271" i="5"/>
  <c r="Q264" i="5"/>
  <c r="O286" i="5"/>
  <c r="O272" i="5"/>
  <c r="O287" i="5"/>
  <c r="O275" i="5"/>
  <c r="O288" i="5"/>
  <c r="O284" i="5"/>
  <c r="O270" i="5"/>
  <c r="O277" i="5"/>
  <c r="O268" i="5"/>
  <c r="O281" i="5"/>
  <c r="O283" i="5"/>
  <c r="O279" i="5"/>
  <c r="O276" i="5"/>
  <c r="O269" i="5"/>
  <c r="AR477" i="6"/>
  <c r="AR478" i="6" s="1"/>
  <c r="AZ642" i="6"/>
  <c r="AH11" i="7"/>
  <c r="AH80" i="7"/>
  <c r="AH83" i="7" s="1"/>
  <c r="AH10" i="7"/>
  <c r="AH82" i="7"/>
  <c r="Z478" i="6"/>
  <c r="AB8" i="6"/>
  <c r="AT8" i="6"/>
  <c r="AJ8" i="7"/>
  <c r="AT7" i="6"/>
  <c r="AN4" i="9"/>
  <c r="AN6" i="9" s="1"/>
  <c r="X774" i="6"/>
  <c r="AS8" i="6"/>
  <c r="AS7" i="6"/>
  <c r="AA8" i="6"/>
  <c r="AI8" i="7"/>
  <c r="AM4" i="9"/>
  <c r="AM6" i="9" s="1"/>
  <c r="AC7" i="6"/>
  <c r="AD7" i="6" s="1"/>
  <c r="AF23" i="7"/>
  <c r="AF24" i="7"/>
  <c r="AF93" i="7"/>
  <c r="AF96" i="7" s="1"/>
  <c r="AF95" i="7"/>
  <c r="Z679" i="6"/>
  <c r="AH678" i="6"/>
  <c r="C239" i="6" s="1"/>
  <c r="C241" i="6" s="1"/>
  <c r="AP168" i="6"/>
  <c r="AQ727" i="6"/>
  <c r="AQ728" i="6" s="1"/>
  <c r="Y728" i="6"/>
  <c r="Y729" i="6" s="1"/>
  <c r="AR272" i="6"/>
  <c r="AR273" i="6"/>
  <c r="Z273" i="6"/>
  <c r="Z274" i="6" s="1"/>
  <c r="Y573" i="6"/>
  <c r="AQ573" i="6"/>
  <c r="AQ572" i="6"/>
  <c r="X573" i="6"/>
  <c r="AP572" i="6"/>
  <c r="AP573" i="6"/>
  <c r="Z572" i="6"/>
  <c r="AH572" i="6" s="1"/>
  <c r="AR678" i="6"/>
  <c r="AZ677" i="6"/>
  <c r="Z627" i="6"/>
  <c r="AQ627" i="6"/>
  <c r="AQ628" i="6" s="1"/>
  <c r="Y628" i="6"/>
  <c r="Y629" i="6" s="1"/>
  <c r="Z313" i="6"/>
  <c r="Z314" i="6" s="1"/>
  <c r="AR313" i="6"/>
  <c r="AR312" i="6"/>
  <c r="AZ312" i="6" s="1"/>
  <c r="X728" i="6"/>
  <c r="AP727" i="6"/>
  <c r="AP728" i="6" s="1"/>
  <c r="Z727" i="6"/>
  <c r="AH272" i="6"/>
  <c r="AO628" i="6"/>
  <c r="AR267" i="6"/>
  <c r="Z268" i="6"/>
  <c r="X274" i="6"/>
  <c r="W574" i="6"/>
  <c r="W771" i="6" s="1"/>
  <c r="W770" i="6"/>
  <c r="AA17" i="6"/>
  <c r="AR18" i="6"/>
  <c r="AH21" i="7"/>
  <c r="AR17" i="6"/>
  <c r="AL17" i="9"/>
  <c r="AL19" i="9" s="1"/>
  <c r="Z18" i="6"/>
  <c r="Z19" i="6" s="1"/>
  <c r="AQ318" i="6"/>
  <c r="AZ317" i="6"/>
  <c r="X169" i="6"/>
  <c r="W629" i="6"/>
  <c r="AQ273" i="6"/>
  <c r="Y273" i="6"/>
  <c r="Y274" i="6" s="1"/>
  <c r="AQ272" i="6"/>
  <c r="AR212" i="6"/>
  <c r="AZ212" i="6" s="1"/>
  <c r="AR213" i="6"/>
  <c r="Z213" i="6"/>
  <c r="Z214" i="6" s="1"/>
  <c r="W729" i="6"/>
  <c r="W772" i="6"/>
  <c r="AG95" i="7"/>
  <c r="AG93" i="7"/>
  <c r="AG96" i="7" s="1"/>
  <c r="AG24" i="7"/>
  <c r="AG23" i="7"/>
  <c r="Z168" i="6"/>
  <c r="Z169" i="6" s="1"/>
  <c r="AR167" i="6"/>
  <c r="AR168" i="6" s="1"/>
  <c r="Z624" i="6"/>
  <c r="V348" i="6"/>
  <c r="V349" i="6" s="1"/>
  <c r="AN347" i="6"/>
  <c r="AN348" i="6" s="1"/>
  <c r="W653" i="6"/>
  <c r="W654" i="6" s="1"/>
  <c r="AO652" i="6"/>
  <c r="AO653" i="6" s="1"/>
  <c r="AK257" i="6"/>
  <c r="AK258" i="6" s="1"/>
  <c r="S258" i="6"/>
  <c r="S259" i="6" s="1"/>
  <c r="S158" i="6"/>
  <c r="S159" i="6" s="1"/>
  <c r="AK157" i="6"/>
  <c r="AK158" i="6" s="1"/>
  <c r="AK107" i="6"/>
  <c r="AK108" i="6" s="1"/>
  <c r="S108" i="6"/>
  <c r="S109" i="6" s="1"/>
  <c r="AN247" i="6"/>
  <c r="AN248" i="6" s="1"/>
  <c r="V248" i="6"/>
  <c r="V249" i="6" s="1"/>
  <c r="Z538" i="6"/>
  <c r="Z539" i="6" s="1"/>
  <c r="AR537" i="6"/>
  <c r="AR538" i="6" s="1"/>
  <c r="AH537" i="6"/>
  <c r="U513" i="6"/>
  <c r="U514" i="6" s="1"/>
  <c r="AM512" i="6"/>
  <c r="AM513" i="6" s="1"/>
  <c r="V448" i="6"/>
  <c r="V449" i="6" s="1"/>
  <c r="AN447" i="6"/>
  <c r="AN448" i="6" s="1"/>
  <c r="AA338" i="6"/>
  <c r="AA339" i="6" s="1"/>
  <c r="AS337" i="6"/>
  <c r="AS338" i="6" s="1"/>
  <c r="AK667" i="6"/>
  <c r="AK668" i="6" s="1"/>
  <c r="S668" i="6"/>
  <c r="S669" i="6" s="1"/>
  <c r="Y288" i="6"/>
  <c r="Y289" i="6" s="1"/>
  <c r="AQ287" i="6"/>
  <c r="AQ288" i="6" s="1"/>
  <c r="AR747" i="6"/>
  <c r="AR748" i="6" s="1"/>
  <c r="Z748" i="6"/>
  <c r="V343" i="6"/>
  <c r="V344" i="6" s="1"/>
  <c r="AN342" i="6"/>
  <c r="AN343" i="6" s="1"/>
  <c r="AP87" i="6"/>
  <c r="AO292" i="6"/>
  <c r="W293" i="6"/>
  <c r="AP647" i="6"/>
  <c r="V93" i="6"/>
  <c r="V94" i="6" s="1"/>
  <c r="AN92" i="6"/>
  <c r="AP383" i="6"/>
  <c r="U563" i="6"/>
  <c r="U564" i="6" s="1"/>
  <c r="AM562" i="6"/>
  <c r="AM563" i="6" s="1"/>
  <c r="AN243" i="6"/>
  <c r="AP437" i="6"/>
  <c r="AI458" i="6"/>
  <c r="AI108" i="6"/>
  <c r="Q769" i="6"/>
  <c r="AP547" i="6"/>
  <c r="T658" i="6"/>
  <c r="T659" i="6" s="1"/>
  <c r="AL657" i="6"/>
  <c r="AL658" i="6" s="1"/>
  <c r="AP697" i="6"/>
  <c r="Z697" i="6"/>
  <c r="AA697" i="6" s="1"/>
  <c r="AR82" i="6"/>
  <c r="Z83" i="6"/>
  <c r="AZ542" i="6"/>
  <c r="U558" i="6"/>
  <c r="U559" i="6" s="1"/>
  <c r="AM557" i="6"/>
  <c r="AM558" i="6" s="1"/>
  <c r="AL758" i="6"/>
  <c r="W142" i="6"/>
  <c r="X142" i="6" s="1"/>
  <c r="AK298" i="6"/>
  <c r="AP702" i="6"/>
  <c r="Q619" i="6"/>
  <c r="R308" i="6"/>
  <c r="R309" i="6" s="1"/>
  <c r="AJ307" i="6"/>
  <c r="AJ308" i="6" s="1"/>
  <c r="Q209" i="6"/>
  <c r="Q719" i="6"/>
  <c r="AI718" i="6"/>
  <c r="Y224" i="6"/>
  <c r="AM757" i="6"/>
  <c r="AM758" i="6" s="1"/>
  <c r="W757" i="6"/>
  <c r="X757" i="6" s="1"/>
  <c r="U758" i="6"/>
  <c r="AP187" i="6"/>
  <c r="S663" i="6"/>
  <c r="AK662" i="6"/>
  <c r="AH643" i="6"/>
  <c r="F222" i="6" s="1"/>
  <c r="F224" i="6" s="1"/>
  <c r="AQ738" i="6"/>
  <c r="W192" i="6"/>
  <c r="X192" i="6" s="1"/>
  <c r="AS387" i="6"/>
  <c r="AS388" i="6" s="1"/>
  <c r="AA388" i="6"/>
  <c r="AA389" i="6" s="1"/>
  <c r="AK407" i="6"/>
  <c r="AK408" i="6" s="1"/>
  <c r="S408" i="6"/>
  <c r="S409" i="6" s="1"/>
  <c r="T517" i="6"/>
  <c r="U517" i="6" s="1"/>
  <c r="R518" i="6"/>
  <c r="R519" i="6" s="1"/>
  <c r="AJ517" i="6"/>
  <c r="AJ518" i="6" s="1"/>
  <c r="AJ357" i="6"/>
  <c r="AJ358" i="6" s="1"/>
  <c r="R358" i="6"/>
  <c r="R359" i="6" s="1"/>
  <c r="Q259" i="6"/>
  <c r="X333" i="6"/>
  <c r="AP332" i="6"/>
  <c r="AP333" i="6" s="1"/>
  <c r="Y702" i="6"/>
  <c r="AO702" i="6"/>
  <c r="AO703" i="6" s="1"/>
  <c r="W703" i="6"/>
  <c r="T349" i="6"/>
  <c r="AN97" i="6"/>
  <c r="V98" i="6"/>
  <c r="V99" i="6" s="1"/>
  <c r="X97" i="6"/>
  <c r="Y97" i="6" s="1"/>
  <c r="T249" i="6"/>
  <c r="T103" i="6"/>
  <c r="AL102" i="6"/>
  <c r="U754" i="6"/>
  <c r="AO437" i="6"/>
  <c r="Y437" i="6"/>
  <c r="Z437" i="6" s="1"/>
  <c r="U397" i="6"/>
  <c r="V397" i="6" s="1"/>
  <c r="AI568" i="6"/>
  <c r="X392" i="6"/>
  <c r="Y392" i="6" s="1"/>
  <c r="U302" i="6"/>
  <c r="V302" i="6" s="1"/>
  <c r="U508" i="6"/>
  <c r="AM507" i="6"/>
  <c r="T198" i="6"/>
  <c r="T199" i="6" s="1"/>
  <c r="AL197" i="6"/>
  <c r="AL198" i="6" s="1"/>
  <c r="X384" i="6"/>
  <c r="AQ692" i="6"/>
  <c r="Y693" i="6"/>
  <c r="AQ637" i="6"/>
  <c r="AQ638" i="6" s="1"/>
  <c r="Y638" i="6"/>
  <c r="Y639" i="6" s="1"/>
  <c r="AO237" i="6"/>
  <c r="T403" i="6"/>
  <c r="T404" i="6" s="1"/>
  <c r="AL402" i="6"/>
  <c r="AL403" i="6" s="1"/>
  <c r="Y278" i="6"/>
  <c r="Y279" i="6" s="1"/>
  <c r="AQ277" i="6"/>
  <c r="AQ278" i="6" s="1"/>
  <c r="U443" i="6"/>
  <c r="U444" i="6" s="1"/>
  <c r="AM442" i="6"/>
  <c r="AM443" i="6" s="1"/>
  <c r="AL512" i="6"/>
  <c r="AL513" i="6" s="1"/>
  <c r="V512" i="6"/>
  <c r="T513" i="6"/>
  <c r="T514" i="6" s="1"/>
  <c r="AJ457" i="6"/>
  <c r="AJ458" i="6" s="1"/>
  <c r="R458" i="6"/>
  <c r="R459" i="6" s="1"/>
  <c r="Q109" i="6"/>
  <c r="AI768" i="6"/>
  <c r="R768" i="6"/>
  <c r="AJ767" i="6"/>
  <c r="AJ768" i="6" s="1"/>
  <c r="Y489" i="6"/>
  <c r="AR227" i="6"/>
  <c r="Z228" i="6"/>
  <c r="AH227" i="6"/>
  <c r="Z178" i="6"/>
  <c r="AR177" i="6"/>
  <c r="AR178" i="6" s="1"/>
  <c r="AH177" i="6"/>
  <c r="W342" i="6"/>
  <c r="X342" i="6" s="1"/>
  <c r="AM342" i="6"/>
  <c r="AM343" i="6" s="1"/>
  <c r="U343" i="6"/>
  <c r="U344" i="6" s="1"/>
  <c r="Y647" i="6"/>
  <c r="Z647" i="6" s="1"/>
  <c r="AN502" i="6"/>
  <c r="AN503" i="6" s="1"/>
  <c r="V503" i="6"/>
  <c r="V504" i="6" s="1"/>
  <c r="Z433" i="6"/>
  <c r="Z434" i="6" s="1"/>
  <c r="AR432" i="6"/>
  <c r="AR433" i="6" s="1"/>
  <c r="U504" i="6"/>
  <c r="AK558" i="6"/>
  <c r="T759" i="6"/>
  <c r="Z277" i="6"/>
  <c r="U353" i="6"/>
  <c r="U354" i="6" s="1"/>
  <c r="AM352" i="6"/>
  <c r="AM353" i="6" s="1"/>
  <c r="S764" i="6"/>
  <c r="AP493" i="6"/>
  <c r="AM297" i="6"/>
  <c r="AM298" i="6" s="1"/>
  <c r="U298" i="6"/>
  <c r="U299" i="6" s="1"/>
  <c r="AI308" i="6"/>
  <c r="AI208" i="6"/>
  <c r="AR182" i="6"/>
  <c r="AR183" i="6" s="1"/>
  <c r="Z183" i="6"/>
  <c r="AH182" i="6"/>
  <c r="Z283" i="6"/>
  <c r="AR282" i="6"/>
  <c r="AH282" i="6"/>
  <c r="Y87" i="6"/>
  <c r="AO87" i="6"/>
  <c r="AQ183" i="6"/>
  <c r="Y739" i="6"/>
  <c r="S199" i="6"/>
  <c r="X237" i="6"/>
  <c r="Y237" i="6" s="1"/>
  <c r="AJ407" i="6"/>
  <c r="AJ408" i="6" s="1"/>
  <c r="T407" i="6"/>
  <c r="R408" i="6"/>
  <c r="R409" i="6" s="1"/>
  <c r="Q519" i="6"/>
  <c r="AI358" i="6"/>
  <c r="AI258" i="6"/>
  <c r="AH432" i="6"/>
  <c r="AM707" i="6"/>
  <c r="U708" i="6"/>
  <c r="U709" i="6" s="1"/>
  <c r="T453" i="6"/>
  <c r="T454" i="6" s="1"/>
  <c r="AL452" i="6"/>
  <c r="AL453" i="6" s="1"/>
  <c r="V452" i="6"/>
  <c r="W452" i="6" s="1"/>
  <c r="T713" i="6"/>
  <c r="T714" i="6" s="1"/>
  <c r="AL712" i="6"/>
  <c r="AL713" i="6" s="1"/>
  <c r="V712" i="6"/>
  <c r="W712" i="6" s="1"/>
  <c r="AL252" i="6"/>
  <c r="V252" i="6"/>
  <c r="W252" i="6" s="1"/>
  <c r="T253" i="6"/>
  <c r="T254" i="6" s="1"/>
  <c r="AL348" i="6"/>
  <c r="AP232" i="6"/>
  <c r="X233" i="6"/>
  <c r="AL248" i="6"/>
  <c r="U102" i="6"/>
  <c r="T709" i="6"/>
  <c r="AZ742" i="6"/>
  <c r="S659" i="6"/>
  <c r="AK398" i="6"/>
  <c r="AJ567" i="6"/>
  <c r="AJ568" i="6" s="1"/>
  <c r="R568" i="6"/>
  <c r="R569" i="6" s="1"/>
  <c r="T157" i="6"/>
  <c r="R158" i="6"/>
  <c r="R159" i="6" s="1"/>
  <c r="AJ157" i="6"/>
  <c r="AJ158" i="6" s="1"/>
  <c r="AJ667" i="6"/>
  <c r="AJ668" i="6" s="1"/>
  <c r="R668" i="6"/>
  <c r="R669" i="6" s="1"/>
  <c r="T667" i="6"/>
  <c r="V297" i="6"/>
  <c r="V557" i="6"/>
  <c r="AZ222" i="6"/>
  <c r="V753" i="6"/>
  <c r="AN752" i="6"/>
  <c r="AM612" i="6"/>
  <c r="AM613" i="6" s="1"/>
  <c r="U613" i="6"/>
  <c r="U614" i="6" s="1"/>
  <c r="AM712" i="6"/>
  <c r="AM713" i="6" s="1"/>
  <c r="U713" i="6"/>
  <c r="U714" i="6" s="1"/>
  <c r="AR372" i="6"/>
  <c r="AZ372" i="6" s="1"/>
  <c r="AH372" i="6"/>
  <c r="AO137" i="6"/>
  <c r="AP242" i="6"/>
  <c r="AQ497" i="6"/>
  <c r="AQ498" i="6" s="1"/>
  <c r="Y498" i="6"/>
  <c r="Y499" i="6" s="1"/>
  <c r="AL302" i="6"/>
  <c r="AL303" i="6" s="1"/>
  <c r="T303" i="6"/>
  <c r="T304" i="6" s="1"/>
  <c r="AQ697" i="6"/>
  <c r="AQ698" i="6" s="1"/>
  <c r="Y698" i="6"/>
  <c r="Y699" i="6" s="1"/>
  <c r="Y748" i="6"/>
  <c r="AQ747" i="6"/>
  <c r="AQ748" i="6" s="1"/>
  <c r="AA747" i="6"/>
  <c r="AB747" i="6" s="1"/>
  <c r="S457" i="6"/>
  <c r="T457" i="6" s="1"/>
  <c r="S767" i="6"/>
  <c r="Z637" i="6"/>
  <c r="AQ488" i="6"/>
  <c r="AZ487" i="6"/>
  <c r="W603" i="6"/>
  <c r="W604" i="6" s="1"/>
  <c r="AO602" i="6"/>
  <c r="AO603" i="6" s="1"/>
  <c r="Y544" i="6"/>
  <c r="W447" i="6"/>
  <c r="AM447" i="6"/>
  <c r="U448" i="6"/>
  <c r="AR592" i="6"/>
  <c r="Z593" i="6"/>
  <c r="AH592" i="6"/>
  <c r="U253" i="6"/>
  <c r="U254" i="6" s="1"/>
  <c r="AM252" i="6"/>
  <c r="AM253" i="6" s="1"/>
  <c r="W92" i="6"/>
  <c r="W502" i="6"/>
  <c r="AN757" i="6"/>
  <c r="AN758" i="6" s="1"/>
  <c r="V758" i="6"/>
  <c r="S299" i="6"/>
  <c r="V147" i="6"/>
  <c r="W147" i="6" s="1"/>
  <c r="AL152" i="6"/>
  <c r="AL153" i="6" s="1"/>
  <c r="T153" i="6"/>
  <c r="T154" i="6" s="1"/>
  <c r="AJ617" i="6"/>
  <c r="AJ618" i="6" s="1"/>
  <c r="R618" i="6"/>
  <c r="R619" i="6" s="1"/>
  <c r="Q309" i="6"/>
  <c r="S208" i="6"/>
  <c r="S209" i="6" s="1"/>
  <c r="AK207" i="6"/>
  <c r="AK208" i="6" s="1"/>
  <c r="S718" i="6"/>
  <c r="S719" i="6" s="1"/>
  <c r="AK717" i="6"/>
  <c r="AK718" i="6" s="1"/>
  <c r="Z497" i="6"/>
  <c r="AP497" i="6"/>
  <c r="V653" i="6"/>
  <c r="V654" i="6" s="1"/>
  <c r="X652" i="6"/>
  <c r="Y652" i="6" s="1"/>
  <c r="AN652" i="6"/>
  <c r="AN653" i="6" s="1"/>
  <c r="AN552" i="6"/>
  <c r="V553" i="6"/>
  <c r="AL608" i="6"/>
  <c r="AM653" i="6"/>
  <c r="U197" i="6"/>
  <c r="V197" i="6" s="1"/>
  <c r="X137" i="6"/>
  <c r="Y137" i="6" s="1"/>
  <c r="AO97" i="6"/>
  <c r="AO98" i="6" s="1"/>
  <c r="W98" i="6"/>
  <c r="W99" i="6" s="1"/>
  <c r="X602" i="6"/>
  <c r="AN602" i="6"/>
  <c r="AN603" i="6" s="1"/>
  <c r="V603" i="6"/>
  <c r="V604" i="6" s="1"/>
  <c r="Q409" i="6"/>
  <c r="AI518" i="6"/>
  <c r="S357" i="6"/>
  <c r="Z692" i="6"/>
  <c r="AQ433" i="6"/>
  <c r="Y332" i="6"/>
  <c r="Z597" i="6"/>
  <c r="AA597" i="6" s="1"/>
  <c r="AP597" i="6"/>
  <c r="Y187" i="6"/>
  <c r="Z187" i="6" s="1"/>
  <c r="T662" i="6"/>
  <c r="U662" i="6" s="1"/>
  <c r="W752" i="6"/>
  <c r="W552" i="6"/>
  <c r="AR387" i="6"/>
  <c r="Z388" i="6"/>
  <c r="AB387" i="6"/>
  <c r="R764" i="6"/>
  <c r="AK658" i="6"/>
  <c r="AK152" i="6"/>
  <c r="AK153" i="6" s="1"/>
  <c r="U152" i="6"/>
  <c r="S153" i="6"/>
  <c r="Q569" i="6"/>
  <c r="AI158" i="6"/>
  <c r="AI668" i="6"/>
  <c r="S203" i="6"/>
  <c r="S204" i="6" s="1"/>
  <c r="AK202" i="6"/>
  <c r="U202" i="6"/>
  <c r="V202" i="6" s="1"/>
  <c r="AP287" i="6"/>
  <c r="Z287" i="6"/>
  <c r="AA287" i="6" s="1"/>
  <c r="AR737" i="6"/>
  <c r="AR738" i="6" s="1"/>
  <c r="Z738" i="6"/>
  <c r="AH737" i="6"/>
  <c r="W247" i="6"/>
  <c r="X247" i="6" s="1"/>
  <c r="U248" i="6"/>
  <c r="U249" i="6" s="1"/>
  <c r="AM247" i="6"/>
  <c r="AM248" i="6" s="1"/>
  <c r="AM452" i="6"/>
  <c r="AM453" i="6" s="1"/>
  <c r="U453" i="6"/>
  <c r="U454" i="6" s="1"/>
  <c r="Z383" i="6"/>
  <c r="Z384" i="6" s="1"/>
  <c r="AR382" i="6"/>
  <c r="AR383" i="6" s="1"/>
  <c r="AH382" i="6"/>
  <c r="U148" i="6"/>
  <c r="U149" i="6" s="1"/>
  <c r="AM147" i="6"/>
  <c r="AM148" i="6" s="1"/>
  <c r="V244" i="6"/>
  <c r="Y242" i="6"/>
  <c r="Z242" i="6" s="1"/>
  <c r="AQ537" i="6"/>
  <c r="Y538" i="6"/>
  <c r="Q459" i="6"/>
  <c r="R108" i="6"/>
  <c r="R109" i="6" s="1"/>
  <c r="T107" i="6"/>
  <c r="AJ107" i="6"/>
  <c r="AJ108" i="6" s="1"/>
  <c r="AP638" i="6"/>
  <c r="U348" i="6"/>
  <c r="U349" i="6" s="1"/>
  <c r="W347" i="6"/>
  <c r="X347" i="6" s="1"/>
  <c r="AM347" i="6"/>
  <c r="AM348" i="6" s="1"/>
  <c r="AN192" i="6"/>
  <c r="V193" i="6"/>
  <c r="AM503" i="6"/>
  <c r="V143" i="6"/>
  <c r="V144" i="6" s="1"/>
  <c r="AN142" i="6"/>
  <c r="AN143" i="6" s="1"/>
  <c r="S559" i="6"/>
  <c r="U763" i="6"/>
  <c r="AM762" i="6"/>
  <c r="AM763" i="6" s="1"/>
  <c r="AR492" i="6"/>
  <c r="AR493" i="6" s="1"/>
  <c r="Z493" i="6"/>
  <c r="AH492" i="6"/>
  <c r="S617" i="6"/>
  <c r="AI618" i="6"/>
  <c r="S307" i="6"/>
  <c r="T307" i="6" s="1"/>
  <c r="R208" i="6"/>
  <c r="R209" i="6" s="1"/>
  <c r="AJ207" i="6"/>
  <c r="AJ208" i="6" s="1"/>
  <c r="T207" i="6"/>
  <c r="AJ717" i="6"/>
  <c r="AJ718" i="6" s="1"/>
  <c r="T717" i="6"/>
  <c r="U717" i="6" s="1"/>
  <c r="R718" i="6"/>
  <c r="R719" i="6" s="1"/>
  <c r="AL202" i="6"/>
  <c r="AL203" i="6" s="1"/>
  <c r="T203" i="6"/>
  <c r="T204" i="6" s="1"/>
  <c r="V442" i="6"/>
  <c r="Z744" i="6"/>
  <c r="T344" i="6"/>
  <c r="V608" i="6"/>
  <c r="V609" i="6" s="1"/>
  <c r="AN607" i="6"/>
  <c r="AN608" i="6" s="1"/>
  <c r="T563" i="6"/>
  <c r="T564" i="6" s="1"/>
  <c r="AL562" i="6"/>
  <c r="AL563" i="6" s="1"/>
  <c r="V562" i="6"/>
  <c r="AK402" i="6"/>
  <c r="AK403" i="6" s="1"/>
  <c r="U402" i="6"/>
  <c r="S403" i="6"/>
  <c r="S404" i="6" s="1"/>
  <c r="U654" i="6"/>
  <c r="AK198" i="6"/>
  <c r="AQ597" i="6"/>
  <c r="AQ598" i="6" s="1"/>
  <c r="Y598" i="6"/>
  <c r="Y599" i="6" s="1"/>
  <c r="AQ178" i="6"/>
  <c r="AI408" i="6"/>
  <c r="AK517" i="6"/>
  <c r="AK518" i="6" s="1"/>
  <c r="S518" i="6"/>
  <c r="S519" i="6" s="1"/>
  <c r="Q359" i="6"/>
  <c r="AJ257" i="6"/>
  <c r="AJ258" i="6" s="1"/>
  <c r="R258" i="6"/>
  <c r="R259" i="6" s="1"/>
  <c r="T257" i="6"/>
  <c r="Z338" i="6"/>
  <c r="AR337" i="6"/>
  <c r="AR338" i="6" s="1"/>
  <c r="AB337" i="6"/>
  <c r="AC337" i="6" s="1"/>
  <c r="AL397" i="6"/>
  <c r="AL398" i="6" s="1"/>
  <c r="T398" i="6"/>
  <c r="T399" i="6" s="1"/>
  <c r="T613" i="6"/>
  <c r="T614" i="6" s="1"/>
  <c r="AL612" i="6"/>
  <c r="AL613" i="6" s="1"/>
  <c r="V612" i="6"/>
  <c r="Y547" i="6"/>
  <c r="W393" i="6"/>
  <c r="AO392" i="6"/>
  <c r="V707" i="6"/>
  <c r="W607" i="6"/>
  <c r="X607" i="6" s="1"/>
  <c r="X292" i="6"/>
  <c r="T353" i="6"/>
  <c r="T354" i="6" s="1"/>
  <c r="V352" i="6"/>
  <c r="AL352" i="6"/>
  <c r="T763" i="6"/>
  <c r="V762" i="6"/>
  <c r="AL762" i="6"/>
  <c r="AL763" i="6" s="1"/>
  <c r="U657" i="6"/>
  <c r="V657" i="6" s="1"/>
  <c r="Y232" i="6"/>
  <c r="S399" i="6"/>
  <c r="V507" i="6"/>
  <c r="S567" i="6"/>
  <c r="Q159" i="6"/>
  <c r="Q669" i="6"/>
  <c r="AH82" i="6"/>
  <c r="J275" i="6" l="1"/>
  <c r="Z113" i="7"/>
  <c r="X55" i="5"/>
  <c r="AJ42" i="6"/>
  <c r="AJ43" i="6" s="1"/>
  <c r="Q48" i="6"/>
  <c r="Q786" i="6" s="1"/>
  <c r="AA43" i="7"/>
  <c r="Y62" i="7"/>
  <c r="Y65" i="7" s="1"/>
  <c r="AI47" i="6"/>
  <c r="AI48" i="6" s="1"/>
  <c r="R47" i="6"/>
  <c r="AJ47" i="6" s="1"/>
  <c r="AJ48" i="6" s="1"/>
  <c r="BV2" i="6"/>
  <c r="K11" i="6"/>
  <c r="BV3" i="6" s="1"/>
  <c r="Q52" i="6"/>
  <c r="Y69" i="7" s="1"/>
  <c r="K265" i="6"/>
  <c r="K275" i="6" s="1"/>
  <c r="Z117" i="7"/>
  <c r="X44" i="5"/>
  <c r="R782" i="6"/>
  <c r="R43" i="6"/>
  <c r="R44" i="6" s="1"/>
  <c r="R785" i="6" s="1"/>
  <c r="S42" i="6"/>
  <c r="S43" i="6" s="1"/>
  <c r="Y56" i="5"/>
  <c r="Z55" i="7"/>
  <c r="Z58" i="7" s="1"/>
  <c r="AA44" i="7"/>
  <c r="S780" i="6"/>
  <c r="U33" i="6"/>
  <c r="U780" i="6" s="1"/>
  <c r="AH36" i="9"/>
  <c r="AH38" i="9" s="1"/>
  <c r="T780" i="6"/>
  <c r="AG36" i="9"/>
  <c r="AG38" i="9" s="1"/>
  <c r="AN32" i="6"/>
  <c r="AN33" i="6" s="1"/>
  <c r="AC41" i="7"/>
  <c r="AC44" i="7" s="1"/>
  <c r="AD41" i="7"/>
  <c r="AD111" i="7" s="1"/>
  <c r="W32" i="6"/>
  <c r="X32" i="6" s="1"/>
  <c r="AF41" i="7" s="1"/>
  <c r="AM32" i="6"/>
  <c r="AM33" i="6" s="1"/>
  <c r="X51" i="5"/>
  <c r="X50" i="5"/>
  <c r="Y58" i="5"/>
  <c r="Y65" i="5"/>
  <c r="Y62" i="5"/>
  <c r="X45" i="5"/>
  <c r="X64" i="5"/>
  <c r="Y53" i="5"/>
  <c r="Y42" i="5"/>
  <c r="U148" i="5"/>
  <c r="U151" i="5"/>
  <c r="U139" i="5"/>
  <c r="U156" i="5"/>
  <c r="U160" i="5"/>
  <c r="U147" i="5"/>
  <c r="U153" i="5"/>
  <c r="U150" i="5"/>
  <c r="U154" i="5"/>
  <c r="U138" i="5"/>
  <c r="U158" i="5"/>
  <c r="U142" i="5"/>
  <c r="U152" i="5"/>
  <c r="U140" i="5"/>
  <c r="U162" i="5"/>
  <c r="U155" i="5"/>
  <c r="U159" i="5"/>
  <c r="U149" i="5"/>
  <c r="U145" i="5"/>
  <c r="U143" i="5"/>
  <c r="U144" i="5"/>
  <c r="U161" i="5"/>
  <c r="U157" i="5"/>
  <c r="U146" i="5"/>
  <c r="U141" i="5"/>
  <c r="T147" i="5"/>
  <c r="T154" i="5"/>
  <c r="T161" i="5"/>
  <c r="T145" i="5"/>
  <c r="T160" i="5"/>
  <c r="T150" i="5"/>
  <c r="T159" i="5"/>
  <c r="T139" i="5"/>
  <c r="T149" i="5"/>
  <c r="T151" i="5"/>
  <c r="T156" i="5"/>
  <c r="T138" i="5"/>
  <c r="T140" i="5"/>
  <c r="T142" i="5"/>
  <c r="T155" i="5"/>
  <c r="T152" i="5"/>
  <c r="T141" i="5"/>
  <c r="T143" i="5"/>
  <c r="T158" i="5"/>
  <c r="T146" i="5"/>
  <c r="T153" i="5"/>
  <c r="T157" i="5"/>
  <c r="T144" i="5"/>
  <c r="T162" i="5"/>
  <c r="T148" i="5"/>
  <c r="V136" i="5"/>
  <c r="AH488" i="6"/>
  <c r="E171" i="6" s="1"/>
  <c r="E173" i="6" s="1"/>
  <c r="AZ218" i="6"/>
  <c r="AH318" i="6"/>
  <c r="C120" i="6" s="1"/>
  <c r="C122" i="6" s="1"/>
  <c r="AH423" i="6"/>
  <c r="D154" i="6" s="1"/>
  <c r="D156" i="6" s="1"/>
  <c r="AH223" i="6"/>
  <c r="D86" i="6" s="1"/>
  <c r="D88" i="6" s="1"/>
  <c r="AZ623" i="6"/>
  <c r="AH418" i="6"/>
  <c r="C154" i="6" s="1"/>
  <c r="C156" i="6" s="1"/>
  <c r="AH73" i="6"/>
  <c r="D35" i="6" s="1"/>
  <c r="D37" i="6" s="1"/>
  <c r="AH323" i="6"/>
  <c r="D120" i="6" s="1"/>
  <c r="D122" i="6" s="1"/>
  <c r="AH478" i="6"/>
  <c r="C171" i="6" s="1"/>
  <c r="C173" i="6" s="1"/>
  <c r="AZ673" i="6"/>
  <c r="AZ368" i="6"/>
  <c r="AZ578" i="6"/>
  <c r="AH588" i="6"/>
  <c r="E205" i="6" s="1"/>
  <c r="E207" i="6" s="1"/>
  <c r="AH363" i="6"/>
  <c r="B137" i="6" s="1"/>
  <c r="B139" i="6" s="1"/>
  <c r="AZ113" i="6"/>
  <c r="AH523" i="6"/>
  <c r="B188" i="6" s="1"/>
  <c r="B190" i="6" s="1"/>
  <c r="V593" i="6"/>
  <c r="V594" i="6" s="1"/>
  <c r="W593" i="6"/>
  <c r="W594" i="6" s="1"/>
  <c r="Y373" i="6"/>
  <c r="Y374" i="6" s="1"/>
  <c r="Y775" i="6" s="1"/>
  <c r="U373" i="6"/>
  <c r="T373" i="6"/>
  <c r="T374" i="6" s="1"/>
  <c r="V493" i="6"/>
  <c r="V494" i="6" s="1"/>
  <c r="W493" i="6"/>
  <c r="W494" i="6" s="1"/>
  <c r="X48" i="5"/>
  <c r="X52" i="5"/>
  <c r="X53" i="5"/>
  <c r="X42" i="5"/>
  <c r="X47" i="5"/>
  <c r="X62" i="5"/>
  <c r="AO743" i="6"/>
  <c r="AN743" i="6"/>
  <c r="Y43" i="5"/>
  <c r="Y48" i="5"/>
  <c r="Y61" i="5"/>
  <c r="Y47" i="5"/>
  <c r="Y51" i="5"/>
  <c r="Y59" i="5"/>
  <c r="U538" i="6"/>
  <c r="U539" i="6" s="1"/>
  <c r="V538" i="6"/>
  <c r="V539" i="6" s="1"/>
  <c r="T273" i="6"/>
  <c r="T274" i="6" s="1"/>
  <c r="U273" i="6"/>
  <c r="U274" i="6" s="1"/>
  <c r="AI313" i="6"/>
  <c r="AJ313" i="6"/>
  <c r="AK313" i="6"/>
  <c r="Q573" i="6"/>
  <c r="Q574" i="6" s="1"/>
  <c r="R573" i="6"/>
  <c r="S573" i="6"/>
  <c r="AI523" i="6"/>
  <c r="AK523" i="6"/>
  <c r="AJ523" i="6"/>
  <c r="Q163" i="6"/>
  <c r="Q164" i="6" s="1"/>
  <c r="R163" i="6"/>
  <c r="R164" i="6" s="1"/>
  <c r="S163" i="6"/>
  <c r="S164" i="6" s="1"/>
  <c r="S118" i="6"/>
  <c r="S119" i="6" s="1"/>
  <c r="T118" i="6"/>
  <c r="T119" i="6" s="1"/>
  <c r="AI263" i="6"/>
  <c r="AJ263" i="6"/>
  <c r="AK263" i="6"/>
  <c r="AH533" i="6"/>
  <c r="D188" i="6" s="1"/>
  <c r="D190" i="6" s="1"/>
  <c r="V283" i="6"/>
  <c r="V284" i="6" s="1"/>
  <c r="W283" i="6"/>
  <c r="W284" i="6" s="1"/>
  <c r="AI213" i="6"/>
  <c r="AJ213" i="6"/>
  <c r="AK213" i="6"/>
  <c r="V83" i="6"/>
  <c r="V84" i="6" s="1"/>
  <c r="W83" i="6"/>
  <c r="W84" i="6" s="1"/>
  <c r="V383" i="6"/>
  <c r="V384" i="6" s="1"/>
  <c r="W383" i="6"/>
  <c r="W384" i="6" s="1"/>
  <c r="U738" i="6"/>
  <c r="V738" i="6"/>
  <c r="Z40" i="5"/>
  <c r="Z54" i="5" s="1"/>
  <c r="X43" i="5"/>
  <c r="X65" i="5"/>
  <c r="X60" i="5"/>
  <c r="X57" i="5"/>
  <c r="X59" i="5"/>
  <c r="X66" i="5"/>
  <c r="AH543" i="6"/>
  <c r="F188" i="6" s="1"/>
  <c r="F190" i="6" s="1"/>
  <c r="W433" i="6"/>
  <c r="W434" i="6" s="1"/>
  <c r="V433" i="6"/>
  <c r="V434" i="6" s="1"/>
  <c r="U228" i="6"/>
  <c r="U229" i="6" s="1"/>
  <c r="V228" i="6"/>
  <c r="V229" i="6" s="1"/>
  <c r="AO543" i="6"/>
  <c r="AN543" i="6"/>
  <c r="Y64" i="5"/>
  <c r="Y52" i="5"/>
  <c r="Y45" i="5"/>
  <c r="Y55" i="5"/>
  <c r="Y63" i="5"/>
  <c r="Y50" i="5"/>
  <c r="Y54" i="5"/>
  <c r="AK318" i="6"/>
  <c r="AL318" i="6"/>
  <c r="AN643" i="6"/>
  <c r="AO643" i="6"/>
  <c r="AI473" i="6"/>
  <c r="AK473" i="6"/>
  <c r="AJ473" i="6"/>
  <c r="AI363" i="6"/>
  <c r="AJ363" i="6"/>
  <c r="AK363" i="6"/>
  <c r="X63" i="5"/>
  <c r="X54" i="5"/>
  <c r="X56" i="5"/>
  <c r="X49" i="5"/>
  <c r="X61" i="5"/>
  <c r="X58" i="5"/>
  <c r="X46" i="5"/>
  <c r="V183" i="6"/>
  <c r="V184" i="6" s="1"/>
  <c r="W183" i="6"/>
  <c r="W184" i="6" s="1"/>
  <c r="U178" i="6"/>
  <c r="U179" i="6" s="1"/>
  <c r="V178" i="6"/>
  <c r="V179" i="6" s="1"/>
  <c r="Y66" i="5"/>
  <c r="Y49" i="5"/>
  <c r="Y46" i="5"/>
  <c r="Y60" i="5"/>
  <c r="Y57" i="5"/>
  <c r="AK678" i="6"/>
  <c r="AL678" i="6"/>
  <c r="AH473" i="6"/>
  <c r="B171" i="6" s="1"/>
  <c r="B173" i="6" s="1"/>
  <c r="AK418" i="6"/>
  <c r="AL418" i="6"/>
  <c r="T484" i="6"/>
  <c r="AH483" i="6"/>
  <c r="D171" i="6" s="1"/>
  <c r="D173" i="6" s="1"/>
  <c r="D241" i="6"/>
  <c r="K11" i="3"/>
  <c r="T12" i="7" s="1"/>
  <c r="K14" i="9" s="1"/>
  <c r="T11" i="7"/>
  <c r="K13" i="9" s="1"/>
  <c r="J17" i="9"/>
  <c r="J18" i="9"/>
  <c r="J15" i="9"/>
  <c r="J21" i="9"/>
  <c r="J20" i="9"/>
  <c r="J19" i="9"/>
  <c r="J22" i="9"/>
  <c r="J23" i="9"/>
  <c r="AH263" i="6"/>
  <c r="B103" i="6" s="1"/>
  <c r="B105" i="6" s="1"/>
  <c r="R208" i="5"/>
  <c r="Y83" i="5"/>
  <c r="R206" i="5"/>
  <c r="R207" i="5"/>
  <c r="R202" i="5"/>
  <c r="AU12" i="6"/>
  <c r="AU13" i="6" s="1"/>
  <c r="Z72" i="5"/>
  <c r="Z75" i="5" s="1"/>
  <c r="Y97" i="5"/>
  <c r="R213" i="5"/>
  <c r="R217" i="5"/>
  <c r="Y77" i="5"/>
  <c r="X775" i="6"/>
  <c r="R214" i="5"/>
  <c r="Y98" i="5"/>
  <c r="Y74" i="5"/>
  <c r="Y81" i="5"/>
  <c r="Y86" i="5"/>
  <c r="Y91" i="5"/>
  <c r="AZ117" i="6"/>
  <c r="R212" i="5"/>
  <c r="R220" i="5"/>
  <c r="R222" i="5"/>
  <c r="Y84" i="5"/>
  <c r="Y79" i="5"/>
  <c r="Y88" i="5"/>
  <c r="Y89" i="5"/>
  <c r="R226" i="5"/>
  <c r="R223" i="5"/>
  <c r="R221" i="5"/>
  <c r="AI18" i="7"/>
  <c r="AB14" i="6"/>
  <c r="AB773" i="6" s="1"/>
  <c r="Y95" i="5"/>
  <c r="Y90" i="5"/>
  <c r="Y80" i="5"/>
  <c r="Y92" i="5"/>
  <c r="Y82" i="5"/>
  <c r="Y94" i="5"/>
  <c r="Y78" i="5"/>
  <c r="R211" i="5"/>
  <c r="R219" i="5"/>
  <c r="R205" i="5"/>
  <c r="R216" i="5"/>
  <c r="R225" i="5"/>
  <c r="R203" i="5"/>
  <c r="S200" i="5"/>
  <c r="T200" i="5" s="1"/>
  <c r="Y87" i="5"/>
  <c r="Y76" i="5"/>
  <c r="Y85" i="5"/>
  <c r="Y96" i="5"/>
  <c r="Y75" i="5"/>
  <c r="R209" i="5"/>
  <c r="R224" i="5"/>
  <c r="R204" i="5"/>
  <c r="R218" i="5"/>
  <c r="R210" i="5"/>
  <c r="AZ412" i="6"/>
  <c r="AA4" i="5"/>
  <c r="AB4" i="5" s="1"/>
  <c r="Z19" i="5"/>
  <c r="Z22" i="5"/>
  <c r="Z31" i="5"/>
  <c r="Z26" i="5"/>
  <c r="Z20" i="5"/>
  <c r="Z28" i="5"/>
  <c r="Z18" i="5"/>
  <c r="Z21" i="5"/>
  <c r="Z29" i="5"/>
  <c r="Z32" i="5"/>
  <c r="Z25" i="5"/>
  <c r="Z14" i="5"/>
  <c r="Z16" i="5"/>
  <c r="Z30" i="5"/>
  <c r="Z27" i="5"/>
  <c r="Z23" i="5"/>
  <c r="Z34" i="5"/>
  <c r="Z15" i="5"/>
  <c r="Z11" i="5"/>
  <c r="Z24" i="5"/>
  <c r="Z33" i="5"/>
  <c r="Z17" i="5"/>
  <c r="Z12" i="5"/>
  <c r="Z10" i="5"/>
  <c r="Z13" i="5"/>
  <c r="Y11" i="5"/>
  <c r="Y33" i="5"/>
  <c r="Y12" i="5"/>
  <c r="Y32" i="5"/>
  <c r="Y28" i="5"/>
  <c r="Y21" i="5"/>
  <c r="Y34" i="5"/>
  <c r="Y13" i="5"/>
  <c r="Y22" i="5"/>
  <c r="Y17" i="5"/>
  <c r="Y30" i="5"/>
  <c r="Y18" i="5"/>
  <c r="Y19" i="5"/>
  <c r="Y31" i="5"/>
  <c r="Y25" i="5"/>
  <c r="Y27" i="5"/>
  <c r="Y10" i="5"/>
  <c r="Y20" i="5"/>
  <c r="Y14" i="5"/>
  <c r="Y15" i="5"/>
  <c r="Y24" i="5"/>
  <c r="Y29" i="5"/>
  <c r="Y23" i="5"/>
  <c r="Y16" i="5"/>
  <c r="Y26" i="5"/>
  <c r="AH413" i="6"/>
  <c r="B154" i="6" s="1"/>
  <c r="Z163" i="6"/>
  <c r="Z164" i="6" s="1"/>
  <c r="AR162" i="6"/>
  <c r="AZ162" i="6" s="1"/>
  <c r="AI89" i="7"/>
  <c r="AI87" i="7"/>
  <c r="AI90" i="7" s="1"/>
  <c r="AR163" i="6"/>
  <c r="AJ89" i="7"/>
  <c r="AJ18" i="7"/>
  <c r="X776" i="6"/>
  <c r="AJ17" i="7"/>
  <c r="AD12" i="6"/>
  <c r="AP11" i="9" s="1"/>
  <c r="AP13" i="9" s="1"/>
  <c r="AC13" i="6"/>
  <c r="AC14" i="6" s="1"/>
  <c r="AC773" i="6" s="1"/>
  <c r="AK15" i="7"/>
  <c r="AK87" i="7" s="1"/>
  <c r="AK90" i="7" s="1"/>
  <c r="AA14" i="6"/>
  <c r="AA773" i="6" s="1"/>
  <c r="AH378" i="6"/>
  <c r="E137" i="6" s="1"/>
  <c r="E139" i="6" s="1"/>
  <c r="T782" i="6"/>
  <c r="Z373" i="6"/>
  <c r="Z774" i="6" s="1"/>
  <c r="AH123" i="6"/>
  <c r="D52" i="6" s="1"/>
  <c r="D54" i="6" s="1"/>
  <c r="AZ737" i="6"/>
  <c r="AZ477" i="6"/>
  <c r="V780" i="6"/>
  <c r="AH313" i="6"/>
  <c r="B120" i="6" s="1"/>
  <c r="AH213" i="6"/>
  <c r="B86" i="6" s="1"/>
  <c r="B241" i="6"/>
  <c r="T783" i="6"/>
  <c r="R296" i="5"/>
  <c r="S296" i="5" s="1"/>
  <c r="Q304" i="5"/>
  <c r="Q317" i="5"/>
  <c r="Q306" i="5"/>
  <c r="Q311" i="5"/>
  <c r="Q301" i="5"/>
  <c r="Q321" i="5"/>
  <c r="Q302" i="5"/>
  <c r="Q314" i="5"/>
  <c r="Q322" i="5"/>
  <c r="Q310" i="5"/>
  <c r="Q299" i="5"/>
  <c r="Q320" i="5"/>
  <c r="Q303" i="5"/>
  <c r="Q307" i="5"/>
  <c r="Q315" i="5"/>
  <c r="Q319" i="5"/>
  <c r="Q298" i="5"/>
  <c r="Q309" i="5"/>
  <c r="Q300" i="5"/>
  <c r="Q313" i="5"/>
  <c r="Q318" i="5"/>
  <c r="Q308" i="5"/>
  <c r="Q316" i="5"/>
  <c r="Q312" i="5"/>
  <c r="Q305" i="5"/>
  <c r="AJ29" i="9"/>
  <c r="AJ31" i="9" s="1"/>
  <c r="X28" i="6"/>
  <c r="X29" i="6" s="1"/>
  <c r="AF33" i="7"/>
  <c r="Y27" i="6"/>
  <c r="Z27" i="6" s="1"/>
  <c r="AP27" i="6"/>
  <c r="AP28" i="6" s="1"/>
  <c r="AD105" i="7"/>
  <c r="Q49" i="6"/>
  <c r="Q787" i="6" s="1"/>
  <c r="AL23" i="9"/>
  <c r="AL25" i="9" s="1"/>
  <c r="AH27" i="7"/>
  <c r="Z23" i="6"/>
  <c r="Z24" i="6" s="1"/>
  <c r="AR22" i="6"/>
  <c r="AR23" i="6" s="1"/>
  <c r="AF99" i="7"/>
  <c r="AF102" i="7" s="1"/>
  <c r="AF30" i="7"/>
  <c r="AF29" i="7"/>
  <c r="AF101" i="7"/>
  <c r="W37" i="6"/>
  <c r="X37" i="6" s="1"/>
  <c r="AH43" i="9"/>
  <c r="AH45" i="9" s="1"/>
  <c r="AN37" i="6"/>
  <c r="AN38" i="6" s="1"/>
  <c r="V38" i="6"/>
  <c r="V39" i="6" s="1"/>
  <c r="AD48" i="7"/>
  <c r="AB51" i="7"/>
  <c r="AB50" i="7"/>
  <c r="AB117" i="7"/>
  <c r="AK42" i="6"/>
  <c r="AK43" i="6" s="1"/>
  <c r="AC108" i="7"/>
  <c r="AC107" i="7"/>
  <c r="AE101" i="7"/>
  <c r="AE99" i="7"/>
  <c r="AE102" i="7" s="1"/>
  <c r="AE29" i="7"/>
  <c r="AE30" i="7"/>
  <c r="AK23" i="9"/>
  <c r="AK25" i="9" s="1"/>
  <c r="Y23" i="6"/>
  <c r="Y24" i="6" s="1"/>
  <c r="AG27" i="7"/>
  <c r="AQ22" i="6"/>
  <c r="AQ23" i="6" s="1"/>
  <c r="AA22" i="6"/>
  <c r="AC48" i="7"/>
  <c r="AM37" i="6"/>
  <c r="AM38" i="6" s="1"/>
  <c r="AG43" i="9"/>
  <c r="AG45" i="9" s="1"/>
  <c r="U38" i="6"/>
  <c r="U39" i="6" s="1"/>
  <c r="U783" i="6" s="1"/>
  <c r="AB113" i="7"/>
  <c r="AB114" i="7"/>
  <c r="Q274" i="5"/>
  <c r="Q269" i="5"/>
  <c r="Q277" i="5"/>
  <c r="Q266" i="5"/>
  <c r="Q286" i="5"/>
  <c r="Q281" i="5"/>
  <c r="Q271" i="5"/>
  <c r="Q276" i="5"/>
  <c r="Q279" i="5"/>
  <c r="Q282" i="5"/>
  <c r="R264" i="5"/>
  <c r="Q285" i="5"/>
  <c r="Q267" i="5"/>
  <c r="Q290" i="5"/>
  <c r="Q280" i="5"/>
  <c r="Q288" i="5"/>
  <c r="Q283" i="5"/>
  <c r="Q278" i="5"/>
  <c r="Q275" i="5"/>
  <c r="Q287" i="5"/>
  <c r="Q268" i="5"/>
  <c r="Q273" i="5"/>
  <c r="Q272" i="5"/>
  <c r="Q270" i="5"/>
  <c r="Q289" i="5"/>
  <c r="Q284" i="5"/>
  <c r="R249" i="5"/>
  <c r="R245" i="5"/>
  <c r="R256" i="5"/>
  <c r="R252" i="5"/>
  <c r="R238" i="5"/>
  <c r="R248" i="5"/>
  <c r="R246" i="5"/>
  <c r="R247" i="5"/>
  <c r="R258" i="5"/>
  <c r="R241" i="5"/>
  <c r="R257" i="5"/>
  <c r="R239" i="5"/>
  <c r="R236" i="5"/>
  <c r="R251" i="5"/>
  <c r="R235" i="5"/>
  <c r="R250" i="5"/>
  <c r="R253" i="5"/>
  <c r="R244" i="5"/>
  <c r="R255" i="5"/>
  <c r="R237" i="5"/>
  <c r="R240" i="5"/>
  <c r="R254" i="5"/>
  <c r="R243" i="5"/>
  <c r="R242" i="5"/>
  <c r="R234" i="5"/>
  <c r="S232" i="5"/>
  <c r="S39" i="6"/>
  <c r="S783" i="6" s="1"/>
  <c r="S782" i="6"/>
  <c r="U172" i="5"/>
  <c r="U192" i="5"/>
  <c r="U175" i="5"/>
  <c r="U181" i="5"/>
  <c r="U184" i="5"/>
  <c r="U186" i="5"/>
  <c r="U185" i="5"/>
  <c r="U193" i="5"/>
  <c r="U187" i="5"/>
  <c r="U178" i="5"/>
  <c r="U174" i="5"/>
  <c r="U189" i="5"/>
  <c r="U173" i="5"/>
  <c r="U177" i="5"/>
  <c r="U188" i="5"/>
  <c r="U190" i="5"/>
  <c r="U191" i="5"/>
  <c r="U194" i="5"/>
  <c r="U176" i="5"/>
  <c r="U183" i="5"/>
  <c r="U179" i="5"/>
  <c r="U182" i="5"/>
  <c r="U170" i="5"/>
  <c r="U171" i="5"/>
  <c r="U180" i="5"/>
  <c r="W168" i="5"/>
  <c r="AE105" i="7"/>
  <c r="V192" i="5"/>
  <c r="V189" i="5"/>
  <c r="V181" i="5"/>
  <c r="V182" i="5"/>
  <c r="V172" i="5"/>
  <c r="V184" i="5"/>
  <c r="V170" i="5"/>
  <c r="V180" i="5"/>
  <c r="V185" i="5"/>
  <c r="V171" i="5"/>
  <c r="V188" i="5"/>
  <c r="V191" i="5"/>
  <c r="V174" i="5"/>
  <c r="V186" i="5"/>
  <c r="V177" i="5"/>
  <c r="V194" i="5"/>
  <c r="V187" i="5"/>
  <c r="V178" i="5"/>
  <c r="V193" i="5"/>
  <c r="V183" i="5"/>
  <c r="V190" i="5"/>
  <c r="V176" i="5"/>
  <c r="V173" i="5"/>
  <c r="V179" i="5"/>
  <c r="V175" i="5"/>
  <c r="P311" i="5"/>
  <c r="P320" i="5"/>
  <c r="P309" i="5"/>
  <c r="P303" i="5"/>
  <c r="P302" i="5"/>
  <c r="P317" i="5"/>
  <c r="P298" i="5"/>
  <c r="P318" i="5"/>
  <c r="P313" i="5"/>
  <c r="P305" i="5"/>
  <c r="P319" i="5"/>
  <c r="P315" i="5"/>
  <c r="P306" i="5"/>
  <c r="P300" i="5"/>
  <c r="P312" i="5"/>
  <c r="P304" i="5"/>
  <c r="P322" i="5"/>
  <c r="P316" i="5"/>
  <c r="P321" i="5"/>
  <c r="P308" i="5"/>
  <c r="P314" i="5"/>
  <c r="P307" i="5"/>
  <c r="P301" i="5"/>
  <c r="P310" i="5"/>
  <c r="P299" i="5"/>
  <c r="W24" i="6"/>
  <c r="W777" i="6" s="1"/>
  <c r="W776" i="6"/>
  <c r="Y126" i="7"/>
  <c r="Y125" i="7"/>
  <c r="X132" i="6"/>
  <c r="AO132" i="6"/>
  <c r="Y104" i="5"/>
  <c r="Z104" i="5" s="1"/>
  <c r="X119" i="5"/>
  <c r="X115" i="5"/>
  <c r="X106" i="5"/>
  <c r="X118" i="5"/>
  <c r="X111" i="5"/>
  <c r="X108" i="5"/>
  <c r="X130" i="5"/>
  <c r="X113" i="5"/>
  <c r="X128" i="5"/>
  <c r="X123" i="5"/>
  <c r="X126" i="5"/>
  <c r="X121" i="5"/>
  <c r="X124" i="5"/>
  <c r="X107" i="5"/>
  <c r="X109" i="5"/>
  <c r="X120" i="5"/>
  <c r="X127" i="5"/>
  <c r="X112" i="5"/>
  <c r="X110" i="5"/>
  <c r="X117" i="5"/>
  <c r="X116" i="5"/>
  <c r="X129" i="5"/>
  <c r="X125" i="5"/>
  <c r="X114" i="5"/>
  <c r="X122" i="5"/>
  <c r="AA50" i="7"/>
  <c r="AA117" i="7"/>
  <c r="AA51" i="7"/>
  <c r="Z120" i="7"/>
  <c r="Z119" i="7"/>
  <c r="AA114" i="7"/>
  <c r="AA113" i="7"/>
  <c r="AD55" i="9"/>
  <c r="AD57" i="9" s="1"/>
  <c r="Z479" i="6"/>
  <c r="AL8" i="7"/>
  <c r="AV7" i="6"/>
  <c r="AV8" i="6"/>
  <c r="AP4" i="9"/>
  <c r="AP6" i="9" s="1"/>
  <c r="AD8" i="6"/>
  <c r="AI82" i="7"/>
  <c r="AI80" i="7"/>
  <c r="AI83" i="7" s="1"/>
  <c r="AI10" i="7"/>
  <c r="AI11" i="7"/>
  <c r="AB9" i="6"/>
  <c r="AB771" i="6" s="1"/>
  <c r="AB770" i="6"/>
  <c r="AA770" i="6"/>
  <c r="AA9" i="6"/>
  <c r="AA771" i="6" s="1"/>
  <c r="AU8" i="6"/>
  <c r="AO4" i="9"/>
  <c r="AO6" i="9" s="1"/>
  <c r="AU7" i="6"/>
  <c r="AC8" i="6"/>
  <c r="AE7" i="6"/>
  <c r="AK8" i="7"/>
  <c r="AJ82" i="7"/>
  <c r="AJ80" i="7"/>
  <c r="AJ83" i="7" s="1"/>
  <c r="AJ10" i="7"/>
  <c r="AJ11" i="7"/>
  <c r="Y773" i="6"/>
  <c r="AZ167" i="6"/>
  <c r="W773" i="6"/>
  <c r="Y772" i="6"/>
  <c r="AR727" i="6"/>
  <c r="AR728" i="6" s="1"/>
  <c r="Z728" i="6"/>
  <c r="X574" i="6"/>
  <c r="X771" i="6" s="1"/>
  <c r="X770" i="6"/>
  <c r="AA18" i="6"/>
  <c r="AS17" i="6"/>
  <c r="AM17" i="9"/>
  <c r="AM19" i="9" s="1"/>
  <c r="AI21" i="7"/>
  <c r="AS18" i="6"/>
  <c r="Z269" i="6"/>
  <c r="AH268" i="6"/>
  <c r="C103" i="6" s="1"/>
  <c r="C105" i="6" s="1"/>
  <c r="AR627" i="6"/>
  <c r="AR628" i="6" s="1"/>
  <c r="Z628" i="6"/>
  <c r="AH627" i="6"/>
  <c r="AR572" i="6"/>
  <c r="AZ572" i="6" s="1"/>
  <c r="AR573" i="6"/>
  <c r="Z573" i="6"/>
  <c r="AR268" i="6"/>
  <c r="AZ267" i="6"/>
  <c r="X729" i="6"/>
  <c r="X773" i="6" s="1"/>
  <c r="X772" i="6"/>
  <c r="AZ272" i="6"/>
  <c r="AZ432" i="6"/>
  <c r="AH168" i="6"/>
  <c r="C69" i="6" s="1"/>
  <c r="C71" i="6" s="1"/>
  <c r="AB17" i="6"/>
  <c r="AH93" i="7"/>
  <c r="AH96" i="7" s="1"/>
  <c r="AH24" i="7"/>
  <c r="AH23" i="7"/>
  <c r="AH95" i="7"/>
  <c r="AH727" i="6"/>
  <c r="Y574" i="6"/>
  <c r="Y771" i="6" s="1"/>
  <c r="Y770" i="6"/>
  <c r="AZ182" i="6"/>
  <c r="AZ177" i="6"/>
  <c r="AC338" i="6"/>
  <c r="AC339" i="6" s="1"/>
  <c r="AU337" i="6"/>
  <c r="AU338" i="6" s="1"/>
  <c r="U718" i="6"/>
  <c r="U719" i="6" s="1"/>
  <c r="AM717" i="6"/>
  <c r="AM718" i="6" s="1"/>
  <c r="U663" i="6"/>
  <c r="U664" i="6" s="1"/>
  <c r="AM662" i="6"/>
  <c r="AM663" i="6" s="1"/>
  <c r="AQ652" i="6"/>
  <c r="AQ237" i="6"/>
  <c r="AQ238" i="6" s="1"/>
  <c r="Y238" i="6"/>
  <c r="Y239" i="6" s="1"/>
  <c r="T308" i="6"/>
  <c r="T309" i="6" s="1"/>
  <c r="AL307" i="6"/>
  <c r="AL308" i="6" s="1"/>
  <c r="Z243" i="6"/>
  <c r="Z244" i="6" s="1"/>
  <c r="AR242" i="6"/>
  <c r="AR243" i="6" s="1"/>
  <c r="X248" i="6"/>
  <c r="X249" i="6" s="1"/>
  <c r="AP247" i="6"/>
  <c r="AP248" i="6" s="1"/>
  <c r="Z188" i="6"/>
  <c r="Z189" i="6" s="1"/>
  <c r="AR187" i="6"/>
  <c r="AR188" i="6" s="1"/>
  <c r="AQ137" i="6"/>
  <c r="AQ138" i="6" s="1"/>
  <c r="Y138" i="6"/>
  <c r="Y139" i="6" s="1"/>
  <c r="AB748" i="6"/>
  <c r="AT747" i="6"/>
  <c r="AT748" i="6" s="1"/>
  <c r="AP342" i="6"/>
  <c r="AA288" i="6"/>
  <c r="AA289" i="6" s="1"/>
  <c r="AS287" i="6"/>
  <c r="AS288" i="6" s="1"/>
  <c r="V198" i="6"/>
  <c r="V199" i="6" s="1"/>
  <c r="AN197" i="6"/>
  <c r="AN198" i="6" s="1"/>
  <c r="Z648" i="6"/>
  <c r="Z649" i="6" s="1"/>
  <c r="AR647" i="6"/>
  <c r="AR648" i="6" s="1"/>
  <c r="AN657" i="6"/>
  <c r="AN658" i="6" s="1"/>
  <c r="V658" i="6"/>
  <c r="V659" i="6" s="1"/>
  <c r="AP607" i="6"/>
  <c r="AP608" i="6" s="1"/>
  <c r="X608" i="6"/>
  <c r="X609" i="6" s="1"/>
  <c r="X348" i="6"/>
  <c r="X349" i="6" s="1"/>
  <c r="AP347" i="6"/>
  <c r="AP348" i="6" s="1"/>
  <c r="T458" i="6"/>
  <c r="T459" i="6" s="1"/>
  <c r="AL457" i="6"/>
  <c r="AL458" i="6" s="1"/>
  <c r="AR437" i="6"/>
  <c r="AR438" i="6" s="1"/>
  <c r="Z438" i="6"/>
  <c r="Z439" i="6" s="1"/>
  <c r="S568" i="6"/>
  <c r="AK567" i="6"/>
  <c r="AK568" i="6" s="1"/>
  <c r="V508" i="6"/>
  <c r="V509" i="6" s="1"/>
  <c r="AN507" i="6"/>
  <c r="AN508" i="6" s="1"/>
  <c r="AQ232" i="6"/>
  <c r="AQ233" i="6" s="1"/>
  <c r="Y233" i="6"/>
  <c r="Y234" i="6" s="1"/>
  <c r="AN707" i="6"/>
  <c r="AN708" i="6" s="1"/>
  <c r="V708" i="6"/>
  <c r="W394" i="6"/>
  <c r="V613" i="6"/>
  <c r="AN612" i="6"/>
  <c r="AN613" i="6" s="1"/>
  <c r="V398" i="6"/>
  <c r="V399" i="6" s="1"/>
  <c r="AN397" i="6"/>
  <c r="AN398" i="6" s="1"/>
  <c r="V563" i="6"/>
  <c r="V564" i="6" s="1"/>
  <c r="AN562" i="6"/>
  <c r="AN563" i="6" s="1"/>
  <c r="S618" i="6"/>
  <c r="S619" i="6" s="1"/>
  <c r="AK617" i="6"/>
  <c r="AL107" i="6"/>
  <c r="AL108" i="6" s="1"/>
  <c r="T108" i="6"/>
  <c r="T109" i="6" s="1"/>
  <c r="Y539" i="6"/>
  <c r="Z739" i="6"/>
  <c r="U153" i="6"/>
  <c r="U154" i="6" s="1"/>
  <c r="AM152" i="6"/>
  <c r="AM153" i="6" s="1"/>
  <c r="AR388" i="6"/>
  <c r="W753" i="6"/>
  <c r="AO752" i="6"/>
  <c r="AO753" i="6" s="1"/>
  <c r="AQ332" i="6"/>
  <c r="Y333" i="6"/>
  <c r="Y334" i="6" s="1"/>
  <c r="AR692" i="6"/>
  <c r="AR693" i="6" s="1"/>
  <c r="Z693" i="6"/>
  <c r="AH692" i="6"/>
  <c r="AP602" i="6"/>
  <c r="AQ97" i="6"/>
  <c r="AN553" i="6"/>
  <c r="U207" i="6"/>
  <c r="V207" i="6" s="1"/>
  <c r="W93" i="6"/>
  <c r="AO92" i="6"/>
  <c r="AO93" i="6" s="1"/>
  <c r="AM448" i="6"/>
  <c r="AA698" i="6"/>
  <c r="AA699" i="6" s="1"/>
  <c r="AS697" i="6"/>
  <c r="AS698" i="6" s="1"/>
  <c r="AO712" i="6"/>
  <c r="AO713" i="6" s="1"/>
  <c r="W713" i="6"/>
  <c r="W714" i="6" s="1"/>
  <c r="V754" i="6"/>
  <c r="T668" i="6"/>
  <c r="AL667" i="6"/>
  <c r="AP233" i="6"/>
  <c r="V713" i="6"/>
  <c r="X712" i="6"/>
  <c r="AN712" i="6"/>
  <c r="Z284" i="6"/>
  <c r="AZ492" i="6"/>
  <c r="W352" i="6"/>
  <c r="X352" i="6" s="1"/>
  <c r="X502" i="6"/>
  <c r="Y502" i="6" s="1"/>
  <c r="Z229" i="6"/>
  <c r="R769" i="6"/>
  <c r="V402" i="6"/>
  <c r="W402" i="6" s="1"/>
  <c r="AQ693" i="6"/>
  <c r="U509" i="6"/>
  <c r="AP392" i="6"/>
  <c r="Z392" i="6"/>
  <c r="AA392" i="6" s="1"/>
  <c r="AL103" i="6"/>
  <c r="AQ702" i="6"/>
  <c r="X334" i="6"/>
  <c r="S664" i="6"/>
  <c r="AZ382" i="6"/>
  <c r="AO293" i="6"/>
  <c r="AP292" i="6"/>
  <c r="AQ547" i="6"/>
  <c r="AQ548" i="6" s="1"/>
  <c r="Y548" i="6"/>
  <c r="Z339" i="6"/>
  <c r="AM517" i="6"/>
  <c r="AM518" i="6" s="1"/>
  <c r="U518" i="6"/>
  <c r="U519" i="6" s="1"/>
  <c r="AN442" i="6"/>
  <c r="AN443" i="6" s="1"/>
  <c r="V443" i="6"/>
  <c r="U764" i="6"/>
  <c r="AP142" i="6"/>
  <c r="V194" i="6"/>
  <c r="AQ538" i="6"/>
  <c r="AZ537" i="6"/>
  <c r="AO452" i="6"/>
  <c r="AO453" i="6" s="1"/>
  <c r="W453" i="6"/>
  <c r="W454" i="6" s="1"/>
  <c r="AP757" i="6"/>
  <c r="AP758" i="6" s="1"/>
  <c r="X758" i="6"/>
  <c r="Z594" i="6"/>
  <c r="AO447" i="6"/>
  <c r="AO448" i="6" s="1"/>
  <c r="W448" i="6"/>
  <c r="W449" i="6" s="1"/>
  <c r="Z638" i="6"/>
  <c r="AR637" i="6"/>
  <c r="AR638" i="6" s="1"/>
  <c r="AH637" i="6"/>
  <c r="Y749" i="6"/>
  <c r="X752" i="6"/>
  <c r="Y752" i="6" s="1"/>
  <c r="AN297" i="6"/>
  <c r="AN298" i="6" s="1"/>
  <c r="V298" i="6"/>
  <c r="T158" i="6"/>
  <c r="AL157" i="6"/>
  <c r="V253" i="6"/>
  <c r="X252" i="6"/>
  <c r="Y252" i="6" s="1"/>
  <c r="AN252" i="6"/>
  <c r="AN253" i="6" s="1"/>
  <c r="AN452" i="6"/>
  <c r="V453" i="6"/>
  <c r="V454" i="6" s="1"/>
  <c r="X452" i="6"/>
  <c r="AM708" i="6"/>
  <c r="AL407" i="6"/>
  <c r="T408" i="6"/>
  <c r="AR277" i="6"/>
  <c r="Z278" i="6"/>
  <c r="AH277" i="6"/>
  <c r="AR228" i="6"/>
  <c r="AZ227" i="6"/>
  <c r="U398" i="6"/>
  <c r="U399" i="6" s="1"/>
  <c r="AM397" i="6"/>
  <c r="AM398" i="6" s="1"/>
  <c r="W397" i="6"/>
  <c r="AQ437" i="6"/>
  <c r="AQ438" i="6" s="1"/>
  <c r="Y438" i="6"/>
  <c r="Y439" i="6" s="1"/>
  <c r="AA437" i="6"/>
  <c r="T104" i="6"/>
  <c r="AP97" i="6"/>
  <c r="AP98" i="6" s="1"/>
  <c r="Z97" i="6"/>
  <c r="AA97" i="6" s="1"/>
  <c r="X98" i="6"/>
  <c r="Z698" i="6"/>
  <c r="Z699" i="6" s="1"/>
  <c r="AR697" i="6"/>
  <c r="AR698" i="6" s="1"/>
  <c r="AB697" i="6"/>
  <c r="AC697" i="6" s="1"/>
  <c r="X92" i="6"/>
  <c r="Z87" i="6"/>
  <c r="AA87" i="6" s="1"/>
  <c r="X447" i="6"/>
  <c r="W657" i="6"/>
  <c r="AM657" i="6"/>
  <c r="U658" i="6"/>
  <c r="V763" i="6"/>
  <c r="AN762" i="6"/>
  <c r="AN763" i="6" s="1"/>
  <c r="AL353" i="6"/>
  <c r="AO393" i="6"/>
  <c r="AL257" i="6"/>
  <c r="AL258" i="6" s="1"/>
  <c r="T258" i="6"/>
  <c r="T259" i="6" s="1"/>
  <c r="AA598" i="6"/>
  <c r="AA599" i="6" s="1"/>
  <c r="AS597" i="6"/>
  <c r="AS598" i="6" s="1"/>
  <c r="T718" i="6"/>
  <c r="T719" i="6" s="1"/>
  <c r="V717" i="6"/>
  <c r="AL717" i="6"/>
  <c r="AL718" i="6" s="1"/>
  <c r="AL207" i="6"/>
  <c r="AL208" i="6" s="1"/>
  <c r="T208" i="6"/>
  <c r="T209" i="6" s="1"/>
  <c r="Z494" i="6"/>
  <c r="W762" i="6"/>
  <c r="AN193" i="6"/>
  <c r="AO247" i="6"/>
  <c r="AO248" i="6" s="1"/>
  <c r="Y247" i="6"/>
  <c r="W248" i="6"/>
  <c r="W249" i="6" s="1"/>
  <c r="U203" i="6"/>
  <c r="U204" i="6" s="1"/>
  <c r="W202" i="6"/>
  <c r="X202" i="6" s="1"/>
  <c r="AM202" i="6"/>
  <c r="AM203" i="6" s="1"/>
  <c r="AT387" i="6"/>
  <c r="AT388" i="6" s="1"/>
  <c r="AB388" i="6"/>
  <c r="AB389" i="6" s="1"/>
  <c r="AP137" i="6"/>
  <c r="Z137" i="6"/>
  <c r="V554" i="6"/>
  <c r="AP652" i="6"/>
  <c r="Z652" i="6"/>
  <c r="AA652" i="6" s="1"/>
  <c r="Z498" i="6"/>
  <c r="Z499" i="6" s="1"/>
  <c r="AR497" i="6"/>
  <c r="T617" i="6"/>
  <c r="V152" i="6"/>
  <c r="V759" i="6"/>
  <c r="AR593" i="6"/>
  <c r="AZ592" i="6"/>
  <c r="Y602" i="6"/>
  <c r="S768" i="6"/>
  <c r="AK767" i="6"/>
  <c r="AK768" i="6" s="1"/>
  <c r="AN557" i="6"/>
  <c r="V558" i="6"/>
  <c r="T567" i="6"/>
  <c r="AM102" i="6"/>
  <c r="AM103" i="6" s="1"/>
  <c r="U103" i="6"/>
  <c r="U104" i="6" s="1"/>
  <c r="Z232" i="6"/>
  <c r="AL253" i="6"/>
  <c r="W297" i="6"/>
  <c r="Y648" i="6"/>
  <c r="Y649" i="6" s="1"/>
  <c r="AQ647" i="6"/>
  <c r="AA647" i="6"/>
  <c r="AB647" i="6" s="1"/>
  <c r="Z179" i="6"/>
  <c r="T767" i="6"/>
  <c r="AN512" i="6"/>
  <c r="V513" i="6"/>
  <c r="W442" i="6"/>
  <c r="AM508" i="6"/>
  <c r="W704" i="6"/>
  <c r="Z332" i="6"/>
  <c r="U407" i="6"/>
  <c r="W193" i="6"/>
  <c r="W194" i="6" s="1"/>
  <c r="AO192" i="6"/>
  <c r="AO193" i="6" s="1"/>
  <c r="Y192" i="6"/>
  <c r="Z192" i="6" s="1"/>
  <c r="U759" i="6"/>
  <c r="Z84" i="6"/>
  <c r="W562" i="6"/>
  <c r="W294" i="6"/>
  <c r="Z749" i="6"/>
  <c r="U667" i="6"/>
  <c r="U107" i="6"/>
  <c r="V107" i="6" s="1"/>
  <c r="U257" i="6"/>
  <c r="T764" i="6"/>
  <c r="AN352" i="6"/>
  <c r="AN353" i="6" s="1"/>
  <c r="V353" i="6"/>
  <c r="V354" i="6" s="1"/>
  <c r="AO607" i="6"/>
  <c r="AO608" i="6" s="1"/>
  <c r="Y607" i="6"/>
  <c r="W608" i="6"/>
  <c r="W609" i="6" s="1"/>
  <c r="AQ392" i="6"/>
  <c r="AB338" i="6"/>
  <c r="AB339" i="6" s="1"/>
  <c r="AT337" i="6"/>
  <c r="AT338" i="6" s="1"/>
  <c r="AD337" i="6"/>
  <c r="AM402" i="6"/>
  <c r="AM403" i="6" s="1"/>
  <c r="U403" i="6"/>
  <c r="V203" i="6"/>
  <c r="V204" i="6" s="1"/>
  <c r="AN202" i="6"/>
  <c r="AN203" i="6" s="1"/>
  <c r="S308" i="6"/>
  <c r="U307" i="6"/>
  <c r="AK307" i="6"/>
  <c r="AP192" i="6"/>
  <c r="AO347" i="6"/>
  <c r="AO348" i="6" s="1"/>
  <c r="W348" i="6"/>
  <c r="W349" i="6" s="1"/>
  <c r="Y347" i="6"/>
  <c r="AQ242" i="6"/>
  <c r="AA242" i="6"/>
  <c r="AB242" i="6" s="1"/>
  <c r="W148" i="6"/>
  <c r="W149" i="6" s="1"/>
  <c r="AO147" i="6"/>
  <c r="AO148" i="6" s="1"/>
  <c r="AR287" i="6"/>
  <c r="AR288" i="6" s="1"/>
  <c r="Z288" i="6"/>
  <c r="AB287" i="6"/>
  <c r="AK203" i="6"/>
  <c r="S154" i="6"/>
  <c r="Z389" i="6"/>
  <c r="AO552" i="6"/>
  <c r="AO553" i="6" s="1"/>
  <c r="W553" i="6"/>
  <c r="W554" i="6" s="1"/>
  <c r="AL662" i="6"/>
  <c r="AL663" i="6" s="1"/>
  <c r="T663" i="6"/>
  <c r="T664" i="6" s="1"/>
  <c r="V662" i="6"/>
  <c r="AQ187" i="6"/>
  <c r="Y188" i="6"/>
  <c r="AA187" i="6"/>
  <c r="Z598" i="6"/>
  <c r="Z599" i="6" s="1"/>
  <c r="AR597" i="6"/>
  <c r="AR598" i="6" s="1"/>
  <c r="AB597" i="6"/>
  <c r="S358" i="6"/>
  <c r="AK357" i="6"/>
  <c r="AM197" i="6"/>
  <c r="W197" i="6"/>
  <c r="U198" i="6"/>
  <c r="X552" i="6"/>
  <c r="AN147" i="6"/>
  <c r="AN148" i="6" s="1"/>
  <c r="V148" i="6"/>
  <c r="V149" i="6" s="1"/>
  <c r="X147" i="6"/>
  <c r="AO502" i="6"/>
  <c r="W503" i="6"/>
  <c r="AO252" i="6"/>
  <c r="AO253" i="6" s="1"/>
  <c r="W253" i="6"/>
  <c r="W254" i="6" s="1"/>
  <c r="U449" i="6"/>
  <c r="U457" i="6"/>
  <c r="AK457" i="6"/>
  <c r="AK458" i="6" s="1"/>
  <c r="S458" i="6"/>
  <c r="AS747" i="6"/>
  <c r="AS748" i="6" s="1"/>
  <c r="AA748" i="6"/>
  <c r="AC747" i="6"/>
  <c r="V303" i="6"/>
  <c r="V304" i="6" s="1"/>
  <c r="AN302" i="6"/>
  <c r="AN303" i="6" s="1"/>
  <c r="AA497" i="6"/>
  <c r="W612" i="6"/>
  <c r="X612" i="6" s="1"/>
  <c r="AN753" i="6"/>
  <c r="X234" i="6"/>
  <c r="W707" i="6"/>
  <c r="AP237" i="6"/>
  <c r="Z237" i="6"/>
  <c r="AA237" i="6" s="1"/>
  <c r="Y88" i="6"/>
  <c r="Y89" i="6" s="1"/>
  <c r="AQ87" i="6"/>
  <c r="AQ88" i="6" s="1"/>
  <c r="AR283" i="6"/>
  <c r="AZ282" i="6"/>
  <c r="Z184" i="6"/>
  <c r="AO342" i="6"/>
  <c r="Y342" i="6"/>
  <c r="W343" i="6"/>
  <c r="Y694" i="6"/>
  <c r="W507" i="6"/>
  <c r="X507" i="6" s="1"/>
  <c r="W302" i="6"/>
  <c r="AM302" i="6"/>
  <c r="AM303" i="6" s="1"/>
  <c r="U303" i="6"/>
  <c r="V102" i="6"/>
  <c r="W102" i="6" s="1"/>
  <c r="AN98" i="6"/>
  <c r="T357" i="6"/>
  <c r="AL517" i="6"/>
  <c r="AL518" i="6" s="1"/>
  <c r="T518" i="6"/>
  <c r="T519" i="6" s="1"/>
  <c r="V517" i="6"/>
  <c r="W517" i="6" s="1"/>
  <c r="AC387" i="6"/>
  <c r="AK663" i="6"/>
  <c r="AO757" i="6"/>
  <c r="AO758" i="6" s="1"/>
  <c r="Y757" i="6"/>
  <c r="W758" i="6"/>
  <c r="Z702" i="6"/>
  <c r="AO142" i="6"/>
  <c r="AO143" i="6" s="1"/>
  <c r="W143" i="6"/>
  <c r="W144" i="6" s="1"/>
  <c r="Y142" i="6"/>
  <c r="W557" i="6"/>
  <c r="AR83" i="6"/>
  <c r="AZ82" i="6"/>
  <c r="Z547" i="6"/>
  <c r="AA547" i="6" s="1"/>
  <c r="P559" i="6"/>
  <c r="AN93" i="6"/>
  <c r="Y292" i="6"/>
  <c r="W512" i="6"/>
  <c r="U157" i="6"/>
  <c r="V157" i="6" s="1"/>
  <c r="K266" i="6" l="1"/>
  <c r="R52" i="6"/>
  <c r="Z123" i="7"/>
  <c r="Z125" i="7" s="1"/>
  <c r="Z57" i="7"/>
  <c r="Q53" i="6"/>
  <c r="Q54" i="6" s="1"/>
  <c r="Q789" i="6" s="1"/>
  <c r="AI52" i="6"/>
  <c r="AI53" i="6" s="1"/>
  <c r="AC111" i="7"/>
  <c r="AC114" i="7" s="1"/>
  <c r="AC61" i="9"/>
  <c r="AC63" i="9" s="1"/>
  <c r="Y64" i="7"/>
  <c r="U34" i="6"/>
  <c r="U781" i="6" s="1"/>
  <c r="Y129" i="7"/>
  <c r="Y132" i="7" s="1"/>
  <c r="Z62" i="7"/>
  <c r="Z65" i="7" s="1"/>
  <c r="R48" i="6"/>
  <c r="R49" i="6" s="1"/>
  <c r="R787" i="6" s="1"/>
  <c r="S47" i="6"/>
  <c r="T47" i="6" s="1"/>
  <c r="AB62" i="7" s="1"/>
  <c r="K273" i="6"/>
  <c r="R784" i="6"/>
  <c r="AE49" i="9"/>
  <c r="AE51" i="9" s="1"/>
  <c r="AA55" i="7"/>
  <c r="AA57" i="7" s="1"/>
  <c r="T42" i="6"/>
  <c r="U42" i="6" s="1"/>
  <c r="AC43" i="7"/>
  <c r="AD43" i="7"/>
  <c r="Z48" i="5"/>
  <c r="Y32" i="6"/>
  <c r="AQ32" i="6" s="1"/>
  <c r="AQ33" i="6" s="1"/>
  <c r="AP32" i="6"/>
  <c r="AH493" i="6"/>
  <c r="F171" i="6" s="1"/>
  <c r="F173" i="6" s="1"/>
  <c r="AE41" i="7"/>
  <c r="AE111" i="7" s="1"/>
  <c r="AJ36" i="9"/>
  <c r="AI36" i="9"/>
  <c r="AO32" i="6"/>
  <c r="AD44" i="7"/>
  <c r="AA40" i="5"/>
  <c r="AA65" i="5" s="1"/>
  <c r="V148" i="5"/>
  <c r="V158" i="5"/>
  <c r="V160" i="5"/>
  <c r="V140" i="5"/>
  <c r="V150" i="5"/>
  <c r="V139" i="5"/>
  <c r="V161" i="5"/>
  <c r="V155" i="5"/>
  <c r="V145" i="5"/>
  <c r="V152" i="5"/>
  <c r="V154" i="5"/>
  <c r="V141" i="5"/>
  <c r="V157" i="5"/>
  <c r="W136" i="5"/>
  <c r="V159" i="5"/>
  <c r="V156" i="5"/>
  <c r="V153" i="5"/>
  <c r="V143" i="5"/>
  <c r="V146" i="5"/>
  <c r="V138" i="5"/>
  <c r="V162" i="5"/>
  <c r="V144" i="5"/>
  <c r="V147" i="5"/>
  <c r="V142" i="5"/>
  <c r="V149" i="5"/>
  <c r="V151" i="5"/>
  <c r="AH118" i="6"/>
  <c r="C52" i="6" s="1"/>
  <c r="Z66" i="5"/>
  <c r="Z52" i="5"/>
  <c r="Z43" i="5"/>
  <c r="Z64" i="5"/>
  <c r="Z44" i="5"/>
  <c r="AZ418" i="6"/>
  <c r="AH738" i="6"/>
  <c r="E256" i="6" s="1"/>
  <c r="E258" i="6" s="1"/>
  <c r="AZ743" i="6"/>
  <c r="AH228" i="6"/>
  <c r="E86" i="6" s="1"/>
  <c r="E88" i="6" s="1"/>
  <c r="AH283" i="6"/>
  <c r="F103" i="6" s="1"/>
  <c r="F105" i="6" s="1"/>
  <c r="AH183" i="6"/>
  <c r="F69" i="6" s="1"/>
  <c r="F71" i="6" s="1"/>
  <c r="AH83" i="6"/>
  <c r="F35" i="6" s="1"/>
  <c r="F37" i="6" s="1"/>
  <c r="Y774" i="6"/>
  <c r="AH383" i="6"/>
  <c r="F137" i="6" s="1"/>
  <c r="F139" i="6" s="1"/>
  <c r="C54" i="6"/>
  <c r="AZ678" i="6"/>
  <c r="AZ643" i="6"/>
  <c r="AZ318" i="6"/>
  <c r="AZ543" i="6"/>
  <c r="AZ363" i="6"/>
  <c r="AZ473" i="6"/>
  <c r="AZ263" i="6"/>
  <c r="AH178" i="6"/>
  <c r="E69" i="6" s="1"/>
  <c r="E71" i="6" s="1"/>
  <c r="AH433" i="6"/>
  <c r="F154" i="6" s="1"/>
  <c r="F156" i="6" s="1"/>
  <c r="AH593" i="6"/>
  <c r="F205" i="6" s="1"/>
  <c r="F207" i="6" s="1"/>
  <c r="AZ213" i="6"/>
  <c r="AZ313" i="6"/>
  <c r="AH273" i="6"/>
  <c r="D103" i="6" s="1"/>
  <c r="D105" i="6" s="1"/>
  <c r="AN493" i="6"/>
  <c r="AO493" i="6"/>
  <c r="AN183" i="6"/>
  <c r="AO183" i="6"/>
  <c r="AI413" i="6"/>
  <c r="AJ413" i="6"/>
  <c r="AK413" i="6"/>
  <c r="AO83" i="6"/>
  <c r="AN83" i="6"/>
  <c r="AN283" i="6"/>
  <c r="AO283" i="6"/>
  <c r="Z59" i="5"/>
  <c r="Z50" i="5"/>
  <c r="Z60" i="5"/>
  <c r="Z56" i="5"/>
  <c r="Z53" i="5"/>
  <c r="Z42" i="5"/>
  <c r="Z47" i="5"/>
  <c r="AO433" i="6"/>
  <c r="AN433" i="6"/>
  <c r="AK268" i="6"/>
  <c r="AL268" i="6"/>
  <c r="S628" i="6"/>
  <c r="S629" i="6" s="1"/>
  <c r="T628" i="6"/>
  <c r="T629" i="6" s="1"/>
  <c r="AK168" i="6"/>
  <c r="AL168" i="6"/>
  <c r="U278" i="6"/>
  <c r="U279" i="6" s="1"/>
  <c r="V278" i="6"/>
  <c r="V279" i="6" s="1"/>
  <c r="U638" i="6"/>
  <c r="U639" i="6" s="1"/>
  <c r="V638" i="6"/>
  <c r="V639" i="6" s="1"/>
  <c r="Z63" i="5"/>
  <c r="Z45" i="5"/>
  <c r="Z49" i="5"/>
  <c r="Z55" i="5"/>
  <c r="Z65" i="5"/>
  <c r="Z51" i="5"/>
  <c r="AN383" i="6"/>
  <c r="AO383" i="6"/>
  <c r="AH538" i="6"/>
  <c r="E188" i="6" s="1"/>
  <c r="E190" i="6" s="1"/>
  <c r="S728" i="6"/>
  <c r="T728" i="6"/>
  <c r="AH573" i="6"/>
  <c r="B205" i="6" s="1"/>
  <c r="B207" i="6" s="1"/>
  <c r="AK478" i="6"/>
  <c r="AL478" i="6"/>
  <c r="V739" i="6"/>
  <c r="U374" i="6"/>
  <c r="AI573" i="6"/>
  <c r="AJ573" i="6"/>
  <c r="AK573" i="6"/>
  <c r="R574" i="6"/>
  <c r="AN593" i="6"/>
  <c r="AO593" i="6"/>
  <c r="Z57" i="5"/>
  <c r="Z46" i="5"/>
  <c r="Z61" i="5"/>
  <c r="Z62" i="5"/>
  <c r="Z58" i="5"/>
  <c r="V693" i="6"/>
  <c r="W693" i="6"/>
  <c r="W694" i="6" s="1"/>
  <c r="AI163" i="6"/>
  <c r="AJ163" i="6"/>
  <c r="AK163" i="6"/>
  <c r="AK118" i="6"/>
  <c r="AL118" i="6"/>
  <c r="U739" i="6"/>
  <c r="AZ523" i="6"/>
  <c r="S574" i="6"/>
  <c r="K22" i="9"/>
  <c r="K19" i="9"/>
  <c r="K20" i="9"/>
  <c r="K17" i="9"/>
  <c r="K21" i="9"/>
  <c r="K23" i="9"/>
  <c r="K18" i="9"/>
  <c r="L18" i="9" s="1"/>
  <c r="K15" i="9"/>
  <c r="T24" i="9"/>
  <c r="S24" i="9"/>
  <c r="S207" i="5"/>
  <c r="Z76" i="5"/>
  <c r="Z86" i="5"/>
  <c r="Z96" i="5"/>
  <c r="Z77" i="5"/>
  <c r="Z80" i="5"/>
  <c r="Z88" i="5"/>
  <c r="Z92" i="5"/>
  <c r="S222" i="5"/>
  <c r="Z93" i="5"/>
  <c r="Z85" i="5"/>
  <c r="Z78" i="5"/>
  <c r="Z79" i="5"/>
  <c r="Z87" i="5"/>
  <c r="Z91" i="5"/>
  <c r="S217" i="5"/>
  <c r="S221" i="5"/>
  <c r="Z81" i="5"/>
  <c r="Z89" i="5"/>
  <c r="Z74" i="5"/>
  <c r="Z83" i="5"/>
  <c r="Z82" i="5"/>
  <c r="Z95" i="5"/>
  <c r="AA72" i="5"/>
  <c r="AB72" i="5" s="1"/>
  <c r="AB93" i="5" s="1"/>
  <c r="Z94" i="5"/>
  <c r="Z90" i="5"/>
  <c r="Z84" i="5"/>
  <c r="Z97" i="5"/>
  <c r="Z98" i="5"/>
  <c r="S210" i="5"/>
  <c r="S225" i="5"/>
  <c r="S215" i="5"/>
  <c r="S213" i="5"/>
  <c r="S209" i="5"/>
  <c r="S219" i="5"/>
  <c r="S223" i="5"/>
  <c r="S211" i="5"/>
  <c r="S224" i="5"/>
  <c r="S202" i="5"/>
  <c r="S204" i="5"/>
  <c r="S218" i="5"/>
  <c r="S206" i="5"/>
  <c r="S203" i="5"/>
  <c r="S226" i="5"/>
  <c r="S208" i="5"/>
  <c r="S212" i="5"/>
  <c r="S220" i="5"/>
  <c r="S205" i="5"/>
  <c r="S216" i="5"/>
  <c r="S214" i="5"/>
  <c r="U200" i="5"/>
  <c r="V200" i="5" s="1"/>
  <c r="AH163" i="6"/>
  <c r="B69" i="6" s="1"/>
  <c r="B156" i="6"/>
  <c r="AC772" i="6"/>
  <c r="AC4" i="5"/>
  <c r="AB14" i="5"/>
  <c r="AB31" i="5"/>
  <c r="AB25" i="5"/>
  <c r="AB10" i="5"/>
  <c r="AB23" i="5"/>
  <c r="AB26" i="5"/>
  <c r="AB30" i="5"/>
  <c r="AB34" i="5"/>
  <c r="AB16" i="5"/>
  <c r="AB22" i="5"/>
  <c r="AB19" i="5"/>
  <c r="AB15" i="5"/>
  <c r="AB17" i="5"/>
  <c r="AB33" i="5"/>
  <c r="AB21" i="5"/>
  <c r="AB32" i="5"/>
  <c r="AB24" i="5"/>
  <c r="AB27" i="5"/>
  <c r="AB28" i="5"/>
  <c r="AB29" i="5"/>
  <c r="AB11" i="5"/>
  <c r="AB12" i="5"/>
  <c r="AB18" i="5"/>
  <c r="AB20" i="5"/>
  <c r="AB13" i="5"/>
  <c r="AA24" i="5"/>
  <c r="AA20" i="5"/>
  <c r="AA34" i="5"/>
  <c r="AA12" i="5"/>
  <c r="AA26" i="5"/>
  <c r="AA18" i="5"/>
  <c r="AA15" i="5"/>
  <c r="AA16" i="5"/>
  <c r="AA13" i="5"/>
  <c r="AA32" i="5"/>
  <c r="AA30" i="5"/>
  <c r="AA23" i="5"/>
  <c r="AA28" i="5"/>
  <c r="AA21" i="5"/>
  <c r="AA27" i="5"/>
  <c r="AA14" i="5"/>
  <c r="AA22" i="5"/>
  <c r="AA17" i="5"/>
  <c r="AA33" i="5"/>
  <c r="AA19" i="5"/>
  <c r="AA25" i="5"/>
  <c r="AA29" i="5"/>
  <c r="AA10" i="5"/>
  <c r="AA11" i="5"/>
  <c r="AA31" i="5"/>
  <c r="AD13" i="6"/>
  <c r="AD772" i="6" s="1"/>
  <c r="AV12" i="6"/>
  <c r="AV13" i="6" s="1"/>
  <c r="AE12" i="6"/>
  <c r="AF12" i="6" s="1"/>
  <c r="AF13" i="6" s="1"/>
  <c r="AL15" i="7"/>
  <c r="AL87" i="7" s="1"/>
  <c r="AL90" i="7" s="1"/>
  <c r="AK18" i="7"/>
  <c r="AK89" i="7"/>
  <c r="AK17" i="7"/>
  <c r="U782" i="6"/>
  <c r="Z374" i="6"/>
  <c r="Z775" i="6" s="1"/>
  <c r="AH33" i="7"/>
  <c r="AH105" i="7" s="1"/>
  <c r="AR27" i="6"/>
  <c r="AR28" i="6" s="1"/>
  <c r="AH373" i="6"/>
  <c r="D137" i="6" s="1"/>
  <c r="AZ637" i="6"/>
  <c r="AA27" i="6"/>
  <c r="AS27" i="6" s="1"/>
  <c r="AS28" i="6" s="1"/>
  <c r="Z28" i="6"/>
  <c r="Z29" i="6" s="1"/>
  <c r="AL29" i="9"/>
  <c r="AL31" i="9" s="1"/>
  <c r="B122" i="6"/>
  <c r="B88" i="6"/>
  <c r="AA104" i="5"/>
  <c r="AB104" i="5" s="1"/>
  <c r="Z127" i="5"/>
  <c r="Z124" i="5"/>
  <c r="Z121" i="5"/>
  <c r="Z106" i="5"/>
  <c r="Z118" i="5"/>
  <c r="Z112" i="5"/>
  <c r="Z117" i="5"/>
  <c r="Z128" i="5"/>
  <c r="Z125" i="5"/>
  <c r="Z108" i="5"/>
  <c r="Z115" i="5"/>
  <c r="Z119" i="5"/>
  <c r="Z110" i="5"/>
  <c r="Z129" i="5"/>
  <c r="Z120" i="5"/>
  <c r="Z116" i="5"/>
  <c r="Z111" i="5"/>
  <c r="Z114" i="5"/>
  <c r="Z130" i="5"/>
  <c r="Z113" i="5"/>
  <c r="Z109" i="5"/>
  <c r="Z122" i="5"/>
  <c r="Z123" i="5"/>
  <c r="Z126" i="5"/>
  <c r="Z107" i="5"/>
  <c r="AC51" i="7"/>
  <c r="AC50" i="7"/>
  <c r="AC117" i="7"/>
  <c r="Y777" i="6"/>
  <c r="AA119" i="7"/>
  <c r="AA120" i="7"/>
  <c r="Z126" i="7"/>
  <c r="X168" i="5"/>
  <c r="Y168" i="5" s="1"/>
  <c r="W187" i="5"/>
  <c r="W171" i="5"/>
  <c r="W193" i="5"/>
  <c r="W178" i="5"/>
  <c r="W194" i="5"/>
  <c r="W175" i="5"/>
  <c r="W173" i="5"/>
  <c r="W174" i="5"/>
  <c r="W188" i="5"/>
  <c r="W170" i="5"/>
  <c r="W186" i="5"/>
  <c r="W180" i="5"/>
  <c r="W181" i="5"/>
  <c r="W172" i="5"/>
  <c r="W182" i="5"/>
  <c r="W177" i="5"/>
  <c r="W183" i="5"/>
  <c r="W176" i="5"/>
  <c r="W185" i="5"/>
  <c r="W184" i="5"/>
  <c r="W179" i="5"/>
  <c r="W192" i="5"/>
  <c r="W191" i="5"/>
  <c r="W189" i="5"/>
  <c r="W190" i="5"/>
  <c r="AM23" i="9"/>
  <c r="AM25" i="9" s="1"/>
  <c r="AA23" i="6"/>
  <c r="AS22" i="6"/>
  <c r="AS23" i="6" s="1"/>
  <c r="AI27" i="7"/>
  <c r="S44" i="6"/>
  <c r="S785" i="6" s="1"/>
  <c r="S784" i="6"/>
  <c r="AD51" i="7"/>
  <c r="AD117" i="7"/>
  <c r="AD50" i="7"/>
  <c r="Y37" i="6"/>
  <c r="Z37" i="6" s="1"/>
  <c r="AJ43" i="9"/>
  <c r="AP37" i="6"/>
  <c r="AF48" i="7"/>
  <c r="AF55" i="9"/>
  <c r="AF57" i="9" s="1"/>
  <c r="Y119" i="5"/>
  <c r="Y115" i="5"/>
  <c r="Y120" i="5"/>
  <c r="Y127" i="5"/>
  <c r="Y116" i="5"/>
  <c r="Y126" i="5"/>
  <c r="Y118" i="5"/>
  <c r="Y106" i="5"/>
  <c r="Y117" i="5"/>
  <c r="Y128" i="5"/>
  <c r="Y110" i="5"/>
  <c r="Y125" i="5"/>
  <c r="Y124" i="5"/>
  <c r="Y108" i="5"/>
  <c r="Y114" i="5"/>
  <c r="Y113" i="5"/>
  <c r="Y130" i="5"/>
  <c r="Y112" i="5"/>
  <c r="Y121" i="5"/>
  <c r="Y123" i="5"/>
  <c r="Y107" i="5"/>
  <c r="Y129" i="5"/>
  <c r="Y122" i="5"/>
  <c r="Y109" i="5"/>
  <c r="Y111" i="5"/>
  <c r="S258" i="5"/>
  <c r="S237" i="5"/>
  <c r="S248" i="5"/>
  <c r="S235" i="5"/>
  <c r="S239" i="5"/>
  <c r="S251" i="5"/>
  <c r="T232" i="5"/>
  <c r="S243" i="5"/>
  <c r="S245" i="5"/>
  <c r="S247" i="5"/>
  <c r="S238" i="5"/>
  <c r="S256" i="5"/>
  <c r="S257" i="5"/>
  <c r="S255" i="5"/>
  <c r="S246" i="5"/>
  <c r="S240" i="5"/>
  <c r="S241" i="5"/>
  <c r="S249" i="5"/>
  <c r="S242" i="5"/>
  <c r="S236" i="5"/>
  <c r="S253" i="5"/>
  <c r="S252" i="5"/>
  <c r="S234" i="5"/>
  <c r="S244" i="5"/>
  <c r="S250" i="5"/>
  <c r="S254" i="5"/>
  <c r="R273" i="5"/>
  <c r="R281" i="5"/>
  <c r="R275" i="5"/>
  <c r="R279" i="5"/>
  <c r="R286" i="5"/>
  <c r="R267" i="5"/>
  <c r="R287" i="5"/>
  <c r="R271" i="5"/>
  <c r="R272" i="5"/>
  <c r="R266" i="5"/>
  <c r="R274" i="5"/>
  <c r="R285" i="5"/>
  <c r="R280" i="5"/>
  <c r="R284" i="5"/>
  <c r="R288" i="5"/>
  <c r="R289" i="5"/>
  <c r="R269" i="5"/>
  <c r="S264" i="5"/>
  <c r="R290" i="5"/>
  <c r="R278" i="5"/>
  <c r="R276" i="5"/>
  <c r="R270" i="5"/>
  <c r="R268" i="5"/>
  <c r="R283" i="5"/>
  <c r="R277" i="5"/>
  <c r="R282" i="5"/>
  <c r="AD113" i="7"/>
  <c r="AD114" i="7"/>
  <c r="AF111" i="7"/>
  <c r="AB120" i="7"/>
  <c r="AB119" i="7"/>
  <c r="AE48" i="7"/>
  <c r="W38" i="6"/>
  <c r="W39" i="6" s="1"/>
  <c r="AI43" i="9"/>
  <c r="AI45" i="9" s="1"/>
  <c r="AO37" i="6"/>
  <c r="AO38" i="6" s="1"/>
  <c r="AH101" i="7"/>
  <c r="AH29" i="7"/>
  <c r="AH99" i="7"/>
  <c r="AH102" i="7" s="1"/>
  <c r="AH30" i="7"/>
  <c r="AK29" i="9"/>
  <c r="AK31" i="9" s="1"/>
  <c r="AG33" i="7"/>
  <c r="Y28" i="6"/>
  <c r="Y29" i="6" s="1"/>
  <c r="AQ27" i="6"/>
  <c r="AQ28" i="6" s="1"/>
  <c r="S52" i="6"/>
  <c r="T52" i="6" s="1"/>
  <c r="AD61" i="9"/>
  <c r="AD63" i="9" s="1"/>
  <c r="R53" i="6"/>
  <c r="AJ52" i="6"/>
  <c r="AJ53" i="6" s="1"/>
  <c r="Z69" i="7"/>
  <c r="Y776" i="6"/>
  <c r="AK47" i="6"/>
  <c r="AK48" i="6" s="1"/>
  <c r="X133" i="6"/>
  <c r="AP132" i="6"/>
  <c r="AP133" i="6" s="1"/>
  <c r="Y132" i="6"/>
  <c r="AG101" i="7"/>
  <c r="AG29" i="7"/>
  <c r="AG99" i="7"/>
  <c r="AG102" i="7" s="1"/>
  <c r="AG30" i="7"/>
  <c r="Y71" i="7"/>
  <c r="Y135" i="7"/>
  <c r="Y72" i="7"/>
  <c r="AB22" i="6"/>
  <c r="AF38" i="7"/>
  <c r="AF37" i="7"/>
  <c r="AF105" i="7"/>
  <c r="S309" i="5"/>
  <c r="S311" i="5"/>
  <c r="S312" i="5"/>
  <c r="S306" i="5"/>
  <c r="S310" i="5"/>
  <c r="S301" i="5"/>
  <c r="S321" i="5"/>
  <c r="S304" i="5"/>
  <c r="S320" i="5"/>
  <c r="S316" i="5"/>
  <c r="S300" i="5"/>
  <c r="S317" i="5"/>
  <c r="S302" i="5"/>
  <c r="S322" i="5"/>
  <c r="S308" i="5"/>
  <c r="S298" i="5"/>
  <c r="S319" i="5"/>
  <c r="S307" i="5"/>
  <c r="S314" i="5"/>
  <c r="S299" i="5"/>
  <c r="S318" i="5"/>
  <c r="S315" i="5"/>
  <c r="S305" i="5"/>
  <c r="S313" i="5"/>
  <c r="S303" i="5"/>
  <c r="R318" i="5"/>
  <c r="R300" i="5"/>
  <c r="R307" i="5"/>
  <c r="R308" i="5"/>
  <c r="R317" i="5"/>
  <c r="R316" i="5"/>
  <c r="R309" i="5"/>
  <c r="R305" i="5"/>
  <c r="R322" i="5"/>
  <c r="R320" i="5"/>
  <c r="R303" i="5"/>
  <c r="R299" i="5"/>
  <c r="R306" i="5"/>
  <c r="R298" i="5"/>
  <c r="R304" i="5"/>
  <c r="R315" i="5"/>
  <c r="R312" i="5"/>
  <c r="R302" i="5"/>
  <c r="R301" i="5"/>
  <c r="R319" i="5"/>
  <c r="R314" i="5"/>
  <c r="R310" i="5"/>
  <c r="R321" i="5"/>
  <c r="R311" i="5"/>
  <c r="R313" i="5"/>
  <c r="T296" i="5"/>
  <c r="AK10" i="7"/>
  <c r="AK80" i="7"/>
  <c r="AK83" i="7" s="1"/>
  <c r="AK11" i="7"/>
  <c r="AK82" i="7"/>
  <c r="AZ727" i="6"/>
  <c r="AE8" i="6"/>
  <c r="AM8" i="7"/>
  <c r="AW8" i="6"/>
  <c r="AQ4" i="9"/>
  <c r="AW7" i="6"/>
  <c r="AF7" i="6"/>
  <c r="AC770" i="6"/>
  <c r="AC9" i="6"/>
  <c r="AC771" i="6" s="1"/>
  <c r="AD9" i="6"/>
  <c r="AD771" i="6" s="1"/>
  <c r="AD770" i="6"/>
  <c r="AL82" i="7"/>
  <c r="AL11" i="7"/>
  <c r="AL10" i="7"/>
  <c r="AL80" i="7"/>
  <c r="AL83" i="7" s="1"/>
  <c r="AZ627" i="6"/>
  <c r="Z574" i="6"/>
  <c r="Z771" i="6" s="1"/>
  <c r="Z770" i="6"/>
  <c r="Z629" i="6"/>
  <c r="AA19" i="6"/>
  <c r="AA775" i="6" s="1"/>
  <c r="AA774" i="6"/>
  <c r="AI24" i="7"/>
  <c r="AI95" i="7"/>
  <c r="AI93" i="7"/>
  <c r="AI96" i="7" s="1"/>
  <c r="AI23" i="7"/>
  <c r="Z729" i="6"/>
  <c r="Z772" i="6"/>
  <c r="AC17" i="6"/>
  <c r="AD17" i="6" s="1"/>
  <c r="AB18" i="6"/>
  <c r="AN17" i="9"/>
  <c r="AN19" i="9" s="1"/>
  <c r="AT17" i="6"/>
  <c r="AT18" i="6"/>
  <c r="AJ21" i="7"/>
  <c r="AZ692" i="6"/>
  <c r="Z776" i="6"/>
  <c r="W518" i="6"/>
  <c r="W519" i="6" s="1"/>
  <c r="AO517" i="6"/>
  <c r="AO518" i="6" s="1"/>
  <c r="AS547" i="6"/>
  <c r="AS548" i="6" s="1"/>
  <c r="AA548" i="6"/>
  <c r="AA549" i="6" s="1"/>
  <c r="AO102" i="6"/>
  <c r="AO103" i="6" s="1"/>
  <c r="W103" i="6"/>
  <c r="W104" i="6" s="1"/>
  <c r="AP612" i="6"/>
  <c r="AP613" i="6" s="1"/>
  <c r="X613" i="6"/>
  <c r="X614" i="6" s="1"/>
  <c r="AU697" i="6"/>
  <c r="AU698" i="6" s="1"/>
  <c r="AC698" i="6"/>
  <c r="AC699" i="6" s="1"/>
  <c r="AQ752" i="6"/>
  <c r="V158" i="6"/>
  <c r="V159" i="6" s="1"/>
  <c r="AN157" i="6"/>
  <c r="AN158" i="6" s="1"/>
  <c r="AP507" i="6"/>
  <c r="AP508" i="6" s="1"/>
  <c r="X508" i="6"/>
  <c r="X509" i="6" s="1"/>
  <c r="AA238" i="6"/>
  <c r="AA239" i="6" s="1"/>
  <c r="AS237" i="6"/>
  <c r="AS238" i="6" s="1"/>
  <c r="AB243" i="6"/>
  <c r="AB244" i="6" s="1"/>
  <c r="AT242" i="6"/>
  <c r="AT243" i="6" s="1"/>
  <c r="AB648" i="6"/>
  <c r="AB649" i="6" s="1"/>
  <c r="AT647" i="6"/>
  <c r="AT648" i="6" s="1"/>
  <c r="AA653" i="6"/>
  <c r="AA654" i="6" s="1"/>
  <c r="AS652" i="6"/>
  <c r="AS653" i="6" s="1"/>
  <c r="AA98" i="6"/>
  <c r="AA99" i="6" s="1"/>
  <c r="AS97" i="6"/>
  <c r="AS98" i="6" s="1"/>
  <c r="AN107" i="6"/>
  <c r="AN108" i="6" s="1"/>
  <c r="V108" i="6"/>
  <c r="V109" i="6" s="1"/>
  <c r="AQ292" i="6"/>
  <c r="AQ142" i="6"/>
  <c r="AU387" i="6"/>
  <c r="AU388" i="6" s="1"/>
  <c r="AC388" i="6"/>
  <c r="U304" i="6"/>
  <c r="AO343" i="6"/>
  <c r="W708" i="6"/>
  <c r="W709" i="6" s="1"/>
  <c r="AO707" i="6"/>
  <c r="X302" i="6"/>
  <c r="Y302" i="6" s="1"/>
  <c r="AP552" i="6"/>
  <c r="U199" i="6"/>
  <c r="AK358" i="6"/>
  <c r="AK308" i="6"/>
  <c r="AP202" i="6"/>
  <c r="AP203" i="6" s="1"/>
  <c r="X203" i="6"/>
  <c r="X204" i="6" s="1"/>
  <c r="AQ607" i="6"/>
  <c r="U668" i="6"/>
  <c r="U669" i="6" s="1"/>
  <c r="AM667" i="6"/>
  <c r="AM668" i="6" s="1"/>
  <c r="AA57" i="5"/>
  <c r="W563" i="6"/>
  <c r="AO562" i="6"/>
  <c r="Z333" i="6"/>
  <c r="AR332" i="6"/>
  <c r="AR333" i="6" s="1"/>
  <c r="AH332" i="6"/>
  <c r="AN513" i="6"/>
  <c r="AQ602" i="6"/>
  <c r="AR498" i="6"/>
  <c r="W203" i="6"/>
  <c r="W204" i="6" s="1"/>
  <c r="Y202" i="6"/>
  <c r="Z202" i="6" s="1"/>
  <c r="AO202" i="6"/>
  <c r="AQ247" i="6"/>
  <c r="W763" i="6"/>
  <c r="AO762" i="6"/>
  <c r="AO763" i="6" s="1"/>
  <c r="V764" i="6"/>
  <c r="AO657" i="6"/>
  <c r="AO658" i="6" s="1"/>
  <c r="W658" i="6"/>
  <c r="W659" i="6" s="1"/>
  <c r="AP92" i="6"/>
  <c r="X93" i="6"/>
  <c r="X94" i="6" s="1"/>
  <c r="AA438" i="6"/>
  <c r="AA439" i="6" s="1"/>
  <c r="AS437" i="6"/>
  <c r="AS438" i="6" s="1"/>
  <c r="AO397" i="6"/>
  <c r="W398" i="6"/>
  <c r="Z279" i="6"/>
  <c r="AP452" i="6"/>
  <c r="AP453" i="6" s="1"/>
  <c r="X453" i="6"/>
  <c r="AP252" i="6"/>
  <c r="AP253" i="6" s="1"/>
  <c r="X253" i="6"/>
  <c r="X254" i="6" s="1"/>
  <c r="Z252" i="6"/>
  <c r="AA252" i="6" s="1"/>
  <c r="T159" i="6"/>
  <c r="V299" i="6"/>
  <c r="X759" i="6"/>
  <c r="Z142" i="6"/>
  <c r="Z292" i="6"/>
  <c r="AR392" i="6"/>
  <c r="AR393" i="6" s="1"/>
  <c r="Z393" i="6"/>
  <c r="Z394" i="6" s="1"/>
  <c r="AB392" i="6"/>
  <c r="AC392" i="6" s="1"/>
  <c r="Y352" i="6"/>
  <c r="Z352" i="6" s="1"/>
  <c r="AO352" i="6"/>
  <c r="AO353" i="6" s="1"/>
  <c r="W353" i="6"/>
  <c r="W354" i="6" s="1"/>
  <c r="AN713" i="6"/>
  <c r="AL668" i="6"/>
  <c r="AM207" i="6"/>
  <c r="AM208" i="6" s="1"/>
  <c r="W207" i="6"/>
  <c r="X207" i="6" s="1"/>
  <c r="U208" i="6"/>
  <c r="U209" i="6" s="1"/>
  <c r="X707" i="6"/>
  <c r="U567" i="6"/>
  <c r="V567" i="6" s="1"/>
  <c r="AB437" i="6"/>
  <c r="V457" i="6"/>
  <c r="W457" i="6" s="1"/>
  <c r="Z607" i="6"/>
  <c r="AA607" i="6" s="1"/>
  <c r="Z342" i="6"/>
  <c r="AA342" i="6" s="1"/>
  <c r="W759" i="6"/>
  <c r="AL357" i="6"/>
  <c r="AL358" i="6" s="1"/>
  <c r="T358" i="6"/>
  <c r="T359" i="6" s="1"/>
  <c r="AS87" i="6"/>
  <c r="AS88" i="6" s="1"/>
  <c r="AA88" i="6"/>
  <c r="AA89" i="6" s="1"/>
  <c r="AS497" i="6"/>
  <c r="AS498" i="6" s="1"/>
  <c r="AA498" i="6"/>
  <c r="AA499" i="6" s="1"/>
  <c r="AC748" i="6"/>
  <c r="AU747" i="6"/>
  <c r="AU748" i="6" s="1"/>
  <c r="S459" i="6"/>
  <c r="W504" i="6"/>
  <c r="AP147" i="6"/>
  <c r="AP148" i="6" s="1"/>
  <c r="X148" i="6"/>
  <c r="X149" i="6" s="1"/>
  <c r="AO197" i="6"/>
  <c r="AO198" i="6" s="1"/>
  <c r="W198" i="6"/>
  <c r="W199" i="6" s="1"/>
  <c r="U357" i="6"/>
  <c r="AS187" i="6"/>
  <c r="AS188" i="6" s="1"/>
  <c r="AA188" i="6"/>
  <c r="AA189" i="6" s="1"/>
  <c r="V663" i="6"/>
  <c r="V664" i="6" s="1"/>
  <c r="AN662" i="6"/>
  <c r="AB288" i="6"/>
  <c r="AB289" i="6" s="1"/>
  <c r="AT287" i="6"/>
  <c r="AT288" i="6" s="1"/>
  <c r="AM307" i="6"/>
  <c r="AM308" i="6" s="1"/>
  <c r="U308" i="6"/>
  <c r="U309" i="6" s="1"/>
  <c r="U404" i="6"/>
  <c r="U108" i="6"/>
  <c r="W107" i="6"/>
  <c r="X107" i="6" s="1"/>
  <c r="AM107" i="6"/>
  <c r="W443" i="6"/>
  <c r="W444" i="6" s="1"/>
  <c r="AO442" i="6"/>
  <c r="AA648" i="6"/>
  <c r="AS647" i="6"/>
  <c r="AS648" i="6" s="1"/>
  <c r="AC647" i="6"/>
  <c r="V559" i="6"/>
  <c r="AN152" i="6"/>
  <c r="V153" i="6"/>
  <c r="AR137" i="6"/>
  <c r="Z138" i="6"/>
  <c r="AN207" i="6"/>
  <c r="AN208" i="6" s="1"/>
  <c r="V208" i="6"/>
  <c r="V209" i="6" s="1"/>
  <c r="V718" i="6"/>
  <c r="AN717" i="6"/>
  <c r="AN718" i="6" s="1"/>
  <c r="V257" i="6"/>
  <c r="W257" i="6" s="1"/>
  <c r="Z88" i="6"/>
  <c r="Z89" i="6" s="1"/>
  <c r="AR87" i="6"/>
  <c r="AR88" i="6" s="1"/>
  <c r="AB87" i="6"/>
  <c r="AC87" i="6" s="1"/>
  <c r="AB698" i="6"/>
  <c r="AB699" i="6" s="1"/>
  <c r="AT697" i="6"/>
  <c r="AT698" i="6" s="1"/>
  <c r="AD697" i="6"/>
  <c r="X99" i="6"/>
  <c r="AR278" i="6"/>
  <c r="AZ277" i="6"/>
  <c r="T409" i="6"/>
  <c r="V254" i="6"/>
  <c r="X297" i="6"/>
  <c r="Y297" i="6" s="1"/>
  <c r="Y549" i="6"/>
  <c r="AN402" i="6"/>
  <c r="AN403" i="6" s="1"/>
  <c r="X402" i="6"/>
  <c r="Y402" i="6" s="1"/>
  <c r="V403" i="6"/>
  <c r="V404" i="6" s="1"/>
  <c r="AP502" i="6"/>
  <c r="Z502" i="6"/>
  <c r="AA502" i="6" s="1"/>
  <c r="AP712" i="6"/>
  <c r="AP713" i="6" s="1"/>
  <c r="X713" i="6"/>
  <c r="X714" i="6" s="1"/>
  <c r="T669" i="6"/>
  <c r="Y712" i="6"/>
  <c r="Z694" i="6"/>
  <c r="AQ333" i="6"/>
  <c r="W754" i="6"/>
  <c r="W152" i="6"/>
  <c r="AK618" i="6"/>
  <c r="X657" i="6"/>
  <c r="AD747" i="6"/>
  <c r="Z247" i="6"/>
  <c r="AA247" i="6" s="1"/>
  <c r="V307" i="6"/>
  <c r="W307" i="6" s="1"/>
  <c r="Z548" i="6"/>
  <c r="Z549" i="6" s="1"/>
  <c r="AR547" i="6"/>
  <c r="AB547" i="6"/>
  <c r="AC547" i="6" s="1"/>
  <c r="W558" i="6"/>
  <c r="W559" i="6" s="1"/>
  <c r="AO557" i="6"/>
  <c r="AO558" i="6" s="1"/>
  <c r="AQ757" i="6"/>
  <c r="V518" i="6"/>
  <c r="V519" i="6" s="1"/>
  <c r="AN517" i="6"/>
  <c r="AN518" i="6" s="1"/>
  <c r="X517" i="6"/>
  <c r="W303" i="6"/>
  <c r="W304" i="6" s="1"/>
  <c r="AO302" i="6"/>
  <c r="AO303" i="6" s="1"/>
  <c r="W344" i="6"/>
  <c r="AA749" i="6"/>
  <c r="AQ252" i="6"/>
  <c r="AQ253" i="6" s="1"/>
  <c r="Y253" i="6"/>
  <c r="Y254" i="6" s="1"/>
  <c r="AO503" i="6"/>
  <c r="AM198" i="6"/>
  <c r="S359" i="6"/>
  <c r="AT597" i="6"/>
  <c r="AT598" i="6" s="1"/>
  <c r="AB598" i="6"/>
  <c r="AB599" i="6" s="1"/>
  <c r="Y189" i="6"/>
  <c r="Z289" i="6"/>
  <c r="Y147" i="6"/>
  <c r="AQ347" i="6"/>
  <c r="AR192" i="6"/>
  <c r="AR193" i="6" s="1"/>
  <c r="Z193" i="6"/>
  <c r="Z194" i="6" s="1"/>
  <c r="S309" i="6"/>
  <c r="AA393" i="6"/>
  <c r="AA394" i="6" s="1"/>
  <c r="AS392" i="6"/>
  <c r="AS393" i="6" s="1"/>
  <c r="U258" i="6"/>
  <c r="AM257" i="6"/>
  <c r="AQ192" i="6"/>
  <c r="AA192" i="6"/>
  <c r="U408" i="6"/>
  <c r="U409" i="6" s="1"/>
  <c r="AM407" i="6"/>
  <c r="AM408" i="6" s="1"/>
  <c r="V514" i="6"/>
  <c r="AL767" i="6"/>
  <c r="AL768" i="6" s="1"/>
  <c r="T768" i="6"/>
  <c r="AQ648" i="6"/>
  <c r="Z233" i="6"/>
  <c r="AR232" i="6"/>
  <c r="AH232" i="6"/>
  <c r="AN558" i="6"/>
  <c r="S769" i="6"/>
  <c r="T618" i="6"/>
  <c r="AL617" i="6"/>
  <c r="AL618" i="6" s="1"/>
  <c r="AC597" i="6"/>
  <c r="U659" i="6"/>
  <c r="X448" i="6"/>
  <c r="AP447" i="6"/>
  <c r="AP448" i="6" s="1"/>
  <c r="AR97" i="6"/>
  <c r="AB97" i="6"/>
  <c r="AC97" i="6" s="1"/>
  <c r="AL408" i="6"/>
  <c r="AN453" i="6"/>
  <c r="AP752" i="6"/>
  <c r="Z752" i="6"/>
  <c r="Z639" i="6"/>
  <c r="Y452" i="6"/>
  <c r="X442" i="6"/>
  <c r="Y442" i="6" s="1"/>
  <c r="V714" i="6"/>
  <c r="Y92" i="6"/>
  <c r="Z602" i="6"/>
  <c r="S569" i="6"/>
  <c r="X197" i="6"/>
  <c r="AC287" i="6"/>
  <c r="W717" i="6"/>
  <c r="W513" i="6"/>
  <c r="W514" i="6" s="1"/>
  <c r="AO512" i="6"/>
  <c r="AO513" i="6" s="1"/>
  <c r="W157" i="6"/>
  <c r="X157" i="6" s="1"/>
  <c r="U158" i="6"/>
  <c r="U159" i="6" s="1"/>
  <c r="AM157" i="6"/>
  <c r="AM158" i="6" s="1"/>
  <c r="AR702" i="6"/>
  <c r="AR703" i="6" s="1"/>
  <c r="Z703" i="6"/>
  <c r="V103" i="6"/>
  <c r="V104" i="6" s="1"/>
  <c r="AN102" i="6"/>
  <c r="AN103" i="6" s="1"/>
  <c r="X102" i="6"/>
  <c r="Y102" i="6" s="1"/>
  <c r="W508" i="6"/>
  <c r="AO507" i="6"/>
  <c r="Y507" i="6"/>
  <c r="AQ342" i="6"/>
  <c r="Z238" i="6"/>
  <c r="Z239" i="6" s="1"/>
  <c r="AR237" i="6"/>
  <c r="AR238" i="6" s="1"/>
  <c r="AB237" i="6"/>
  <c r="Y612" i="6"/>
  <c r="W613" i="6"/>
  <c r="W614" i="6" s="1"/>
  <c r="AO612" i="6"/>
  <c r="U458" i="6"/>
  <c r="U459" i="6" s="1"/>
  <c r="AM457" i="6"/>
  <c r="AQ502" i="6"/>
  <c r="AQ188" i="6"/>
  <c r="Y552" i="6"/>
  <c r="Z552" i="6" s="1"/>
  <c r="AA243" i="6"/>
  <c r="AA244" i="6" s="1"/>
  <c r="AS242" i="6"/>
  <c r="AC242" i="6"/>
  <c r="W403" i="6"/>
  <c r="W404" i="6" s="1"/>
  <c r="AO402" i="6"/>
  <c r="AO403" i="6" s="1"/>
  <c r="AD338" i="6"/>
  <c r="AD339" i="6" s="1"/>
  <c r="AV337" i="6"/>
  <c r="AH337" i="6"/>
  <c r="X353" i="6"/>
  <c r="X354" i="6" s="1"/>
  <c r="AP352" i="6"/>
  <c r="AP353" i="6" s="1"/>
  <c r="X512" i="6"/>
  <c r="AO297" i="6"/>
  <c r="W298" i="6"/>
  <c r="W299" i="6" s="1"/>
  <c r="T568" i="6"/>
  <c r="T569" i="6" s="1"/>
  <c r="AL567" i="6"/>
  <c r="X557" i="6"/>
  <c r="U767" i="6"/>
  <c r="V767" i="6" s="1"/>
  <c r="AB497" i="6"/>
  <c r="AR652" i="6"/>
  <c r="AR653" i="6" s="1"/>
  <c r="Z653" i="6"/>
  <c r="Z654" i="6" s="1"/>
  <c r="AB652" i="6"/>
  <c r="AD387" i="6"/>
  <c r="X762" i="6"/>
  <c r="AM658" i="6"/>
  <c r="V407" i="6"/>
  <c r="W407" i="6" s="1"/>
  <c r="AL158" i="6"/>
  <c r="Y447" i="6"/>
  <c r="Z757" i="6"/>
  <c r="AA757" i="6" s="1"/>
  <c r="V444" i="6"/>
  <c r="V783" i="6" s="1"/>
  <c r="AA702" i="6"/>
  <c r="V667" i="6"/>
  <c r="V782" i="6"/>
  <c r="W94" i="6"/>
  <c r="U617" i="6"/>
  <c r="X562" i="6"/>
  <c r="Y562" i="6" s="1"/>
  <c r="X397" i="6"/>
  <c r="V614" i="6"/>
  <c r="V709" i="6"/>
  <c r="Z347" i="6"/>
  <c r="AB749" i="6"/>
  <c r="AA137" i="6"/>
  <c r="AB187" i="6"/>
  <c r="W662" i="6"/>
  <c r="S48" i="6" l="1"/>
  <c r="AA58" i="7"/>
  <c r="AL47" i="6"/>
  <c r="AL48" i="6" s="1"/>
  <c r="U47" i="6"/>
  <c r="V47" i="6" s="1"/>
  <c r="V48" i="6" s="1"/>
  <c r="V49" i="6" s="1"/>
  <c r="AA62" i="7"/>
  <c r="AA64" i="7" s="1"/>
  <c r="T48" i="6"/>
  <c r="T49" i="6" s="1"/>
  <c r="T787" i="6" s="1"/>
  <c r="AE55" i="9"/>
  <c r="AE57" i="9" s="1"/>
  <c r="Q788" i="6"/>
  <c r="AC113" i="7"/>
  <c r="Y131" i="7"/>
  <c r="Z64" i="7"/>
  <c r="Z129" i="7"/>
  <c r="Z131" i="7" s="1"/>
  <c r="R786" i="6"/>
  <c r="AB55" i="7"/>
  <c r="AB123" i="7" s="1"/>
  <c r="AA60" i="5"/>
  <c r="AA123" i="7"/>
  <c r="AA126" i="7" s="1"/>
  <c r="AA50" i="5"/>
  <c r="AA54" i="5"/>
  <c r="AF49" i="9"/>
  <c r="AF51" i="9" s="1"/>
  <c r="Z32" i="6"/>
  <c r="AL36" i="9" s="1"/>
  <c r="AL38" i="9" s="1"/>
  <c r="AA51" i="5"/>
  <c r="T43" i="6"/>
  <c r="T784" i="6" s="1"/>
  <c r="AA55" i="5"/>
  <c r="AL42" i="6"/>
  <c r="AL43" i="6" s="1"/>
  <c r="AA58" i="5"/>
  <c r="AA49" i="5"/>
  <c r="AA42" i="5"/>
  <c r="AA66" i="5"/>
  <c r="AA56" i="5"/>
  <c r="AA64" i="5"/>
  <c r="AA45" i="5"/>
  <c r="Y33" i="6"/>
  <c r="Y34" i="6" s="1"/>
  <c r="Y781" i="6" s="1"/>
  <c r="AG41" i="7"/>
  <c r="AG43" i="7" s="1"/>
  <c r="AA46" i="5"/>
  <c r="AA44" i="5"/>
  <c r="AA52" i="5"/>
  <c r="AA63" i="5"/>
  <c r="AA61" i="5"/>
  <c r="AA48" i="5"/>
  <c r="AK36" i="9"/>
  <c r="AK38" i="9" s="1"/>
  <c r="AB40" i="5"/>
  <c r="AB45" i="5" s="1"/>
  <c r="AA59" i="5"/>
  <c r="AA47" i="5"/>
  <c r="AA62" i="5"/>
  <c r="AA53" i="5"/>
  <c r="AA43" i="5"/>
  <c r="AA79" i="5"/>
  <c r="AA82" i="5"/>
  <c r="AB89" i="5"/>
  <c r="AB90" i="5"/>
  <c r="AA74" i="5"/>
  <c r="AB86" i="5"/>
  <c r="AB85" i="5"/>
  <c r="AA76" i="5"/>
  <c r="AB79" i="5"/>
  <c r="AB78" i="5"/>
  <c r="AA85" i="5"/>
  <c r="AA78" i="5"/>
  <c r="AB74" i="5"/>
  <c r="AH638" i="6"/>
  <c r="E222" i="6" s="1"/>
  <c r="W149" i="5"/>
  <c r="W152" i="5"/>
  <c r="W151" i="5"/>
  <c r="W142" i="5"/>
  <c r="W140" i="5"/>
  <c r="W160" i="5"/>
  <c r="W159" i="5"/>
  <c r="W162" i="5"/>
  <c r="W157" i="5"/>
  <c r="W144" i="5"/>
  <c r="W161" i="5"/>
  <c r="W147" i="5"/>
  <c r="W139" i="5"/>
  <c r="W156" i="5"/>
  <c r="W158" i="5"/>
  <c r="W143" i="5"/>
  <c r="W150" i="5"/>
  <c r="W138" i="5"/>
  <c r="W141" i="5"/>
  <c r="W153" i="5"/>
  <c r="W154" i="5"/>
  <c r="W146" i="5"/>
  <c r="W145" i="5"/>
  <c r="W155" i="5"/>
  <c r="W148" i="5"/>
  <c r="X136" i="5"/>
  <c r="AZ283" i="6"/>
  <c r="AZ118" i="6"/>
  <c r="AZ268" i="6"/>
  <c r="AZ83" i="6"/>
  <c r="AZ433" i="6"/>
  <c r="AH728" i="6"/>
  <c r="C256" i="6" s="1"/>
  <c r="C258" i="6" s="1"/>
  <c r="AZ478" i="6"/>
  <c r="AZ183" i="6"/>
  <c r="AZ593" i="6"/>
  <c r="AZ383" i="6"/>
  <c r="AZ168" i="6"/>
  <c r="AZ493" i="6"/>
  <c r="AZ573" i="6"/>
  <c r="B71" i="6"/>
  <c r="AZ163" i="6"/>
  <c r="AH278" i="6"/>
  <c r="E103" i="6" s="1"/>
  <c r="V694" i="6"/>
  <c r="W233" i="6"/>
  <c r="W234" i="6" s="1"/>
  <c r="V233" i="6"/>
  <c r="V234" i="6" s="1"/>
  <c r="T729" i="6"/>
  <c r="AN693" i="6"/>
  <c r="AO693" i="6"/>
  <c r="AK728" i="6"/>
  <c r="AL728" i="6"/>
  <c r="S729" i="6"/>
  <c r="W338" i="6"/>
  <c r="W339" i="6" s="1"/>
  <c r="X338" i="6"/>
  <c r="X339" i="6" s="1"/>
  <c r="AH693" i="6"/>
  <c r="F239" i="6" s="1"/>
  <c r="F241" i="6" s="1"/>
  <c r="V333" i="6"/>
  <c r="V334" i="6" s="1"/>
  <c r="W333" i="6"/>
  <c r="AH628" i="6"/>
  <c r="C222" i="6" s="1"/>
  <c r="AK628" i="6"/>
  <c r="AL628" i="6"/>
  <c r="AZ413" i="6"/>
  <c r="R24" i="9"/>
  <c r="E224" i="6"/>
  <c r="S25" i="9"/>
  <c r="T25" i="9"/>
  <c r="D139" i="6"/>
  <c r="AM15" i="7"/>
  <c r="AM18" i="7" s="1"/>
  <c r="AH38" i="7"/>
  <c r="AN15" i="7"/>
  <c r="AN18" i="7" s="1"/>
  <c r="AQ11" i="9"/>
  <c r="AQ13" i="9" s="1"/>
  <c r="AB80" i="5"/>
  <c r="AC72" i="5"/>
  <c r="AC98" i="5" s="1"/>
  <c r="AA98" i="5"/>
  <c r="AA89" i="5"/>
  <c r="AA86" i="5"/>
  <c r="AA90" i="5"/>
  <c r="AB91" i="5"/>
  <c r="AB84" i="5"/>
  <c r="AB97" i="5"/>
  <c r="AB95" i="5"/>
  <c r="AB96" i="5"/>
  <c r="AA91" i="5"/>
  <c r="AA96" i="5"/>
  <c r="AA93" i="5"/>
  <c r="AA95" i="5"/>
  <c r="AA80" i="5"/>
  <c r="AA88" i="5"/>
  <c r="AA83" i="5"/>
  <c r="AB88" i="5"/>
  <c r="AB76" i="5"/>
  <c r="AB98" i="5"/>
  <c r="AB82" i="5"/>
  <c r="AB87" i="5"/>
  <c r="AB92" i="5"/>
  <c r="AA84" i="5"/>
  <c r="AA97" i="5"/>
  <c r="AA87" i="5"/>
  <c r="AA81" i="5"/>
  <c r="AA94" i="5"/>
  <c r="AA75" i="5"/>
  <c r="AA92" i="5"/>
  <c r="AA77" i="5"/>
  <c r="AB75" i="5"/>
  <c r="AB83" i="5"/>
  <c r="AB81" i="5"/>
  <c r="AB94" i="5"/>
  <c r="AB77" i="5"/>
  <c r="V203" i="5"/>
  <c r="V207" i="5"/>
  <c r="V212" i="5"/>
  <c r="V208" i="5"/>
  <c r="V218" i="5"/>
  <c r="V223" i="5"/>
  <c r="V204" i="5"/>
  <c r="V226" i="5"/>
  <c r="V224" i="5"/>
  <c r="V214" i="5"/>
  <c r="V206" i="5"/>
  <c r="V221" i="5"/>
  <c r="W200" i="5"/>
  <c r="W226" i="5" s="1"/>
  <c r="V213" i="5"/>
  <c r="V220" i="5"/>
  <c r="V211" i="5"/>
  <c r="V209" i="5"/>
  <c r="V225" i="5"/>
  <c r="V205" i="5"/>
  <c r="V202" i="5"/>
  <c r="V222" i="5"/>
  <c r="V216" i="5"/>
  <c r="V217" i="5"/>
  <c r="V210" i="5"/>
  <c r="V219" i="5"/>
  <c r="V215" i="5"/>
  <c r="AB27" i="6"/>
  <c r="AB28" i="6" s="1"/>
  <c r="AM29" i="9"/>
  <c r="AM31" i="9" s="1"/>
  <c r="AD14" i="6"/>
  <c r="AD773" i="6" s="1"/>
  <c r="AW12" i="6"/>
  <c r="AW13" i="6" s="1"/>
  <c r="AX12" i="6"/>
  <c r="AX13" i="6" s="1"/>
  <c r="AR11" i="9"/>
  <c r="AR13" i="9" s="1"/>
  <c r="AH37" i="7"/>
  <c r="AG12" i="6"/>
  <c r="AG13" i="6" s="1"/>
  <c r="AE13" i="6"/>
  <c r="AE14" i="6" s="1"/>
  <c r="AE773" i="6" s="1"/>
  <c r="AA28" i="6"/>
  <c r="AA778" i="6" s="1"/>
  <c r="AL18" i="7"/>
  <c r="AD4" i="5"/>
  <c r="AC11" i="5"/>
  <c r="AC20" i="5"/>
  <c r="AC33" i="5"/>
  <c r="AC32" i="5"/>
  <c r="AC15" i="5"/>
  <c r="AC30" i="5"/>
  <c r="AC14" i="5"/>
  <c r="AC22" i="5"/>
  <c r="AC25" i="5"/>
  <c r="AC28" i="5"/>
  <c r="AC26" i="5"/>
  <c r="AC12" i="5"/>
  <c r="AC27" i="5"/>
  <c r="AC21" i="5"/>
  <c r="AC31" i="5"/>
  <c r="AC10" i="5"/>
  <c r="AC19" i="5"/>
  <c r="AC34" i="5"/>
  <c r="AC17" i="5"/>
  <c r="AC18" i="5"/>
  <c r="AC23" i="5"/>
  <c r="AC29" i="5"/>
  <c r="AC16" i="5"/>
  <c r="AC24" i="5"/>
  <c r="AC13" i="5"/>
  <c r="AL89" i="7"/>
  <c r="AL17" i="7"/>
  <c r="Z773" i="6"/>
  <c r="AI33" i="7"/>
  <c r="AI105" i="7" s="1"/>
  <c r="AZ332" i="6"/>
  <c r="W47" i="6"/>
  <c r="X47" i="6" s="1"/>
  <c r="AD119" i="7"/>
  <c r="AD120" i="7"/>
  <c r="AF107" i="7"/>
  <c r="AF108" i="7"/>
  <c r="R54" i="6"/>
  <c r="R789" i="6" s="1"/>
  <c r="R788" i="6"/>
  <c r="AG38" i="7"/>
  <c r="AG37" i="7"/>
  <c r="AG105" i="7"/>
  <c r="AF117" i="7"/>
  <c r="AA776" i="6"/>
  <c r="AA24" i="6"/>
  <c r="AA777" i="6" s="1"/>
  <c r="Z168" i="5"/>
  <c r="AA168" i="5" s="1"/>
  <c r="Y180" i="5"/>
  <c r="Y190" i="5"/>
  <c r="Y187" i="5"/>
  <c r="Y172" i="5"/>
  <c r="Y185" i="5"/>
  <c r="Y170" i="5"/>
  <c r="Y192" i="5"/>
  <c r="Y173" i="5"/>
  <c r="Y193" i="5"/>
  <c r="Y171" i="5"/>
  <c r="Y176" i="5"/>
  <c r="Y186" i="5"/>
  <c r="Y194" i="5"/>
  <c r="Y183" i="5"/>
  <c r="Y188" i="5"/>
  <c r="Y189" i="5"/>
  <c r="Y191" i="5"/>
  <c r="Y174" i="5"/>
  <c r="Y177" i="5"/>
  <c r="Y182" i="5"/>
  <c r="Y179" i="5"/>
  <c r="Y184" i="5"/>
  <c r="Y178" i="5"/>
  <c r="Y175" i="5"/>
  <c r="Y181" i="5"/>
  <c r="X184" i="5"/>
  <c r="X183" i="5"/>
  <c r="X186" i="5"/>
  <c r="X190" i="5"/>
  <c r="X178" i="5"/>
  <c r="X193" i="5"/>
  <c r="X189" i="5"/>
  <c r="X192" i="5"/>
  <c r="X179" i="5"/>
  <c r="X171" i="5"/>
  <c r="X175" i="5"/>
  <c r="X174" i="5"/>
  <c r="X173" i="5"/>
  <c r="X187" i="5"/>
  <c r="X185" i="5"/>
  <c r="X177" i="5"/>
  <c r="X180" i="5"/>
  <c r="X182" i="5"/>
  <c r="X191" i="5"/>
  <c r="X194" i="5"/>
  <c r="X170" i="5"/>
  <c r="X181" i="5"/>
  <c r="X172" i="5"/>
  <c r="X188" i="5"/>
  <c r="X176" i="5"/>
  <c r="AC119" i="7"/>
  <c r="AC120" i="7"/>
  <c r="AC104" i="5"/>
  <c r="AD104" i="5" s="1"/>
  <c r="AB125" i="5"/>
  <c r="AB106" i="5"/>
  <c r="AB117" i="5"/>
  <c r="AB118" i="5"/>
  <c r="AB111" i="5"/>
  <c r="AB130" i="5"/>
  <c r="AB128" i="5"/>
  <c r="AB116" i="5"/>
  <c r="AB120" i="5"/>
  <c r="AB119" i="5"/>
  <c r="AB121" i="5"/>
  <c r="AB113" i="5"/>
  <c r="AB123" i="5"/>
  <c r="AB126" i="5"/>
  <c r="AB127" i="5"/>
  <c r="AB114" i="5"/>
  <c r="AB112" i="5"/>
  <c r="AB110" i="5"/>
  <c r="AB122" i="5"/>
  <c r="AB124" i="5"/>
  <c r="AB115" i="5"/>
  <c r="AB109" i="5"/>
  <c r="AB107" i="5"/>
  <c r="AB108" i="5"/>
  <c r="AB129" i="5"/>
  <c r="AB23" i="6"/>
  <c r="AT22" i="6"/>
  <c r="AT23" i="6" s="1"/>
  <c r="AJ27" i="7"/>
  <c r="AN23" i="9"/>
  <c r="AN25" i="9" s="1"/>
  <c r="AC55" i="7"/>
  <c r="U43" i="6"/>
  <c r="AG49" i="9"/>
  <c r="AG51" i="9" s="1"/>
  <c r="AM42" i="6"/>
  <c r="AM43" i="6" s="1"/>
  <c r="U296" i="5"/>
  <c r="T320" i="5"/>
  <c r="T304" i="5"/>
  <c r="T313" i="5"/>
  <c r="T318" i="5"/>
  <c r="T303" i="5"/>
  <c r="T309" i="5"/>
  <c r="T321" i="5"/>
  <c r="T314" i="5"/>
  <c r="T301" i="5"/>
  <c r="T310" i="5"/>
  <c r="T317" i="5"/>
  <c r="T305" i="5"/>
  <c r="T302" i="5"/>
  <c r="T316" i="5"/>
  <c r="T299" i="5"/>
  <c r="T322" i="5"/>
  <c r="T319" i="5"/>
  <c r="T312" i="5"/>
  <c r="T298" i="5"/>
  <c r="T308" i="5"/>
  <c r="T306" i="5"/>
  <c r="T307" i="5"/>
  <c r="T311" i="5"/>
  <c r="T315" i="5"/>
  <c r="T300" i="5"/>
  <c r="X134" i="6"/>
  <c r="X779" i="6" s="1"/>
  <c r="X778" i="6"/>
  <c r="V42" i="6"/>
  <c r="S49" i="6"/>
  <c r="S787" i="6" s="1"/>
  <c r="S786" i="6"/>
  <c r="Z72" i="7"/>
  <c r="Z71" i="7"/>
  <c r="Z135" i="7"/>
  <c r="AE117" i="7"/>
  <c r="AE51" i="7"/>
  <c r="AE50" i="7"/>
  <c r="AG111" i="7"/>
  <c r="T240" i="5"/>
  <c r="T256" i="5"/>
  <c r="T253" i="5"/>
  <c r="T242" i="5"/>
  <c r="T254" i="5"/>
  <c r="T249" i="5"/>
  <c r="U232" i="5"/>
  <c r="T243" i="5"/>
  <c r="T236" i="5"/>
  <c r="T247" i="5"/>
  <c r="T244" i="5"/>
  <c r="T252" i="5"/>
  <c r="T234" i="5"/>
  <c r="T248" i="5"/>
  <c r="T239" i="5"/>
  <c r="T241" i="5"/>
  <c r="T245" i="5"/>
  <c r="T250" i="5"/>
  <c r="T235" i="5"/>
  <c r="T251" i="5"/>
  <c r="T238" i="5"/>
  <c r="T246" i="5"/>
  <c r="T237" i="5"/>
  <c r="T255" i="5"/>
  <c r="T257" i="5"/>
  <c r="T258" i="5"/>
  <c r="AB65" i="7"/>
  <c r="AB129" i="7"/>
  <c r="AB64" i="7"/>
  <c r="AQ37" i="6"/>
  <c r="AK43" i="9"/>
  <c r="AG48" i="7"/>
  <c r="AA37" i="6"/>
  <c r="AC22" i="6"/>
  <c r="Y133" i="6"/>
  <c r="Z132" i="6"/>
  <c r="AQ132" i="6"/>
  <c r="AQ133" i="6" s="1"/>
  <c r="T53" i="6"/>
  <c r="T54" i="6" s="1"/>
  <c r="AB69" i="7"/>
  <c r="AF61" i="9"/>
  <c r="AF63" i="9" s="1"/>
  <c r="AL52" i="6"/>
  <c r="AL53" i="6" s="1"/>
  <c r="T264" i="5"/>
  <c r="S270" i="5"/>
  <c r="S287" i="5"/>
  <c r="S285" i="5"/>
  <c r="S279" i="5"/>
  <c r="S281" i="5"/>
  <c r="S267" i="5"/>
  <c r="S277" i="5"/>
  <c r="S271" i="5"/>
  <c r="S286" i="5"/>
  <c r="S269" i="5"/>
  <c r="S284" i="5"/>
  <c r="S282" i="5"/>
  <c r="S290" i="5"/>
  <c r="S289" i="5"/>
  <c r="S275" i="5"/>
  <c r="S274" i="5"/>
  <c r="S280" i="5"/>
  <c r="S273" i="5"/>
  <c r="S283" i="5"/>
  <c r="S266" i="5"/>
  <c r="S268" i="5"/>
  <c r="S276" i="5"/>
  <c r="S272" i="5"/>
  <c r="S278" i="5"/>
  <c r="S288" i="5"/>
  <c r="Y138" i="7"/>
  <c r="Y137" i="7"/>
  <c r="AE61" i="9"/>
  <c r="AE63" i="9" s="1"/>
  <c r="AK52" i="6"/>
  <c r="AK53" i="6" s="1"/>
  <c r="S53" i="6"/>
  <c r="AA69" i="7"/>
  <c r="U52" i="6"/>
  <c r="V52" i="6" s="1"/>
  <c r="AR37" i="6"/>
  <c r="AR38" i="6" s="1"/>
  <c r="AL43" i="9"/>
  <c r="AL45" i="9" s="1"/>
  <c r="Z38" i="6"/>
  <c r="Z39" i="6" s="1"/>
  <c r="AH48" i="7"/>
  <c r="AI30" i="7"/>
  <c r="AI101" i="7"/>
  <c r="AI29" i="7"/>
  <c r="AI99" i="7"/>
  <c r="AI102" i="7" s="1"/>
  <c r="AA127" i="5"/>
  <c r="AA122" i="5"/>
  <c r="AA124" i="5"/>
  <c r="AA116" i="5"/>
  <c r="AA115" i="5"/>
  <c r="AA107" i="5"/>
  <c r="AA128" i="5"/>
  <c r="AA106" i="5"/>
  <c r="AA117" i="5"/>
  <c r="AA111" i="5"/>
  <c r="AA130" i="5"/>
  <c r="AA110" i="5"/>
  <c r="AA120" i="5"/>
  <c r="AA119" i="5"/>
  <c r="AA123" i="5"/>
  <c r="AA121" i="5"/>
  <c r="AA109" i="5"/>
  <c r="AA129" i="5"/>
  <c r="AA112" i="5"/>
  <c r="AA126" i="5"/>
  <c r="AA125" i="5"/>
  <c r="AA113" i="5"/>
  <c r="AA118" i="5"/>
  <c r="AA114" i="5"/>
  <c r="AA108" i="5"/>
  <c r="AG7" i="6"/>
  <c r="AH7" i="6" s="1"/>
  <c r="AF8" i="6"/>
  <c r="AN8" i="7"/>
  <c r="AR4" i="9"/>
  <c r="AX8" i="6"/>
  <c r="AX7" i="6"/>
  <c r="AM11" i="7"/>
  <c r="AM82" i="7"/>
  <c r="AM10" i="7"/>
  <c r="AM80" i="7"/>
  <c r="AM83" i="7" s="1"/>
  <c r="AE9" i="6"/>
  <c r="AE771" i="6" s="1"/>
  <c r="AE770" i="6"/>
  <c r="AQ6" i="9"/>
  <c r="W782" i="6"/>
  <c r="AJ23" i="7"/>
  <c r="AJ93" i="7"/>
  <c r="AJ96" i="7" s="1"/>
  <c r="AJ95" i="7"/>
  <c r="AJ24" i="7"/>
  <c r="AB19" i="6"/>
  <c r="AB775" i="6" s="1"/>
  <c r="AB774" i="6"/>
  <c r="AO17" i="9"/>
  <c r="AK21" i="7"/>
  <c r="AU17" i="6"/>
  <c r="AC18" i="6"/>
  <c r="AU18" i="6"/>
  <c r="AE17" i="6"/>
  <c r="AF17" i="6" s="1"/>
  <c r="AD18" i="6"/>
  <c r="AV18" i="6"/>
  <c r="AP17" i="9"/>
  <c r="AP19" i="9" s="1"/>
  <c r="AL21" i="7"/>
  <c r="AV17" i="6"/>
  <c r="Z777" i="6"/>
  <c r="W408" i="6"/>
  <c r="W409" i="6" s="1"/>
  <c r="AO407" i="6"/>
  <c r="AO408" i="6" s="1"/>
  <c r="AR552" i="6"/>
  <c r="AR553" i="6" s="1"/>
  <c r="Z553" i="6"/>
  <c r="Z554" i="6" s="1"/>
  <c r="AP157" i="6"/>
  <c r="AP158" i="6" s="1"/>
  <c r="X158" i="6"/>
  <c r="X159" i="6" s="1"/>
  <c r="AC98" i="6"/>
  <c r="AC99" i="6" s="1"/>
  <c r="AU97" i="6"/>
  <c r="AU98" i="6" s="1"/>
  <c r="AO307" i="6"/>
  <c r="AO308" i="6" s="1"/>
  <c r="W308" i="6"/>
  <c r="W309" i="6" s="1"/>
  <c r="Z203" i="6"/>
  <c r="Z204" i="6" s="1"/>
  <c r="AR202" i="6"/>
  <c r="AR203" i="6" s="1"/>
  <c r="AA758" i="6"/>
  <c r="AS757" i="6"/>
  <c r="AS758" i="6" s="1"/>
  <c r="Y103" i="6"/>
  <c r="Y104" i="6" s="1"/>
  <c r="AQ102" i="6"/>
  <c r="AQ103" i="6" s="1"/>
  <c r="AU547" i="6"/>
  <c r="AU548" i="6" s="1"/>
  <c r="AC548" i="6"/>
  <c r="AC549" i="6" s="1"/>
  <c r="AA248" i="6"/>
  <c r="AA249" i="6" s="1"/>
  <c r="AS247" i="6"/>
  <c r="AS248" i="6" s="1"/>
  <c r="AQ442" i="6"/>
  <c r="AU87" i="6"/>
  <c r="AU88" i="6" s="1"/>
  <c r="AC88" i="6"/>
  <c r="AC89" i="6" s="1"/>
  <c r="AQ562" i="6"/>
  <c r="AQ563" i="6" s="1"/>
  <c r="Y563" i="6"/>
  <c r="Y564" i="6" s="1"/>
  <c r="AN767" i="6"/>
  <c r="AN768" i="6" s="1"/>
  <c r="V768" i="6"/>
  <c r="AP107" i="6"/>
  <c r="AP108" i="6" s="1"/>
  <c r="X108" i="6"/>
  <c r="X109" i="6" s="1"/>
  <c r="AA608" i="6"/>
  <c r="AA609" i="6" s="1"/>
  <c r="AS607" i="6"/>
  <c r="AS608" i="6" s="1"/>
  <c r="AB188" i="6"/>
  <c r="AT187" i="6"/>
  <c r="V668" i="6"/>
  <c r="AN667" i="6"/>
  <c r="AS702" i="6"/>
  <c r="AS703" i="6" s="1"/>
  <c r="AA703" i="6"/>
  <c r="AA704" i="6" s="1"/>
  <c r="AH107" i="7"/>
  <c r="AH108" i="7"/>
  <c r="AB498" i="6"/>
  <c r="AB499" i="6" s="1"/>
  <c r="AT497" i="6"/>
  <c r="AT498" i="6" s="1"/>
  <c r="AP557" i="6"/>
  <c r="X558" i="6"/>
  <c r="X559" i="6" s="1"/>
  <c r="Z353" i="6"/>
  <c r="Z354" i="6" s="1"/>
  <c r="AR352" i="6"/>
  <c r="AR353" i="6" s="1"/>
  <c r="AQ612" i="6"/>
  <c r="AQ613" i="6" s="1"/>
  <c r="Y613" i="6"/>
  <c r="AQ507" i="6"/>
  <c r="AB702" i="6"/>
  <c r="Y512" i="6"/>
  <c r="Z512" i="6" s="1"/>
  <c r="AR602" i="6"/>
  <c r="AR603" i="6" s="1"/>
  <c r="Z603" i="6"/>
  <c r="Z604" i="6" s="1"/>
  <c r="Y93" i="6"/>
  <c r="AQ92" i="6"/>
  <c r="AQ93" i="6" s="1"/>
  <c r="Y453" i="6"/>
  <c r="Y454" i="6" s="1"/>
  <c r="AQ452" i="6"/>
  <c r="Z753" i="6"/>
  <c r="AR752" i="6"/>
  <c r="AR753" i="6" s="1"/>
  <c r="AU597" i="6"/>
  <c r="AU598" i="6" s="1"/>
  <c r="AC598" i="6"/>
  <c r="AC599" i="6" s="1"/>
  <c r="Z234" i="6"/>
  <c r="AO257" i="6"/>
  <c r="AO258" i="6" s="1"/>
  <c r="W258" i="6"/>
  <c r="W259" i="6" s="1"/>
  <c r="AA253" i="6"/>
  <c r="AA254" i="6" s="1"/>
  <c r="AS252" i="6"/>
  <c r="AS253" i="6" s="1"/>
  <c r="AP517" i="6"/>
  <c r="X518" i="6"/>
  <c r="X519" i="6" s="1"/>
  <c r="Y557" i="6"/>
  <c r="AR502" i="6"/>
  <c r="AR503" i="6" s="1"/>
  <c r="Z503" i="6"/>
  <c r="Z504" i="6" s="1"/>
  <c r="AB502" i="6"/>
  <c r="AC502" i="6" s="1"/>
  <c r="AP402" i="6"/>
  <c r="Z402" i="6"/>
  <c r="AA402" i="6" s="1"/>
  <c r="X403" i="6"/>
  <c r="X404" i="6" s="1"/>
  <c r="V719" i="6"/>
  <c r="AR138" i="6"/>
  <c r="AN153" i="6"/>
  <c r="AA649" i="6"/>
  <c r="X662" i="6"/>
  <c r="Y662" i="6" s="1"/>
  <c r="AC497" i="6"/>
  <c r="AD497" i="6" s="1"/>
  <c r="AP707" i="6"/>
  <c r="AP708" i="6" s="1"/>
  <c r="X708" i="6"/>
  <c r="Z293" i="6"/>
  <c r="Z294" i="6" s="1"/>
  <c r="AR292" i="6"/>
  <c r="Z143" i="6"/>
  <c r="Z144" i="6" s="1"/>
  <c r="AR142" i="6"/>
  <c r="AR143" i="6" s="1"/>
  <c r="AO398" i="6"/>
  <c r="Z334" i="6"/>
  <c r="AO563" i="6"/>
  <c r="Z302" i="6"/>
  <c r="AA302" i="6" s="1"/>
  <c r="AP302" i="6"/>
  <c r="X303" i="6"/>
  <c r="X304" i="6" s="1"/>
  <c r="AC389" i="6"/>
  <c r="AR347" i="6"/>
  <c r="AA138" i="6"/>
  <c r="AS137" i="6"/>
  <c r="AS138" i="6" s="1"/>
  <c r="AM617" i="6"/>
  <c r="AM618" i="6" s="1"/>
  <c r="U618" i="6"/>
  <c r="U619" i="6" s="1"/>
  <c r="AN407" i="6"/>
  <c r="X407" i="6"/>
  <c r="Y407" i="6" s="1"/>
  <c r="V408" i="6"/>
  <c r="V409" i="6" s="1"/>
  <c r="AP762" i="6"/>
  <c r="X763" i="6"/>
  <c r="AB653" i="6"/>
  <c r="AB654" i="6" s="1"/>
  <c r="AT652" i="6"/>
  <c r="AT653" i="6" s="1"/>
  <c r="AL568" i="6"/>
  <c r="AO298" i="6"/>
  <c r="AQ402" i="6"/>
  <c r="AQ403" i="6" s="1"/>
  <c r="Y403" i="6"/>
  <c r="Y404" i="6" s="1"/>
  <c r="AO457" i="6"/>
  <c r="AO458" i="6" s="1"/>
  <c r="W458" i="6"/>
  <c r="W459" i="6" s="1"/>
  <c r="AO508" i="6"/>
  <c r="Z102" i="6"/>
  <c r="AA102" i="6" s="1"/>
  <c r="AP102" i="6"/>
  <c r="X103" i="6"/>
  <c r="X104" i="6" s="1"/>
  <c r="Z704" i="6"/>
  <c r="AO717" i="6"/>
  <c r="W718" i="6"/>
  <c r="W719" i="6" s="1"/>
  <c r="X449" i="6"/>
  <c r="V617" i="6"/>
  <c r="AM258" i="6"/>
  <c r="AU392" i="6"/>
  <c r="AU393" i="6" s="1"/>
  <c r="AC393" i="6"/>
  <c r="AC394" i="6" s="1"/>
  <c r="AQ147" i="6"/>
  <c r="AD748" i="6"/>
  <c r="AV747" i="6"/>
  <c r="AH747" i="6"/>
  <c r="AP657" i="6"/>
  <c r="X658" i="6"/>
  <c r="W153" i="6"/>
  <c r="W154" i="6" s="1"/>
  <c r="AO152" i="6"/>
  <c r="AO153" i="6" s="1"/>
  <c r="Y713" i="6"/>
  <c r="AQ712" i="6"/>
  <c r="AQ713" i="6" s="1"/>
  <c r="Z712" i="6"/>
  <c r="AV697" i="6"/>
  <c r="AD698" i="6"/>
  <c r="AH697" i="6"/>
  <c r="V258" i="6"/>
  <c r="V259" i="6" s="1"/>
  <c r="X257" i="6"/>
  <c r="AN257" i="6"/>
  <c r="AN258" i="6" s="1"/>
  <c r="AM108" i="6"/>
  <c r="AC187" i="6"/>
  <c r="AT437" i="6"/>
  <c r="AT438" i="6" s="1"/>
  <c r="AB438" i="6"/>
  <c r="AB439" i="6" s="1"/>
  <c r="AO207" i="6"/>
  <c r="AO208" i="6" s="1"/>
  <c r="Y207" i="6"/>
  <c r="Z207" i="6" s="1"/>
  <c r="W208" i="6"/>
  <c r="AB393" i="6"/>
  <c r="AB394" i="6" s="1"/>
  <c r="AT392" i="6"/>
  <c r="AT393" i="6" s="1"/>
  <c r="AD392" i="6"/>
  <c r="AC437" i="6"/>
  <c r="AD437" i="6" s="1"/>
  <c r="AP93" i="6"/>
  <c r="AO203" i="6"/>
  <c r="AA602" i="6"/>
  <c r="AB602" i="6" s="1"/>
  <c r="Y707" i="6"/>
  <c r="Z707" i="6" s="1"/>
  <c r="AA292" i="6"/>
  <c r="AB292" i="6" s="1"/>
  <c r="AF772" i="6"/>
  <c r="AF14" i="6"/>
  <c r="AF773" i="6" s="1"/>
  <c r="Z612" i="6"/>
  <c r="AA612" i="6" s="1"/>
  <c r="Y517" i="6"/>
  <c r="Z517" i="6" s="1"/>
  <c r="X398" i="6"/>
  <c r="X399" i="6" s="1"/>
  <c r="AP397" i="6"/>
  <c r="AP398" i="6" s="1"/>
  <c r="AR757" i="6"/>
  <c r="AB757" i="6"/>
  <c r="AC757" i="6" s="1"/>
  <c r="W767" i="6"/>
  <c r="X767" i="6" s="1"/>
  <c r="U768" i="6"/>
  <c r="AM767" i="6"/>
  <c r="AM768" i="6" s="1"/>
  <c r="AP512" i="6"/>
  <c r="AP513" i="6" s="1"/>
  <c r="X513" i="6"/>
  <c r="X514" i="6" s="1"/>
  <c r="AC243" i="6"/>
  <c r="AC244" i="6" s="1"/>
  <c r="AU242" i="6"/>
  <c r="AU243" i="6" s="1"/>
  <c r="AQ552" i="6"/>
  <c r="AA552" i="6"/>
  <c r="AS502" i="6"/>
  <c r="AS503" i="6" s="1"/>
  <c r="AA503" i="6"/>
  <c r="AA504" i="6" s="1"/>
  <c r="AM458" i="6"/>
  <c r="AO613" i="6"/>
  <c r="AT237" i="6"/>
  <c r="AT238" i="6" s="1"/>
  <c r="AB238" i="6"/>
  <c r="AB239" i="6" s="1"/>
  <c r="AS342" i="6"/>
  <c r="AS343" i="6" s="1"/>
  <c r="AA343" i="6"/>
  <c r="AA344" i="6" s="1"/>
  <c r="W509" i="6"/>
  <c r="AO157" i="6"/>
  <c r="Y157" i="6"/>
  <c r="W158" i="6"/>
  <c r="W159" i="6" s="1"/>
  <c r="AU287" i="6"/>
  <c r="AU288" i="6" s="1"/>
  <c r="AC288" i="6"/>
  <c r="AC289" i="6" s="1"/>
  <c r="AB48" i="5"/>
  <c r="AB55" i="5"/>
  <c r="AB54" i="5"/>
  <c r="AB44" i="5"/>
  <c r="AB52" i="5"/>
  <c r="AB43" i="5"/>
  <c r="AB47" i="5"/>
  <c r="AB58" i="5"/>
  <c r="AB49" i="5"/>
  <c r="AB59" i="5"/>
  <c r="AB57" i="5"/>
  <c r="AB42" i="5"/>
  <c r="AB63" i="5"/>
  <c r="AB98" i="6"/>
  <c r="AB99" i="6" s="1"/>
  <c r="AT97" i="6"/>
  <c r="AT98" i="6" s="1"/>
  <c r="AD97" i="6"/>
  <c r="AE97" i="6" s="1"/>
  <c r="T769" i="6"/>
  <c r="U259" i="6"/>
  <c r="AA347" i="6"/>
  <c r="AD597" i="6"/>
  <c r="AB548" i="6"/>
  <c r="AT547" i="6"/>
  <c r="AT548" i="6" s="1"/>
  <c r="AD547" i="6"/>
  <c r="X307" i="6"/>
  <c r="V308" i="6"/>
  <c r="AN307" i="6"/>
  <c r="AN308" i="6" s="1"/>
  <c r="W783" i="6"/>
  <c r="AB88" i="6"/>
  <c r="AB89" i="6" s="1"/>
  <c r="AT87" i="6"/>
  <c r="AT88" i="6" s="1"/>
  <c r="AD87" i="6"/>
  <c r="AB137" i="6"/>
  <c r="V154" i="6"/>
  <c r="AU647" i="6"/>
  <c r="AU648" i="6" s="1"/>
  <c r="AC648" i="6"/>
  <c r="AC649" i="6" s="1"/>
  <c r="AO107" i="6"/>
  <c r="AO108" i="6" s="1"/>
  <c r="Y107" i="6"/>
  <c r="W108" i="6"/>
  <c r="W109" i="6" s="1"/>
  <c r="AN663" i="6"/>
  <c r="Z147" i="6"/>
  <c r="AR607" i="6"/>
  <c r="AB607" i="6"/>
  <c r="AC607" i="6" s="1"/>
  <c r="U568" i="6"/>
  <c r="U569" i="6" s="1"/>
  <c r="W567" i="6"/>
  <c r="X567" i="6" s="1"/>
  <c r="AM567" i="6"/>
  <c r="AM568" i="6" s="1"/>
  <c r="Z253" i="6"/>
  <c r="Z254" i="6" s="1"/>
  <c r="AR252" i="6"/>
  <c r="AB252" i="6"/>
  <c r="X454" i="6"/>
  <c r="Y397" i="6"/>
  <c r="Z397" i="6" s="1"/>
  <c r="W764" i="6"/>
  <c r="Y203" i="6"/>
  <c r="AQ202" i="6"/>
  <c r="AQ203" i="6" s="1"/>
  <c r="AA202" i="6"/>
  <c r="W564" i="6"/>
  <c r="AO708" i="6"/>
  <c r="AA142" i="6"/>
  <c r="AB142" i="6" s="1"/>
  <c r="AC652" i="6"/>
  <c r="AD242" i="6"/>
  <c r="AE242" i="6" s="1"/>
  <c r="AA752" i="6"/>
  <c r="AO662" i="6"/>
  <c r="AO663" i="6" s="1"/>
  <c r="W663" i="6"/>
  <c r="AP562" i="6"/>
  <c r="AP563" i="6" s="1"/>
  <c r="X563" i="6"/>
  <c r="X564" i="6" s="1"/>
  <c r="Z562" i="6"/>
  <c r="AA562" i="6" s="1"/>
  <c r="AQ447" i="6"/>
  <c r="AV387" i="6"/>
  <c r="AD388" i="6"/>
  <c r="AD389" i="6" s="1"/>
  <c r="AH387" i="6"/>
  <c r="AN567" i="6"/>
  <c r="AN568" i="6" s="1"/>
  <c r="V568" i="6"/>
  <c r="V569" i="6" s="1"/>
  <c r="AQ297" i="6"/>
  <c r="AV338" i="6"/>
  <c r="AZ337" i="6"/>
  <c r="AS243" i="6"/>
  <c r="X198" i="6"/>
  <c r="X199" i="6" s="1"/>
  <c r="AP197" i="6"/>
  <c r="AP442" i="6"/>
  <c r="Z442" i="6"/>
  <c r="Z447" i="6"/>
  <c r="T619" i="6"/>
  <c r="AR233" i="6"/>
  <c r="AZ232" i="6"/>
  <c r="AS192" i="6"/>
  <c r="AS193" i="6" s="1"/>
  <c r="AA193" i="6"/>
  <c r="AA194" i="6" s="1"/>
  <c r="AB192" i="6"/>
  <c r="AC192" i="6" s="1"/>
  <c r="Y303" i="6"/>
  <c r="Y304" i="6" s="1"/>
  <c r="AQ302" i="6"/>
  <c r="AQ303" i="6" s="1"/>
  <c r="AR548" i="6"/>
  <c r="AR247" i="6"/>
  <c r="AB247" i="6"/>
  <c r="X298" i="6"/>
  <c r="X299" i="6" s="1"/>
  <c r="AP297" i="6"/>
  <c r="AP298" i="6" s="1"/>
  <c r="Z297" i="6"/>
  <c r="AA297" i="6" s="1"/>
  <c r="X717" i="6"/>
  <c r="AP207" i="6"/>
  <c r="AP208" i="6" s="1"/>
  <c r="X208" i="6"/>
  <c r="X209" i="6" s="1"/>
  <c r="Z139" i="6"/>
  <c r="X152" i="6"/>
  <c r="Y152" i="6" s="1"/>
  <c r="AO443" i="6"/>
  <c r="U109" i="6"/>
  <c r="AD287" i="6"/>
  <c r="AM357" i="6"/>
  <c r="AM358" i="6" s="1"/>
  <c r="U358" i="6"/>
  <c r="Y197" i="6"/>
  <c r="AC749" i="6"/>
  <c r="V357" i="6"/>
  <c r="AR342" i="6"/>
  <c r="AR343" i="6" s="1"/>
  <c r="Z343" i="6"/>
  <c r="Z344" i="6" s="1"/>
  <c r="AB342" i="6"/>
  <c r="AC342" i="6" s="1"/>
  <c r="V458" i="6"/>
  <c r="V459" i="6" s="1"/>
  <c r="X457" i="6"/>
  <c r="AN457" i="6"/>
  <c r="AN458" i="6" s="1"/>
  <c r="Y353" i="6"/>
  <c r="Y354" i="6" s="1"/>
  <c r="AQ352" i="6"/>
  <c r="AQ353" i="6" s="1"/>
  <c r="AA352" i="6"/>
  <c r="Z452" i="6"/>
  <c r="W399" i="6"/>
  <c r="Z92" i="6"/>
  <c r="Y657" i="6"/>
  <c r="Y762" i="6"/>
  <c r="Z762" i="6" s="1"/>
  <c r="AC40" i="5"/>
  <c r="W667" i="6"/>
  <c r="X667" i="6" s="1"/>
  <c r="AD647" i="6"/>
  <c r="AC237" i="6"/>
  <c r="Z507" i="6"/>
  <c r="T786" i="6" l="1"/>
  <c r="U48" i="6"/>
  <c r="U786" i="6" s="1"/>
  <c r="AN47" i="6"/>
  <c r="AN48" i="6" s="1"/>
  <c r="AM47" i="6"/>
  <c r="AM48" i="6" s="1"/>
  <c r="AD62" i="7"/>
  <c r="AD65" i="7" s="1"/>
  <c r="AC62" i="7"/>
  <c r="AC65" i="7" s="1"/>
  <c r="AH55" i="9"/>
  <c r="AH57" i="9" s="1"/>
  <c r="AG55" i="9"/>
  <c r="AG57" i="9" s="1"/>
  <c r="AA65" i="7"/>
  <c r="AB50" i="5"/>
  <c r="AB61" i="5"/>
  <c r="AB56" i="5"/>
  <c r="AB62" i="5"/>
  <c r="AB64" i="5"/>
  <c r="AB51" i="5"/>
  <c r="AB60" i="5"/>
  <c r="AB65" i="5"/>
  <c r="AB46" i="5"/>
  <c r="AB53" i="5"/>
  <c r="AB66" i="5"/>
  <c r="AA129" i="7"/>
  <c r="AA132" i="7" s="1"/>
  <c r="AG44" i="7"/>
  <c r="Z132" i="7"/>
  <c r="AA125" i="7"/>
  <c r="T44" i="6"/>
  <c r="T785" i="6" s="1"/>
  <c r="AB57" i="7"/>
  <c r="AB58" i="7"/>
  <c r="AR32" i="6"/>
  <c r="AR33" i="6" s="1"/>
  <c r="Z33" i="6"/>
  <c r="Z34" i="6" s="1"/>
  <c r="Z781" i="6" s="1"/>
  <c r="AH41" i="7"/>
  <c r="AH43" i="7" s="1"/>
  <c r="AA32" i="6"/>
  <c r="AI41" i="7" s="1"/>
  <c r="AN89" i="7"/>
  <c r="AN87" i="7"/>
  <c r="AN90" i="7" s="1"/>
  <c r="Y780" i="6"/>
  <c r="Y136" i="5"/>
  <c r="Z136" i="5" s="1"/>
  <c r="X152" i="5"/>
  <c r="X159" i="5"/>
  <c r="X141" i="5"/>
  <c r="X154" i="5"/>
  <c r="X153" i="5"/>
  <c r="X140" i="5"/>
  <c r="X158" i="5"/>
  <c r="X143" i="5"/>
  <c r="X148" i="5"/>
  <c r="X150" i="5"/>
  <c r="X147" i="5"/>
  <c r="X161" i="5"/>
  <c r="X151" i="5"/>
  <c r="X142" i="5"/>
  <c r="X145" i="5"/>
  <c r="X144" i="5"/>
  <c r="X157" i="5"/>
  <c r="X149" i="5"/>
  <c r="X146" i="5"/>
  <c r="X162" i="5"/>
  <c r="X139" i="5"/>
  <c r="X155" i="5"/>
  <c r="X160" i="5"/>
  <c r="X138" i="5"/>
  <c r="X156" i="5"/>
  <c r="AM89" i="7"/>
  <c r="AM17" i="7"/>
  <c r="AH338" i="6"/>
  <c r="G120" i="6" s="1"/>
  <c r="G122" i="6" s="1"/>
  <c r="AZ628" i="6"/>
  <c r="AZ693" i="6"/>
  <c r="E105" i="6"/>
  <c r="C224" i="6"/>
  <c r="AZ728" i="6"/>
  <c r="AH233" i="6"/>
  <c r="F86" i="6" s="1"/>
  <c r="AH333" i="6"/>
  <c r="F120" i="6" s="1"/>
  <c r="AO233" i="6"/>
  <c r="AN233" i="6"/>
  <c r="AO338" i="6"/>
  <c r="AP338" i="6"/>
  <c r="W748" i="6"/>
  <c r="X748" i="6"/>
  <c r="Q8" i="6"/>
  <c r="Q9" i="6" s="1"/>
  <c r="R8" i="6"/>
  <c r="S8" i="6"/>
  <c r="AN333" i="6"/>
  <c r="AO333" i="6"/>
  <c r="W698" i="6"/>
  <c r="W699" i="6" s="1"/>
  <c r="X698" i="6"/>
  <c r="X699" i="6" s="1"/>
  <c r="W334" i="6"/>
  <c r="W388" i="6"/>
  <c r="W389" i="6" s="1"/>
  <c r="X388" i="6"/>
  <c r="X389" i="6" s="1"/>
  <c r="AM87" i="7"/>
  <c r="AM90" i="7" s="1"/>
  <c r="R25" i="9"/>
  <c r="AN17" i="7"/>
  <c r="AN29" i="9"/>
  <c r="AN31" i="9" s="1"/>
  <c r="AJ33" i="7"/>
  <c r="AJ38" i="7" s="1"/>
  <c r="W214" i="5"/>
  <c r="W213" i="5"/>
  <c r="W221" i="5"/>
  <c r="W207" i="5"/>
  <c r="W217" i="5"/>
  <c r="W206" i="5"/>
  <c r="AC75" i="5"/>
  <c r="W209" i="5"/>
  <c r="W208" i="5"/>
  <c r="W205" i="5"/>
  <c r="W210" i="5"/>
  <c r="W215" i="5"/>
  <c r="W202" i="5"/>
  <c r="W212" i="5"/>
  <c r="AC78" i="5"/>
  <c r="AC94" i="5"/>
  <c r="AC96" i="5"/>
  <c r="AC84" i="5"/>
  <c r="AS11" i="9"/>
  <c r="AT11" i="9" s="1"/>
  <c r="AD72" i="5"/>
  <c r="G75" i="5" s="1"/>
  <c r="AC77" i="5"/>
  <c r="AC91" i="5"/>
  <c r="AC85" i="5"/>
  <c r="AC97" i="5"/>
  <c r="AC89" i="5"/>
  <c r="AC76" i="5"/>
  <c r="AC95" i="5"/>
  <c r="AC74" i="5"/>
  <c r="AC80" i="5"/>
  <c r="AC79" i="5"/>
  <c r="AC88" i="5"/>
  <c r="AC82" i="5"/>
  <c r="AC93" i="5"/>
  <c r="AC87" i="5"/>
  <c r="AC90" i="5"/>
  <c r="AC92" i="5"/>
  <c r="AC83" i="5"/>
  <c r="AC86" i="5"/>
  <c r="AC81" i="5"/>
  <c r="AS68" i="9"/>
  <c r="AR68" i="9" s="1"/>
  <c r="AY12" i="6"/>
  <c r="AZ12" i="6" s="1"/>
  <c r="AO15" i="7"/>
  <c r="AO87" i="7" s="1"/>
  <c r="W218" i="5"/>
  <c r="W219" i="5"/>
  <c r="W211" i="5"/>
  <c r="W203" i="5"/>
  <c r="W220" i="5"/>
  <c r="W224" i="5"/>
  <c r="X200" i="5"/>
  <c r="X225" i="5" s="1"/>
  <c r="AH12" i="6"/>
  <c r="W225" i="5"/>
  <c r="W216" i="5"/>
  <c r="W223" i="5"/>
  <c r="W222" i="5"/>
  <c r="W204" i="5"/>
  <c r="AT27" i="6"/>
  <c r="AT28" i="6" s="1"/>
  <c r="AC27" i="6"/>
  <c r="AO29" i="9" s="1"/>
  <c r="AO31" i="9" s="1"/>
  <c r="AI38" i="7"/>
  <c r="AE772" i="6"/>
  <c r="AI37" i="7"/>
  <c r="AA29" i="6"/>
  <c r="AA779" i="6" s="1"/>
  <c r="AO68" i="9"/>
  <c r="AN68" i="9" s="1"/>
  <c r="G22" i="5"/>
  <c r="G28" i="5"/>
  <c r="E21" i="5"/>
  <c r="G17" i="5"/>
  <c r="E32" i="5"/>
  <c r="G15" i="5"/>
  <c r="G16" i="5"/>
  <c r="E29" i="5"/>
  <c r="G24" i="5"/>
  <c r="E27" i="5"/>
  <c r="G23" i="5"/>
  <c r="G25" i="5"/>
  <c r="G10" i="5"/>
  <c r="G11" i="5"/>
  <c r="E22" i="5"/>
  <c r="G30" i="5"/>
  <c r="G32" i="5"/>
  <c r="G19" i="5"/>
  <c r="E23" i="5"/>
  <c r="G18" i="5"/>
  <c r="E14" i="5"/>
  <c r="G31" i="5"/>
  <c r="E31" i="5"/>
  <c r="E19" i="5"/>
  <c r="E18" i="5"/>
  <c r="G14" i="5"/>
  <c r="E24" i="5"/>
  <c r="G13" i="5"/>
  <c r="E30" i="5"/>
  <c r="G29" i="5"/>
  <c r="E11" i="5"/>
  <c r="E12" i="5"/>
  <c r="G26" i="5"/>
  <c r="G27" i="5"/>
  <c r="E28" i="5"/>
  <c r="G33" i="5"/>
  <c r="G20" i="5"/>
  <c r="E10" i="5"/>
  <c r="E15" i="5"/>
  <c r="G34" i="5"/>
  <c r="E26" i="5"/>
  <c r="G12" i="5"/>
  <c r="E17" i="5"/>
  <c r="G21" i="5"/>
  <c r="E25" i="5"/>
  <c r="E34" i="5"/>
  <c r="E16" i="5"/>
  <c r="E33" i="5"/>
  <c r="E20" i="5"/>
  <c r="E13" i="5"/>
  <c r="T788" i="6"/>
  <c r="G114" i="5"/>
  <c r="G129" i="5"/>
  <c r="G118" i="5"/>
  <c r="E127" i="5"/>
  <c r="E120" i="5"/>
  <c r="G123" i="5"/>
  <c r="E124" i="5"/>
  <c r="G113" i="5"/>
  <c r="E129" i="5"/>
  <c r="E116" i="5"/>
  <c r="G110" i="5"/>
  <c r="G111" i="5"/>
  <c r="E111" i="5"/>
  <c r="G116" i="5"/>
  <c r="G126" i="5"/>
  <c r="E123" i="5"/>
  <c r="E110" i="5"/>
  <c r="E109" i="5"/>
  <c r="G109" i="5"/>
  <c r="G121" i="5"/>
  <c r="G108" i="5"/>
  <c r="E107" i="5"/>
  <c r="G124" i="5"/>
  <c r="G127" i="5"/>
  <c r="E118" i="5"/>
  <c r="E122" i="5"/>
  <c r="E128" i="5"/>
  <c r="G106" i="5"/>
  <c r="E126" i="5"/>
  <c r="G119" i="5"/>
  <c r="E113" i="5"/>
  <c r="G117" i="5"/>
  <c r="G112" i="5"/>
  <c r="G128" i="5"/>
  <c r="E112" i="5"/>
  <c r="G107" i="5"/>
  <c r="E106" i="5"/>
  <c r="E108" i="5"/>
  <c r="G120" i="5"/>
  <c r="E121" i="5"/>
  <c r="E119" i="5"/>
  <c r="G130" i="5"/>
  <c r="E117" i="5"/>
  <c r="E114" i="5"/>
  <c r="G125" i="5"/>
  <c r="G115" i="5"/>
  <c r="E115" i="5"/>
  <c r="G122" i="5"/>
  <c r="E125" i="5"/>
  <c r="E130" i="5"/>
  <c r="V786" i="6"/>
  <c r="V787" i="6"/>
  <c r="AD69" i="7"/>
  <c r="V53" i="6"/>
  <c r="V54" i="6" s="1"/>
  <c r="AN52" i="6"/>
  <c r="AN53" i="6" s="1"/>
  <c r="AH61" i="9"/>
  <c r="AH63" i="9" s="1"/>
  <c r="AA135" i="7"/>
  <c r="AA71" i="7"/>
  <c r="AA72" i="7"/>
  <c r="T288" i="5"/>
  <c r="T269" i="5"/>
  <c r="T290" i="5"/>
  <c r="T277" i="5"/>
  <c r="T289" i="5"/>
  <c r="T285" i="5"/>
  <c r="T278" i="5"/>
  <c r="T283" i="5"/>
  <c r="T273" i="5"/>
  <c r="T270" i="5"/>
  <c r="T286" i="5"/>
  <c r="T279" i="5"/>
  <c r="T266" i="5"/>
  <c r="T274" i="5"/>
  <c r="T280" i="5"/>
  <c r="T282" i="5"/>
  <c r="T275" i="5"/>
  <c r="T281" i="5"/>
  <c r="T276" i="5"/>
  <c r="T272" i="5"/>
  <c r="T284" i="5"/>
  <c r="T267" i="5"/>
  <c r="T287" i="5"/>
  <c r="T271" i="5"/>
  <c r="T268" i="5"/>
  <c r="AH49" i="9"/>
  <c r="AH51" i="9" s="1"/>
  <c r="AD55" i="7"/>
  <c r="AN42" i="6"/>
  <c r="AN43" i="6" s="1"/>
  <c r="V43" i="6"/>
  <c r="AP47" i="6"/>
  <c r="AP48" i="6" s="1"/>
  <c r="X48" i="6"/>
  <c r="X49" i="6" s="1"/>
  <c r="AJ55" i="9"/>
  <c r="AJ57" i="9" s="1"/>
  <c r="AF62" i="7"/>
  <c r="S54" i="6"/>
  <c r="S789" i="6" s="1"/>
  <c r="S788" i="6"/>
  <c r="U264" i="5"/>
  <c r="V264" i="5" s="1"/>
  <c r="AG117" i="7"/>
  <c r="AG114" i="7"/>
  <c r="AG113" i="7"/>
  <c r="U304" i="5"/>
  <c r="U309" i="5"/>
  <c r="U322" i="5"/>
  <c r="U298" i="5"/>
  <c r="U315" i="5"/>
  <c r="U300" i="5"/>
  <c r="U312" i="5"/>
  <c r="U310" i="5"/>
  <c r="U319" i="5"/>
  <c r="U311" i="5"/>
  <c r="U318" i="5"/>
  <c r="U305" i="5"/>
  <c r="U313" i="5"/>
  <c r="U308" i="5"/>
  <c r="U314" i="5"/>
  <c r="U307" i="5"/>
  <c r="U316" i="5"/>
  <c r="U320" i="5"/>
  <c r="U302" i="5"/>
  <c r="U317" i="5"/>
  <c r="U306" i="5"/>
  <c r="U301" i="5"/>
  <c r="U303" i="5"/>
  <c r="U321" i="5"/>
  <c r="U299" i="5"/>
  <c r="U44" i="6"/>
  <c r="U785" i="6" s="1"/>
  <c r="U784" i="6"/>
  <c r="AJ29" i="7"/>
  <c r="AJ30" i="7"/>
  <c r="AJ99" i="7"/>
  <c r="AJ102" i="7" s="1"/>
  <c r="AJ101" i="7"/>
  <c r="AC120" i="5"/>
  <c r="AC111" i="5"/>
  <c r="AC114" i="5"/>
  <c r="AC119" i="5"/>
  <c r="AC112" i="5"/>
  <c r="AC118" i="5"/>
  <c r="AC116" i="5"/>
  <c r="AC110" i="5"/>
  <c r="AC109" i="5"/>
  <c r="AC122" i="5"/>
  <c r="AC107" i="5"/>
  <c r="AC123" i="5"/>
  <c r="AC125" i="5"/>
  <c r="AC124" i="5"/>
  <c r="AC130" i="5"/>
  <c r="AC127" i="5"/>
  <c r="AC129" i="5"/>
  <c r="AC117" i="5"/>
  <c r="AC128" i="5"/>
  <c r="AC106" i="5"/>
  <c r="AC126" i="5"/>
  <c r="AC121" i="5"/>
  <c r="AC108" i="5"/>
  <c r="AC115" i="5"/>
  <c r="AC113" i="5"/>
  <c r="AB168" i="5"/>
  <c r="AC168" i="5" s="1"/>
  <c r="AA188" i="5"/>
  <c r="AA171" i="5"/>
  <c r="AA178" i="5"/>
  <c r="AA193" i="5"/>
  <c r="AA187" i="5"/>
  <c r="AA192" i="5"/>
  <c r="AA183" i="5"/>
  <c r="AA194" i="5"/>
  <c r="AA190" i="5"/>
  <c r="AA189" i="5"/>
  <c r="AA181" i="5"/>
  <c r="AA180" i="5"/>
  <c r="AA172" i="5"/>
  <c r="AA173" i="5"/>
  <c r="AA185" i="5"/>
  <c r="AA184" i="5"/>
  <c r="AA170" i="5"/>
  <c r="AA175" i="5"/>
  <c r="AA191" i="5"/>
  <c r="AA179" i="5"/>
  <c r="AA177" i="5"/>
  <c r="AA176" i="5"/>
  <c r="AA182" i="5"/>
  <c r="AA186" i="5"/>
  <c r="AA174" i="5"/>
  <c r="AG108" i="7"/>
  <c r="AG107" i="7"/>
  <c r="AB135" i="7"/>
  <c r="AB72" i="7"/>
  <c r="AB71" i="7"/>
  <c r="AB37" i="6"/>
  <c r="AC37" i="6" s="1"/>
  <c r="AA38" i="6"/>
  <c r="AA39" i="6" s="1"/>
  <c r="AS37" i="6"/>
  <c r="AS38" i="6" s="1"/>
  <c r="AM43" i="9"/>
  <c r="AM45" i="9" s="1"/>
  <c r="AI48" i="7"/>
  <c r="Z133" i="6"/>
  <c r="AR132" i="6"/>
  <c r="AH132" i="6"/>
  <c r="AB131" i="7"/>
  <c r="AB132" i="7"/>
  <c r="AE120" i="7"/>
  <c r="AE119" i="7"/>
  <c r="W42" i="6"/>
  <c r="AC57" i="7"/>
  <c r="AC123" i="7"/>
  <c r="AC58" i="7"/>
  <c r="AH50" i="7"/>
  <c r="AH51" i="7"/>
  <c r="AH117" i="7"/>
  <c r="U53" i="6"/>
  <c r="U54" i="6" s="1"/>
  <c r="AM52" i="6"/>
  <c r="AM53" i="6" s="1"/>
  <c r="AC69" i="7"/>
  <c r="AG61" i="9"/>
  <c r="AG63" i="9" s="1"/>
  <c r="W52" i="6"/>
  <c r="X52" i="6" s="1"/>
  <c r="AB126" i="7"/>
  <c r="AB125" i="7"/>
  <c r="Y134" i="6"/>
  <c r="Y779" i="6" s="1"/>
  <c r="Y778" i="6"/>
  <c r="AO23" i="9"/>
  <c r="AO25" i="9" s="1"/>
  <c r="AK27" i="7"/>
  <c r="AU22" i="6"/>
  <c r="AU23" i="6" s="1"/>
  <c r="AC23" i="6"/>
  <c r="V232" i="5"/>
  <c r="W232" i="5" s="1"/>
  <c r="Z137" i="7"/>
  <c r="Z138" i="7"/>
  <c r="V296" i="5"/>
  <c r="W296" i="5" s="1"/>
  <c r="AD22" i="6"/>
  <c r="AB24" i="6"/>
  <c r="AB777" i="6" s="1"/>
  <c r="AB776" i="6"/>
  <c r="Z189" i="5"/>
  <c r="Z178" i="5"/>
  <c r="Z187" i="5"/>
  <c r="Z193" i="5"/>
  <c r="Z181" i="5"/>
  <c r="Z185" i="5"/>
  <c r="Z180" i="5"/>
  <c r="Z176" i="5"/>
  <c r="Z174" i="5"/>
  <c r="Z175" i="5"/>
  <c r="Z182" i="5"/>
  <c r="Z171" i="5"/>
  <c r="Z194" i="5"/>
  <c r="Z177" i="5"/>
  <c r="Z172" i="5"/>
  <c r="Z186" i="5"/>
  <c r="Z173" i="5"/>
  <c r="Z183" i="5"/>
  <c r="Z170" i="5"/>
  <c r="Z190" i="5"/>
  <c r="Z179" i="5"/>
  <c r="Z192" i="5"/>
  <c r="Z188" i="5"/>
  <c r="Z191" i="5"/>
  <c r="Z184" i="5"/>
  <c r="AO47" i="6"/>
  <c r="AO48" i="6" s="1"/>
  <c r="W48" i="6"/>
  <c r="W49" i="6" s="1"/>
  <c r="AE62" i="7"/>
  <c r="AI55" i="9"/>
  <c r="AI57" i="9" s="1"/>
  <c r="Y47" i="6"/>
  <c r="AN80" i="7"/>
  <c r="AN83" i="7" s="1"/>
  <c r="AN10" i="7"/>
  <c r="AN11" i="7"/>
  <c r="AN82" i="7"/>
  <c r="AR6" i="9"/>
  <c r="AO67" i="9" s="1"/>
  <c r="AN67" i="9" s="1"/>
  <c r="AF770" i="6"/>
  <c r="AF9" i="6"/>
  <c r="AF771" i="6" s="1"/>
  <c r="AY7" i="6"/>
  <c r="AZ7" i="6" s="1"/>
  <c r="AY8" i="6"/>
  <c r="AO8" i="7"/>
  <c r="AP8" i="7" s="1"/>
  <c r="AS4" i="9"/>
  <c r="AT4" i="9" s="1"/>
  <c r="AG8" i="6"/>
  <c r="AL93" i="7"/>
  <c r="AL96" i="7" s="1"/>
  <c r="AL24" i="7"/>
  <c r="AL23" i="7"/>
  <c r="AL95" i="7"/>
  <c r="AD19" i="6"/>
  <c r="AD775" i="6" s="1"/>
  <c r="AD774" i="6"/>
  <c r="AC774" i="6"/>
  <c r="AC19" i="6"/>
  <c r="AC775" i="6" s="1"/>
  <c r="AR17" i="9"/>
  <c r="AR19" i="9" s="1"/>
  <c r="AX17" i="6"/>
  <c r="AF18" i="6"/>
  <c r="AX18" i="6"/>
  <c r="AN21" i="7"/>
  <c r="AW17" i="6"/>
  <c r="AQ17" i="9"/>
  <c r="AQ19" i="9" s="1"/>
  <c r="AW18" i="6"/>
  <c r="AE18" i="6"/>
  <c r="AM21" i="7"/>
  <c r="AG17" i="6"/>
  <c r="AK24" i="7"/>
  <c r="AK93" i="7"/>
  <c r="AK95" i="7"/>
  <c r="AK23" i="7"/>
  <c r="AO19" i="9"/>
  <c r="AU342" i="6"/>
  <c r="AU343" i="6" s="1"/>
  <c r="AC343" i="6"/>
  <c r="AC344" i="6" s="1"/>
  <c r="AW242" i="6"/>
  <c r="AW243" i="6" s="1"/>
  <c r="AE243" i="6"/>
  <c r="AE244" i="6" s="1"/>
  <c r="AE98" i="6"/>
  <c r="AE99" i="6" s="1"/>
  <c r="AW97" i="6"/>
  <c r="AW98" i="6" s="1"/>
  <c r="AB603" i="6"/>
  <c r="AB604" i="6" s="1"/>
  <c r="AT602" i="6"/>
  <c r="AT603" i="6" s="1"/>
  <c r="AV437" i="6"/>
  <c r="AD438" i="6"/>
  <c r="AH437" i="6"/>
  <c r="AD498" i="6"/>
  <c r="AV497" i="6"/>
  <c r="AH497" i="6"/>
  <c r="AQ152" i="6"/>
  <c r="AQ153" i="6" s="1"/>
  <c r="Y153" i="6"/>
  <c r="Y154" i="6" s="1"/>
  <c r="Z518" i="6"/>
  <c r="Z519" i="6" s="1"/>
  <c r="AR517" i="6"/>
  <c r="AR518" i="6" s="1"/>
  <c r="AS562" i="6"/>
  <c r="AS563" i="6" s="1"/>
  <c r="AA563" i="6"/>
  <c r="AA564" i="6" s="1"/>
  <c r="X668" i="6"/>
  <c r="X669" i="6" s="1"/>
  <c r="AP667" i="6"/>
  <c r="AP668" i="6" s="1"/>
  <c r="AS612" i="6"/>
  <c r="AS613" i="6" s="1"/>
  <c r="AA613" i="6"/>
  <c r="AA614" i="6" s="1"/>
  <c r="AB293" i="6"/>
  <c r="AB294" i="6" s="1"/>
  <c r="AT292" i="6"/>
  <c r="AT293" i="6" s="1"/>
  <c r="AR762" i="6"/>
  <c r="AR763" i="6" s="1"/>
  <c r="Z763" i="6"/>
  <c r="AB143" i="6"/>
  <c r="AB144" i="6" s="1"/>
  <c r="AT142" i="6"/>
  <c r="AT143" i="6" s="1"/>
  <c r="AR397" i="6"/>
  <c r="AC608" i="6"/>
  <c r="AC609" i="6" s="1"/>
  <c r="AU607" i="6"/>
  <c r="AU608" i="6" s="1"/>
  <c r="X768" i="6"/>
  <c r="AP767" i="6"/>
  <c r="AP768" i="6" s="1"/>
  <c r="AU757" i="6"/>
  <c r="AU758" i="6" s="1"/>
  <c r="AC758" i="6"/>
  <c r="AR707" i="6"/>
  <c r="AS102" i="6"/>
  <c r="AS103" i="6" s="1"/>
  <c r="AA103" i="6"/>
  <c r="AA104" i="6" s="1"/>
  <c r="Y408" i="6"/>
  <c r="Y409" i="6" s="1"/>
  <c r="AQ407" i="6"/>
  <c r="AQ408" i="6" s="1"/>
  <c r="AR92" i="6"/>
  <c r="Z93" i="6"/>
  <c r="Z94" i="6" s="1"/>
  <c r="AR507" i="6"/>
  <c r="AC58" i="5"/>
  <c r="AC47" i="5"/>
  <c r="AC61" i="5"/>
  <c r="AC43" i="5"/>
  <c r="AC55" i="5"/>
  <c r="AC54" i="5"/>
  <c r="AC59" i="5"/>
  <c r="AC46" i="5"/>
  <c r="AC57" i="5"/>
  <c r="AC51" i="5"/>
  <c r="AC64" i="5"/>
  <c r="AC50" i="5"/>
  <c r="AC48" i="5"/>
  <c r="AC45" i="5"/>
  <c r="AC44" i="5"/>
  <c r="AC52" i="5"/>
  <c r="AC60" i="5"/>
  <c r="AC49" i="5"/>
  <c r="AC53" i="5"/>
  <c r="AC62" i="5"/>
  <c r="AC56" i="5"/>
  <c r="AC63" i="5"/>
  <c r="AC42" i="5"/>
  <c r="AC66" i="5"/>
  <c r="AC65" i="5"/>
  <c r="AD40" i="5"/>
  <c r="AS352" i="6"/>
  <c r="AS353" i="6" s="1"/>
  <c r="AA353" i="6"/>
  <c r="AA354" i="6" s="1"/>
  <c r="AP457" i="6"/>
  <c r="AP458" i="6" s="1"/>
  <c r="X458" i="6"/>
  <c r="X459" i="6" s="1"/>
  <c r="AR297" i="6"/>
  <c r="AB297" i="6"/>
  <c r="AC297" i="6" s="1"/>
  <c r="Z197" i="6"/>
  <c r="AA197" i="6" s="1"/>
  <c r="AP567" i="6"/>
  <c r="AP568" i="6" s="1"/>
  <c r="X568" i="6"/>
  <c r="X569" i="6" s="1"/>
  <c r="AV388" i="6"/>
  <c r="AZ387" i="6"/>
  <c r="AU652" i="6"/>
  <c r="AU653" i="6" s="1"/>
  <c r="AC653" i="6"/>
  <c r="AC654" i="6" s="1"/>
  <c r="AQ107" i="6"/>
  <c r="AQ108" i="6" s="1"/>
  <c r="Y108" i="6"/>
  <c r="AA348" i="6"/>
  <c r="AA349" i="6" s="1"/>
  <c r="AS347" i="6"/>
  <c r="AQ157" i="6"/>
  <c r="AQ158" i="6" s="1"/>
  <c r="Y158" i="6"/>
  <c r="X258" i="6"/>
  <c r="AP257" i="6"/>
  <c r="AP258" i="6" s="1"/>
  <c r="AD699" i="6"/>
  <c r="Z657" i="6"/>
  <c r="AA657" i="6" s="1"/>
  <c r="AV748" i="6"/>
  <c r="AZ747" i="6"/>
  <c r="V618" i="6"/>
  <c r="AN617" i="6"/>
  <c r="AN618" i="6" s="1"/>
  <c r="AO718" i="6"/>
  <c r="AP103" i="6"/>
  <c r="W617" i="6"/>
  <c r="X617" i="6" s="1"/>
  <c r="AB347" i="6"/>
  <c r="AT502" i="6"/>
  <c r="AT503" i="6" s="1"/>
  <c r="AB503" i="6"/>
  <c r="AB504" i="6" s="1"/>
  <c r="AD502" i="6"/>
  <c r="AE502" i="6" s="1"/>
  <c r="Y257" i="6"/>
  <c r="AQ453" i="6"/>
  <c r="Y94" i="6"/>
  <c r="AB703" i="6"/>
  <c r="AT702" i="6"/>
  <c r="AT703" i="6" s="1"/>
  <c r="AB352" i="6"/>
  <c r="AT188" i="6"/>
  <c r="AA759" i="6"/>
  <c r="AU237" i="6"/>
  <c r="AU238" i="6" s="1"/>
  <c r="AC238" i="6"/>
  <c r="AC239" i="6" s="1"/>
  <c r="AQ197" i="6"/>
  <c r="AD288" i="6"/>
  <c r="AV287" i="6"/>
  <c r="AH287" i="6"/>
  <c r="X718" i="6"/>
  <c r="X719" i="6" s="1"/>
  <c r="AP717" i="6"/>
  <c r="AP718" i="6" s="1"/>
  <c r="AT247" i="6"/>
  <c r="AT248" i="6" s="1"/>
  <c r="AB248" i="6"/>
  <c r="AB249" i="6" s="1"/>
  <c r="AC193" i="6"/>
  <c r="AC194" i="6" s="1"/>
  <c r="AU192" i="6"/>
  <c r="AU193" i="6" s="1"/>
  <c r="AR447" i="6"/>
  <c r="AD243" i="6"/>
  <c r="AD244" i="6" s="1"/>
  <c r="AV242" i="6"/>
  <c r="AV243" i="6" s="1"/>
  <c r="AF242" i="6"/>
  <c r="AA203" i="6"/>
  <c r="AA204" i="6" s="1"/>
  <c r="AS202" i="6"/>
  <c r="AS203" i="6" s="1"/>
  <c r="AB608" i="6"/>
  <c r="AB609" i="6" s="1"/>
  <c r="AT607" i="6"/>
  <c r="AD607" i="6"/>
  <c r="AB138" i="6"/>
  <c r="AB139" i="6" s="1"/>
  <c r="AT137" i="6"/>
  <c r="AT138" i="6" s="1"/>
  <c r="V309" i="6"/>
  <c r="AB549" i="6"/>
  <c r="AB778" i="6"/>
  <c r="AB29" i="6"/>
  <c r="AB779" i="6" s="1"/>
  <c r="AO158" i="6"/>
  <c r="AS552" i="6"/>
  <c r="AS553" i="6" s="1"/>
  <c r="AA553" i="6"/>
  <c r="AA554" i="6" s="1"/>
  <c r="Z513" i="6"/>
  <c r="Z514" i="6" s="1"/>
  <c r="AR512" i="6"/>
  <c r="AR513" i="6" s="1"/>
  <c r="AG772" i="6"/>
  <c r="AG14" i="6"/>
  <c r="AG773" i="6" s="1"/>
  <c r="AQ517" i="6"/>
  <c r="AQ518" i="6" s="1"/>
  <c r="Y518" i="6"/>
  <c r="AA517" i="6"/>
  <c r="AV392" i="6"/>
  <c r="AV393" i="6" s="1"/>
  <c r="AD393" i="6"/>
  <c r="AD394" i="6" s="1"/>
  <c r="W209" i="6"/>
  <c r="AV698" i="6"/>
  <c r="AZ697" i="6"/>
  <c r="AR712" i="6"/>
  <c r="Z713" i="6"/>
  <c r="Z714" i="6" s="1"/>
  <c r="Y714" i="6"/>
  <c r="X659" i="6"/>
  <c r="AD749" i="6"/>
  <c r="Z103" i="6"/>
  <c r="AR102" i="6"/>
  <c r="AR103" i="6" s="1"/>
  <c r="AB102" i="6"/>
  <c r="AC102" i="6" s="1"/>
  <c r="AA403" i="6"/>
  <c r="AA404" i="6" s="1"/>
  <c r="AS402" i="6"/>
  <c r="AS403" i="6" s="1"/>
  <c r="AD652" i="6"/>
  <c r="AC137" i="6"/>
  <c r="AP662" i="6"/>
  <c r="AP663" i="6" s="1"/>
  <c r="Z662" i="6"/>
  <c r="AA662" i="6" s="1"/>
  <c r="X663" i="6"/>
  <c r="X664" i="6" s="1"/>
  <c r="AQ557" i="6"/>
  <c r="AP518" i="6"/>
  <c r="Z754" i="6"/>
  <c r="AP558" i="6"/>
  <c r="AC702" i="6"/>
  <c r="AN668" i="6"/>
  <c r="AB189" i="6"/>
  <c r="Z107" i="6"/>
  <c r="AC247" i="6"/>
  <c r="AD247" i="6" s="1"/>
  <c r="AB202" i="6"/>
  <c r="Z157" i="6"/>
  <c r="AB552" i="6"/>
  <c r="AQ762" i="6"/>
  <c r="AQ763" i="6" s="1"/>
  <c r="Y763" i="6"/>
  <c r="AA762" i="6"/>
  <c r="AB762" i="6" s="1"/>
  <c r="AD648" i="6"/>
  <c r="AV647" i="6"/>
  <c r="AH647" i="6"/>
  <c r="Z453" i="6"/>
  <c r="AR452" i="6"/>
  <c r="AR453" i="6" s="1"/>
  <c r="AT342" i="6"/>
  <c r="AT343" i="6" s="1"/>
  <c r="AB343" i="6"/>
  <c r="AB344" i="6" s="1"/>
  <c r="AD342" i="6"/>
  <c r="V358" i="6"/>
  <c r="V359" i="6" s="1"/>
  <c r="AN357" i="6"/>
  <c r="W357" i="6"/>
  <c r="Z152" i="6"/>
  <c r="AP152" i="6"/>
  <c r="AP153" i="6" s="1"/>
  <c r="X153" i="6"/>
  <c r="AR207" i="6"/>
  <c r="AR208" i="6" s="1"/>
  <c r="Z208" i="6"/>
  <c r="Z209" i="6" s="1"/>
  <c r="AA303" i="6"/>
  <c r="AA304" i="6" s="1"/>
  <c r="AS302" i="6"/>
  <c r="AS303" i="6" s="1"/>
  <c r="AB193" i="6"/>
  <c r="AB194" i="6" s="1"/>
  <c r="AT192" i="6"/>
  <c r="AT193" i="6" s="1"/>
  <c r="AD192" i="6"/>
  <c r="AE192" i="6" s="1"/>
  <c r="AP198" i="6"/>
  <c r="AA447" i="6"/>
  <c r="AB447" i="6" s="1"/>
  <c r="W664" i="6"/>
  <c r="AS752" i="6"/>
  <c r="AA753" i="6"/>
  <c r="AQ397" i="6"/>
  <c r="AA397" i="6"/>
  <c r="AT252" i="6"/>
  <c r="AT253" i="6" s="1"/>
  <c r="AB253" i="6"/>
  <c r="AB254" i="6" s="1"/>
  <c r="AP307" i="6"/>
  <c r="X308" i="6"/>
  <c r="X309" i="6" s="1"/>
  <c r="T789" i="6"/>
  <c r="AU502" i="6"/>
  <c r="AU503" i="6" s="1"/>
  <c r="AC503" i="6"/>
  <c r="AC504" i="6" s="1"/>
  <c r="U769" i="6"/>
  <c r="AR612" i="6"/>
  <c r="Z613" i="6"/>
  <c r="Z614" i="6" s="1"/>
  <c r="AB612" i="6"/>
  <c r="AS292" i="6"/>
  <c r="AS293" i="6" s="1"/>
  <c r="AA293" i="6"/>
  <c r="AC292" i="6"/>
  <c r="AD292" i="6" s="1"/>
  <c r="AQ707" i="6"/>
  <c r="AA707" i="6"/>
  <c r="AC438" i="6"/>
  <c r="AC439" i="6" s="1"/>
  <c r="AU437" i="6"/>
  <c r="AU438" i="6" s="1"/>
  <c r="Y208" i="6"/>
  <c r="Y209" i="6" s="1"/>
  <c r="AQ207" i="6"/>
  <c r="AQ208" i="6" s="1"/>
  <c r="AA207" i="6"/>
  <c r="AU187" i="6"/>
  <c r="AU188" i="6" s="1"/>
  <c r="AC188" i="6"/>
  <c r="AC189" i="6" s="1"/>
  <c r="AP658" i="6"/>
  <c r="AE392" i="6"/>
  <c r="AF392" i="6" s="1"/>
  <c r="Y717" i="6"/>
  <c r="X764" i="6"/>
  <c r="AP407" i="6"/>
  <c r="AP408" i="6" s="1"/>
  <c r="Z407" i="6"/>
  <c r="AA407" i="6" s="1"/>
  <c r="X408" i="6"/>
  <c r="AP303" i="6"/>
  <c r="AR293" i="6"/>
  <c r="X709" i="6"/>
  <c r="Z403" i="6"/>
  <c r="AR402" i="6"/>
  <c r="AR403" i="6" s="1"/>
  <c r="AB402" i="6"/>
  <c r="AC252" i="6"/>
  <c r="AD252" i="6" s="1"/>
  <c r="AA92" i="6"/>
  <c r="Y513" i="6"/>
  <c r="Y514" i="6" s="1"/>
  <c r="AQ512" i="6"/>
  <c r="AA512" i="6"/>
  <c r="AA507" i="6"/>
  <c r="AB507" i="6" s="1"/>
  <c r="Y614" i="6"/>
  <c r="Y307" i="6"/>
  <c r="W668" i="6"/>
  <c r="W669" i="6" s="1"/>
  <c r="Y667" i="6"/>
  <c r="AO667" i="6"/>
  <c r="AO668" i="6" s="1"/>
  <c r="AQ657" i="6"/>
  <c r="U359" i="6"/>
  <c r="AI107" i="7"/>
  <c r="AI108" i="7"/>
  <c r="AR442" i="6"/>
  <c r="AR443" i="6" s="1"/>
  <c r="Z443" i="6"/>
  <c r="Z444" i="6" s="1"/>
  <c r="AA298" i="6"/>
  <c r="AA299" i="6" s="1"/>
  <c r="AS297" i="6"/>
  <c r="AS298" i="6" s="1"/>
  <c r="Z563" i="6"/>
  <c r="AR562" i="6"/>
  <c r="AR563" i="6" s="1"/>
  <c r="AB562" i="6"/>
  <c r="AQ662" i="6"/>
  <c r="AQ663" i="6" s="1"/>
  <c r="Y663" i="6"/>
  <c r="Y664" i="6" s="1"/>
  <c r="AA143" i="6"/>
  <c r="AA144" i="6" s="1"/>
  <c r="AS142" i="6"/>
  <c r="AS143" i="6" s="1"/>
  <c r="AC142" i="6"/>
  <c r="AD142" i="6" s="1"/>
  <c r="Y204" i="6"/>
  <c r="AR253" i="6"/>
  <c r="W568" i="6"/>
  <c r="W569" i="6" s="1"/>
  <c r="Y567" i="6"/>
  <c r="AO567" i="6"/>
  <c r="AO568" i="6" s="1"/>
  <c r="AR147" i="6"/>
  <c r="AD88" i="6"/>
  <c r="AD89" i="6" s="1"/>
  <c r="AV87" i="6"/>
  <c r="AV88" i="6" s="1"/>
  <c r="AV547" i="6"/>
  <c r="AD548" i="6"/>
  <c r="AH547" i="6"/>
  <c r="AD598" i="6"/>
  <c r="AV597" i="6"/>
  <c r="AH597" i="6"/>
  <c r="AD98" i="6"/>
  <c r="AD99" i="6" s="1"/>
  <c r="AV97" i="6"/>
  <c r="AF97" i="6"/>
  <c r="AG97" i="6" s="1"/>
  <c r="AD237" i="6"/>
  <c r="W768" i="6"/>
  <c r="AO767" i="6"/>
  <c r="AO768" i="6" s="1"/>
  <c r="Y767" i="6"/>
  <c r="AT757" i="6"/>
  <c r="AT758" i="6" s="1"/>
  <c r="AB758" i="6"/>
  <c r="AD757" i="6"/>
  <c r="AA603" i="6"/>
  <c r="AA604" i="6" s="1"/>
  <c r="AS602" i="6"/>
  <c r="AS603" i="6" s="1"/>
  <c r="AC602" i="6"/>
  <c r="AD602" i="6" s="1"/>
  <c r="AA712" i="6"/>
  <c r="AA147" i="6"/>
  <c r="AB147" i="6" s="1"/>
  <c r="Y457" i="6"/>
  <c r="AP763" i="6"/>
  <c r="AN408" i="6"/>
  <c r="AA139" i="6"/>
  <c r="AR302" i="6"/>
  <c r="AR303" i="6" s="1"/>
  <c r="Z303" i="6"/>
  <c r="Z304" i="6" s="1"/>
  <c r="AB302" i="6"/>
  <c r="AC302" i="6" s="1"/>
  <c r="AU497" i="6"/>
  <c r="AU498" i="6" s="1"/>
  <c r="AC498" i="6"/>
  <c r="AP403" i="6"/>
  <c r="AB752" i="6"/>
  <c r="AC752" i="6" s="1"/>
  <c r="AA452" i="6"/>
  <c r="Z557" i="6"/>
  <c r="V669" i="6"/>
  <c r="AD187" i="6"/>
  <c r="V769" i="6"/>
  <c r="AE87" i="6"/>
  <c r="AA442" i="6"/>
  <c r="AB442" i="6" s="1"/>
  <c r="U49" i="6" l="1"/>
  <c r="U787" i="6" s="1"/>
  <c r="AC64" i="7"/>
  <c r="AD129" i="7"/>
  <c r="AA131" i="7"/>
  <c r="AD64" i="7"/>
  <c r="Z780" i="6"/>
  <c r="AC129" i="7"/>
  <c r="AM36" i="9"/>
  <c r="AM38" i="9" s="1"/>
  <c r="AH44" i="7"/>
  <c r="AH111" i="7"/>
  <c r="AH114" i="7" s="1"/>
  <c r="AB32" i="6"/>
  <c r="AJ41" i="7" s="1"/>
  <c r="AS32" i="6"/>
  <c r="AS33" i="6" s="1"/>
  <c r="AJ105" i="7"/>
  <c r="AA33" i="6"/>
  <c r="AA34" i="6" s="1"/>
  <c r="AA781" i="6" s="1"/>
  <c r="AA136" i="5"/>
  <c r="AB136" i="5" s="1"/>
  <c r="Z146" i="5"/>
  <c r="Z152" i="5"/>
  <c r="Z139" i="5"/>
  <c r="Z160" i="5"/>
  <c r="Z162" i="5"/>
  <c r="Z161" i="5"/>
  <c r="Z158" i="5"/>
  <c r="Z144" i="5"/>
  <c r="Z159" i="5"/>
  <c r="Z150" i="5"/>
  <c r="Z157" i="5"/>
  <c r="Z151" i="5"/>
  <c r="Z155" i="5"/>
  <c r="Z148" i="5"/>
  <c r="Z156" i="5"/>
  <c r="Z145" i="5"/>
  <c r="Z143" i="5"/>
  <c r="Z140" i="5"/>
  <c r="Z147" i="5"/>
  <c r="Z142" i="5"/>
  <c r="Z141" i="5"/>
  <c r="Z153" i="5"/>
  <c r="Z149" i="5"/>
  <c r="Z154" i="5"/>
  <c r="Z138" i="5"/>
  <c r="Y144" i="5"/>
  <c r="Y145" i="5"/>
  <c r="Y153" i="5"/>
  <c r="Y154" i="5"/>
  <c r="Y155" i="5"/>
  <c r="Y143" i="5"/>
  <c r="Y138" i="5"/>
  <c r="Y147" i="5"/>
  <c r="Y159" i="5"/>
  <c r="Y156" i="5"/>
  <c r="Y140" i="5"/>
  <c r="Y152" i="5"/>
  <c r="Y162" i="5"/>
  <c r="Y149" i="5"/>
  <c r="Y139" i="5"/>
  <c r="Y151" i="5"/>
  <c r="Y148" i="5"/>
  <c r="Y141" i="5"/>
  <c r="Y142" i="5"/>
  <c r="Y150" i="5"/>
  <c r="Y146" i="5"/>
  <c r="Y160" i="5"/>
  <c r="Y157" i="5"/>
  <c r="Y158" i="5"/>
  <c r="Y161" i="5"/>
  <c r="AH388" i="6"/>
  <c r="G137" i="6" s="1"/>
  <c r="G139" i="6" s="1"/>
  <c r="AH748" i="6"/>
  <c r="G256" i="6" s="1"/>
  <c r="AH698" i="6"/>
  <c r="G239" i="6" s="1"/>
  <c r="G241" i="6" s="1"/>
  <c r="AZ333" i="6"/>
  <c r="AZ233" i="6"/>
  <c r="AZ338" i="6"/>
  <c r="F88" i="6"/>
  <c r="F122" i="6"/>
  <c r="Q770" i="6"/>
  <c r="P8" i="6"/>
  <c r="P9" i="6" s="1"/>
  <c r="P10" i="6" s="1"/>
  <c r="P11" i="6" s="1"/>
  <c r="P12" i="6" s="1"/>
  <c r="P13" i="6" s="1"/>
  <c r="P14" i="6" s="1"/>
  <c r="P15" i="6" s="1"/>
  <c r="P16" i="6" s="1"/>
  <c r="P17" i="6" s="1"/>
  <c r="P18" i="6" s="1"/>
  <c r="P19" i="6" s="1"/>
  <c r="P20" i="6" s="1"/>
  <c r="P21" i="6" s="1"/>
  <c r="P22" i="6" s="1"/>
  <c r="P23" i="6" s="1"/>
  <c r="P24" i="6" s="1"/>
  <c r="P25" i="6" s="1"/>
  <c r="P26" i="6" s="1"/>
  <c r="P27" i="6" s="1"/>
  <c r="P28" i="6" s="1"/>
  <c r="P29" i="6" s="1"/>
  <c r="P60" i="6" s="1"/>
  <c r="P61" i="6" s="1"/>
  <c r="P62" i="6" s="1"/>
  <c r="P63" i="6" s="1"/>
  <c r="P64" i="6" s="1"/>
  <c r="P65" i="6" s="1"/>
  <c r="P66" i="6" s="1"/>
  <c r="P67" i="6" s="1"/>
  <c r="P68" i="6" s="1"/>
  <c r="P69" i="6" s="1"/>
  <c r="P70" i="6" s="1"/>
  <c r="P71" i="6" s="1"/>
  <c r="P72" i="6" s="1"/>
  <c r="P73" i="6" s="1"/>
  <c r="P74" i="6" s="1"/>
  <c r="P75" i="6" s="1"/>
  <c r="P76" i="6" s="1"/>
  <c r="P77" i="6" s="1"/>
  <c r="P78" i="6" s="1"/>
  <c r="P79" i="6" s="1"/>
  <c r="P80" i="6" s="1"/>
  <c r="P81" i="6" s="1"/>
  <c r="P82" i="6" s="1"/>
  <c r="P83" i="6" s="1"/>
  <c r="P84" i="6" s="1"/>
  <c r="P85" i="6" s="1"/>
  <c r="P86" i="6" s="1"/>
  <c r="P87" i="6" s="1"/>
  <c r="P88" i="6" s="1"/>
  <c r="P89" i="6" s="1"/>
  <c r="P90" i="6" s="1"/>
  <c r="P91" i="6" s="1"/>
  <c r="P92" i="6" s="1"/>
  <c r="P93" i="6" s="1"/>
  <c r="P94" i="6" s="1"/>
  <c r="P95" i="6" s="1"/>
  <c r="P96" i="6" s="1"/>
  <c r="P97" i="6" s="1"/>
  <c r="P98" i="6" s="1"/>
  <c r="P99" i="6" s="1"/>
  <c r="P100" i="6" s="1"/>
  <c r="P101" i="6" s="1"/>
  <c r="P102" i="6" s="1"/>
  <c r="P103" i="6" s="1"/>
  <c r="P104" i="6" s="1"/>
  <c r="P105" i="6" s="1"/>
  <c r="P106" i="6" s="1"/>
  <c r="P107" i="6" s="1"/>
  <c r="P108" i="6" s="1"/>
  <c r="P109" i="6" s="1"/>
  <c r="P110" i="6" s="1"/>
  <c r="P111" i="6" s="1"/>
  <c r="P112" i="6" s="1"/>
  <c r="P113" i="6" s="1"/>
  <c r="P114" i="6" s="1"/>
  <c r="P115" i="6" s="1"/>
  <c r="P116" i="6" s="1"/>
  <c r="P117" i="6" s="1"/>
  <c r="P118" i="6" s="1"/>
  <c r="P119" i="6" s="1"/>
  <c r="P120" i="6" s="1"/>
  <c r="P121" i="6" s="1"/>
  <c r="P122" i="6" s="1"/>
  <c r="P123" i="6" s="1"/>
  <c r="P124" i="6" s="1"/>
  <c r="P125" i="6" s="1"/>
  <c r="P126" i="6" s="1"/>
  <c r="P127" i="6" s="1"/>
  <c r="P128" i="6" s="1"/>
  <c r="P129" i="6" s="1"/>
  <c r="P130" i="6" s="1"/>
  <c r="P131" i="6" s="1"/>
  <c r="P132" i="6" s="1"/>
  <c r="P133" i="6" s="1"/>
  <c r="P134" i="6" s="1"/>
  <c r="P135" i="6" s="1"/>
  <c r="P136" i="6" s="1"/>
  <c r="P137" i="6" s="1"/>
  <c r="P138" i="6" s="1"/>
  <c r="P139" i="6" s="1"/>
  <c r="P140" i="6" s="1"/>
  <c r="P141" i="6" s="1"/>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P166" i="6" s="1"/>
  <c r="P167" i="6" s="1"/>
  <c r="P168" i="6" s="1"/>
  <c r="P169" i="6" s="1"/>
  <c r="P170" i="6" s="1"/>
  <c r="P171" i="6" s="1"/>
  <c r="P172" i="6" s="1"/>
  <c r="P173" i="6" s="1"/>
  <c r="P174" i="6" s="1"/>
  <c r="P175" i="6" s="1"/>
  <c r="P176" i="6" s="1"/>
  <c r="P177" i="6" s="1"/>
  <c r="P178" i="6" s="1"/>
  <c r="P179" i="6" s="1"/>
  <c r="P180" i="6" s="1"/>
  <c r="P181" i="6" s="1"/>
  <c r="P182" i="6" s="1"/>
  <c r="P183" i="6" s="1"/>
  <c r="P184" i="6" s="1"/>
  <c r="P210" i="6" s="1"/>
  <c r="P211" i="6" s="1"/>
  <c r="P212" i="6" s="1"/>
  <c r="P213" i="6" s="1"/>
  <c r="P214" i="6" s="1"/>
  <c r="P215" i="6" s="1"/>
  <c r="P216" i="6" s="1"/>
  <c r="P217" i="6" s="1"/>
  <c r="P218" i="6" s="1"/>
  <c r="P219" i="6" s="1"/>
  <c r="P220" i="6" s="1"/>
  <c r="P221" i="6" s="1"/>
  <c r="P222" i="6" s="1"/>
  <c r="P223" i="6" s="1"/>
  <c r="P224" i="6" s="1"/>
  <c r="P225" i="6" s="1"/>
  <c r="P226" i="6" s="1"/>
  <c r="P227" i="6" s="1"/>
  <c r="P228" i="6" s="1"/>
  <c r="P229" i="6" s="1"/>
  <c r="P230" i="6" s="1"/>
  <c r="P231" i="6" s="1"/>
  <c r="P232" i="6" s="1"/>
  <c r="P233" i="6" s="1"/>
  <c r="P234" i="6" s="1"/>
  <c r="P235" i="6" s="1"/>
  <c r="P236" i="6" s="1"/>
  <c r="P237" i="6" s="1"/>
  <c r="P238" i="6" s="1"/>
  <c r="P239" i="6" s="1"/>
  <c r="P240" i="6" s="1"/>
  <c r="P241" i="6" s="1"/>
  <c r="P242" i="6" s="1"/>
  <c r="P243" i="6" s="1"/>
  <c r="P244" i="6" s="1"/>
  <c r="P245" i="6" s="1"/>
  <c r="P246" i="6" s="1"/>
  <c r="P247" i="6" s="1"/>
  <c r="P248" i="6" s="1"/>
  <c r="P249" i="6" s="1"/>
  <c r="P250" i="6" s="1"/>
  <c r="P251" i="6" s="1"/>
  <c r="P252" i="6" s="1"/>
  <c r="P253" i="6" s="1"/>
  <c r="P254" i="6" s="1"/>
  <c r="P255" i="6" s="1"/>
  <c r="P256" i="6" s="1"/>
  <c r="P257" i="6" s="1"/>
  <c r="P258" i="6" s="1"/>
  <c r="P259" i="6" s="1"/>
  <c r="P260" i="6" s="1"/>
  <c r="P261" i="6" s="1"/>
  <c r="P262" i="6" s="1"/>
  <c r="P263" i="6" s="1"/>
  <c r="P264" i="6" s="1"/>
  <c r="P265" i="6" s="1"/>
  <c r="P266" i="6" s="1"/>
  <c r="P267" i="6" s="1"/>
  <c r="P268" i="6" s="1"/>
  <c r="P269" i="6" s="1"/>
  <c r="P270" i="6" s="1"/>
  <c r="P271" i="6" s="1"/>
  <c r="P272" i="6" s="1"/>
  <c r="P273" i="6" s="1"/>
  <c r="P274" i="6" s="1"/>
  <c r="P275" i="6" s="1"/>
  <c r="P276" i="6" s="1"/>
  <c r="P277" i="6" s="1"/>
  <c r="P278" i="6" s="1"/>
  <c r="P279" i="6" s="1"/>
  <c r="P280" i="6" s="1"/>
  <c r="P281" i="6" s="1"/>
  <c r="P282" i="6" s="1"/>
  <c r="P283" i="6" s="1"/>
  <c r="P284" i="6" s="1"/>
  <c r="P310" i="6" s="1"/>
  <c r="P311" i="6" s="1"/>
  <c r="P312" i="6" s="1"/>
  <c r="P313" i="6" s="1"/>
  <c r="P314" i="6" s="1"/>
  <c r="P315" i="6" s="1"/>
  <c r="P316" i="6" s="1"/>
  <c r="P317" i="6" s="1"/>
  <c r="P318" i="6" s="1"/>
  <c r="P319" i="6" s="1"/>
  <c r="P320" i="6" s="1"/>
  <c r="P321" i="6" s="1"/>
  <c r="P322" i="6" s="1"/>
  <c r="P323" i="6" s="1"/>
  <c r="P324" i="6" s="1"/>
  <c r="P325" i="6" s="1"/>
  <c r="P326" i="6" s="1"/>
  <c r="P327" i="6" s="1"/>
  <c r="P328" i="6" s="1"/>
  <c r="P329" i="6" s="1"/>
  <c r="P330" i="6" s="1"/>
  <c r="P331" i="6" s="1"/>
  <c r="P332" i="6" s="1"/>
  <c r="P333" i="6" s="1"/>
  <c r="P334" i="6" s="1"/>
  <c r="P360" i="6" s="1"/>
  <c r="P361" i="6" s="1"/>
  <c r="P362" i="6" s="1"/>
  <c r="P363" i="6" s="1"/>
  <c r="P364" i="6" s="1"/>
  <c r="P365" i="6" s="1"/>
  <c r="P366" i="6" s="1"/>
  <c r="P367" i="6" s="1"/>
  <c r="P368" i="6" s="1"/>
  <c r="P369" i="6" s="1"/>
  <c r="P370" i="6" s="1"/>
  <c r="P371" i="6" s="1"/>
  <c r="P372" i="6" s="1"/>
  <c r="P373" i="6" s="1"/>
  <c r="P374" i="6" s="1"/>
  <c r="P375" i="6" s="1"/>
  <c r="P376" i="6" s="1"/>
  <c r="P377" i="6" s="1"/>
  <c r="P378" i="6" s="1"/>
  <c r="P379" i="6" s="1"/>
  <c r="P380" i="6" s="1"/>
  <c r="P381" i="6" s="1"/>
  <c r="P382" i="6" s="1"/>
  <c r="P383" i="6" s="1"/>
  <c r="P384" i="6" s="1"/>
  <c r="P410" i="6" s="1"/>
  <c r="P411" i="6" s="1"/>
  <c r="P412" i="6" s="1"/>
  <c r="P413" i="6" s="1"/>
  <c r="P414" i="6" s="1"/>
  <c r="P415" i="6" s="1"/>
  <c r="P416" i="6" s="1"/>
  <c r="P417" i="6" s="1"/>
  <c r="P418" i="6" s="1"/>
  <c r="P419" i="6" s="1"/>
  <c r="P420" i="6" s="1"/>
  <c r="P421" i="6" s="1"/>
  <c r="P422" i="6" s="1"/>
  <c r="P423" i="6" s="1"/>
  <c r="P424" i="6" s="1"/>
  <c r="P425" i="6" s="1"/>
  <c r="P426" i="6" s="1"/>
  <c r="P427" i="6" s="1"/>
  <c r="P428" i="6" s="1"/>
  <c r="P429" i="6" s="1"/>
  <c r="P430" i="6" s="1"/>
  <c r="P431" i="6" s="1"/>
  <c r="P432" i="6" s="1"/>
  <c r="P433" i="6" s="1"/>
  <c r="P434" i="6" s="1"/>
  <c r="P435" i="6" s="1"/>
  <c r="P436" i="6" s="1"/>
  <c r="P437" i="6" s="1"/>
  <c r="P438" i="6" s="1"/>
  <c r="P439" i="6" s="1"/>
  <c r="P440" i="6" s="1"/>
  <c r="P441" i="6" s="1"/>
  <c r="P442" i="6" s="1"/>
  <c r="P443" i="6" s="1"/>
  <c r="P444" i="6" s="1"/>
  <c r="P470" i="6" s="1"/>
  <c r="AH8" i="6"/>
  <c r="B18" i="6" s="1"/>
  <c r="B20" i="6" s="1"/>
  <c r="AO698" i="6"/>
  <c r="AP698" i="6"/>
  <c r="AP748" i="6"/>
  <c r="AO748" i="6"/>
  <c r="AO388" i="6"/>
  <c r="AP388" i="6"/>
  <c r="W498" i="6"/>
  <c r="W499" i="6" s="1"/>
  <c r="X498" i="6"/>
  <c r="X499" i="6" s="1"/>
  <c r="V133" i="6"/>
  <c r="W133" i="6"/>
  <c r="R125" i="5"/>
  <c r="Q125" i="5"/>
  <c r="R112" i="5"/>
  <c r="Q112" i="5"/>
  <c r="Q108" i="5"/>
  <c r="R108" i="5"/>
  <c r="R114" i="5"/>
  <c r="Q114" i="5"/>
  <c r="M20" i="5"/>
  <c r="N20" i="5"/>
  <c r="O20" i="5"/>
  <c r="M26" i="5"/>
  <c r="N26" i="5"/>
  <c r="O26" i="5"/>
  <c r="M32" i="5"/>
  <c r="N32" i="5"/>
  <c r="O32" i="5"/>
  <c r="N10" i="5"/>
  <c r="O10" i="5"/>
  <c r="M24" i="5"/>
  <c r="N24" i="5"/>
  <c r="O24" i="5"/>
  <c r="M22" i="5"/>
  <c r="N22" i="5"/>
  <c r="O22" i="5"/>
  <c r="X749" i="6"/>
  <c r="W548" i="6"/>
  <c r="W549" i="6" s="1"/>
  <c r="X548" i="6"/>
  <c r="X549" i="6" s="1"/>
  <c r="W648" i="6"/>
  <c r="W649" i="6" s="1"/>
  <c r="X648" i="6"/>
  <c r="X649" i="6" s="1"/>
  <c r="AI8" i="6"/>
  <c r="AJ8" i="6"/>
  <c r="AK8" i="6"/>
  <c r="Q122" i="5"/>
  <c r="R122" i="5"/>
  <c r="Q107" i="5"/>
  <c r="R107" i="5"/>
  <c r="Q117" i="5"/>
  <c r="R117" i="5"/>
  <c r="Q106" i="5"/>
  <c r="R106" i="5"/>
  <c r="R127" i="5"/>
  <c r="Q127" i="5"/>
  <c r="Q121" i="5"/>
  <c r="R121" i="5"/>
  <c r="R111" i="5"/>
  <c r="Q111" i="5"/>
  <c r="Q113" i="5"/>
  <c r="R113" i="5"/>
  <c r="M21" i="5"/>
  <c r="N21" i="5"/>
  <c r="O21" i="5"/>
  <c r="M34" i="5"/>
  <c r="N34" i="5"/>
  <c r="O34" i="5"/>
  <c r="M33" i="5"/>
  <c r="N33" i="5"/>
  <c r="O33" i="5"/>
  <c r="M13" i="5"/>
  <c r="N13" i="5"/>
  <c r="O13" i="5"/>
  <c r="M18" i="5"/>
  <c r="N18" i="5"/>
  <c r="O18" i="5"/>
  <c r="M30" i="5"/>
  <c r="N30" i="5"/>
  <c r="O30" i="5"/>
  <c r="M25" i="5"/>
  <c r="N25" i="5"/>
  <c r="O25" i="5"/>
  <c r="M17" i="5"/>
  <c r="N17" i="5"/>
  <c r="O17" i="5"/>
  <c r="S9" i="6"/>
  <c r="S771" i="6" s="1"/>
  <c r="S770" i="6"/>
  <c r="W749" i="6"/>
  <c r="W598" i="6"/>
  <c r="W599" i="6" s="1"/>
  <c r="X598" i="6"/>
  <c r="X599" i="6" s="1"/>
  <c r="R120" i="5"/>
  <c r="Q120" i="5"/>
  <c r="R124" i="5"/>
  <c r="Q124" i="5"/>
  <c r="R109" i="5"/>
  <c r="Q109" i="5"/>
  <c r="Q126" i="5"/>
  <c r="R126" i="5"/>
  <c r="Q110" i="5"/>
  <c r="R110" i="5"/>
  <c r="R118" i="5"/>
  <c r="Q118" i="5"/>
  <c r="M23" i="5"/>
  <c r="N23" i="5"/>
  <c r="O23" i="5"/>
  <c r="M16" i="5"/>
  <c r="N16" i="5"/>
  <c r="O16" i="5"/>
  <c r="S13" i="6"/>
  <c r="T13" i="6"/>
  <c r="R156" i="5"/>
  <c r="S156" i="5"/>
  <c r="R9" i="6"/>
  <c r="R771" i="6" s="1"/>
  <c r="R770" i="6"/>
  <c r="W288" i="6"/>
  <c r="W289" i="6" s="1"/>
  <c r="X288" i="6"/>
  <c r="X289" i="6" s="1"/>
  <c r="X438" i="6"/>
  <c r="X439" i="6" s="1"/>
  <c r="W438" i="6"/>
  <c r="W439" i="6" s="1"/>
  <c r="R115" i="5"/>
  <c r="Q115" i="5"/>
  <c r="R130" i="5"/>
  <c r="Q130" i="5"/>
  <c r="R128" i="5"/>
  <c r="Q128" i="5"/>
  <c r="R119" i="5"/>
  <c r="Q119" i="5"/>
  <c r="R116" i="5"/>
  <c r="Q116" i="5"/>
  <c r="R123" i="5"/>
  <c r="Q123" i="5"/>
  <c r="R129" i="5"/>
  <c r="Q129" i="5"/>
  <c r="M12" i="5"/>
  <c r="N12" i="5"/>
  <c r="O12" i="5"/>
  <c r="M27" i="5"/>
  <c r="N27" i="5"/>
  <c r="O27" i="5"/>
  <c r="M29" i="5"/>
  <c r="N29" i="5"/>
  <c r="O29" i="5"/>
  <c r="M14" i="5"/>
  <c r="N14" i="5"/>
  <c r="O14" i="5"/>
  <c r="M31" i="5"/>
  <c r="N31" i="5"/>
  <c r="O31" i="5"/>
  <c r="M19" i="5"/>
  <c r="N19" i="5"/>
  <c r="O19" i="5"/>
  <c r="M11" i="5"/>
  <c r="N11" i="5"/>
  <c r="O11" i="5"/>
  <c r="M15" i="5"/>
  <c r="N15" i="5"/>
  <c r="O15" i="5"/>
  <c r="M28" i="5"/>
  <c r="N28" i="5"/>
  <c r="O28" i="5"/>
  <c r="AK13" i="6"/>
  <c r="AL13" i="6"/>
  <c r="P75" i="5"/>
  <c r="Q75" i="5"/>
  <c r="G258" i="6"/>
  <c r="AJ37" i="7"/>
  <c r="E82" i="5"/>
  <c r="G89" i="5"/>
  <c r="E86" i="5"/>
  <c r="E78" i="5"/>
  <c r="G76" i="5"/>
  <c r="G95" i="5"/>
  <c r="G88" i="5"/>
  <c r="E91" i="5"/>
  <c r="E89" i="5"/>
  <c r="G81" i="5"/>
  <c r="G74" i="5"/>
  <c r="E81" i="5"/>
  <c r="G93" i="5"/>
  <c r="E93" i="5"/>
  <c r="G82" i="5"/>
  <c r="G84" i="5"/>
  <c r="G80" i="5"/>
  <c r="E87" i="5"/>
  <c r="G90" i="5"/>
  <c r="G79" i="5"/>
  <c r="G98" i="5"/>
  <c r="E79" i="5"/>
  <c r="G96" i="5"/>
  <c r="E75" i="5"/>
  <c r="E76" i="5"/>
  <c r="E77" i="5"/>
  <c r="E83" i="5"/>
  <c r="G94" i="5"/>
  <c r="E84" i="5"/>
  <c r="G78" i="5"/>
  <c r="E92" i="5"/>
  <c r="G87" i="5"/>
  <c r="E95" i="5"/>
  <c r="E94" i="5"/>
  <c r="E90" i="5"/>
  <c r="E88" i="5"/>
  <c r="G91" i="5"/>
  <c r="E96" i="5"/>
  <c r="E97" i="5"/>
  <c r="G77" i="5"/>
  <c r="G97" i="5"/>
  <c r="G92" i="5"/>
  <c r="E98" i="5"/>
  <c r="E80" i="5"/>
  <c r="E85" i="5"/>
  <c r="G86" i="5"/>
  <c r="E74" i="5"/>
  <c r="G85" i="5"/>
  <c r="G83" i="5"/>
  <c r="AO89" i="7"/>
  <c r="AO18" i="7"/>
  <c r="AS13" i="9"/>
  <c r="AO17" i="7"/>
  <c r="AY13" i="6"/>
  <c r="X210" i="5"/>
  <c r="AD27" i="6"/>
  <c r="AV27" i="6" s="1"/>
  <c r="AV28" i="6" s="1"/>
  <c r="X219" i="5"/>
  <c r="X206" i="5"/>
  <c r="X223" i="5"/>
  <c r="AC28" i="6"/>
  <c r="AC778" i="6" s="1"/>
  <c r="X207" i="5"/>
  <c r="AK33" i="7"/>
  <c r="AK37" i="7" s="1"/>
  <c r="Y200" i="5"/>
  <c r="Z200" i="5" s="1"/>
  <c r="Z221" i="5" s="1"/>
  <c r="X217" i="5"/>
  <c r="AU27" i="6"/>
  <c r="AU28" i="6" s="1"/>
  <c r="X202" i="5"/>
  <c r="X208" i="5"/>
  <c r="X224" i="5"/>
  <c r="X211" i="5"/>
  <c r="X203" i="5"/>
  <c r="X213" i="5"/>
  <c r="X222" i="5"/>
  <c r="X218" i="5"/>
  <c r="X205" i="5"/>
  <c r="X209" i="5"/>
  <c r="X214" i="5"/>
  <c r="X226" i="5"/>
  <c r="X204" i="5"/>
  <c r="X212" i="5"/>
  <c r="X216" i="5"/>
  <c r="X221" i="5"/>
  <c r="X220" i="5"/>
  <c r="X215" i="5"/>
  <c r="AP15" i="7"/>
  <c r="G35" i="5"/>
  <c r="B14" i="7" s="1"/>
  <c r="M10" i="5"/>
  <c r="AS67" i="9"/>
  <c r="AR67" i="9" s="1"/>
  <c r="W787" i="6"/>
  <c r="W786" i="6"/>
  <c r="Q771" i="6"/>
  <c r="G131" i="5"/>
  <c r="H14" i="7" s="1"/>
  <c r="U788" i="6"/>
  <c r="X53" i="6"/>
  <c r="X54" i="6" s="1"/>
  <c r="AJ61" i="9"/>
  <c r="AJ63" i="9" s="1"/>
  <c r="AP52" i="6"/>
  <c r="AP53" i="6" s="1"/>
  <c r="AF69" i="7"/>
  <c r="AF71" i="7" s="1"/>
  <c r="Y52" i="6"/>
  <c r="AK61" i="9" s="1"/>
  <c r="AK63" i="9" s="1"/>
  <c r="AC187" i="5"/>
  <c r="AC193" i="5"/>
  <c r="AC191" i="5"/>
  <c r="AC194" i="5"/>
  <c r="AC184" i="5"/>
  <c r="AC173" i="5"/>
  <c r="AC176" i="5"/>
  <c r="AC174" i="5"/>
  <c r="AC177" i="5"/>
  <c r="AC188" i="5"/>
  <c r="AC175" i="5"/>
  <c r="AC189" i="5"/>
  <c r="AC181" i="5"/>
  <c r="AC186" i="5"/>
  <c r="AC192" i="5"/>
  <c r="AC190" i="5"/>
  <c r="AC171" i="5"/>
  <c r="AC182" i="5"/>
  <c r="AC172" i="5"/>
  <c r="AC180" i="5"/>
  <c r="AC179" i="5"/>
  <c r="AC185" i="5"/>
  <c r="AC183" i="5"/>
  <c r="AC170" i="5"/>
  <c r="AC178" i="5"/>
  <c r="AU37" i="6"/>
  <c r="AU38" i="6" s="1"/>
  <c r="AC38" i="6"/>
  <c r="AC39" i="6" s="1"/>
  <c r="AK48" i="7"/>
  <c r="AO43" i="9"/>
  <c r="AO45" i="9" s="1"/>
  <c r="V267" i="5"/>
  <c r="V273" i="5"/>
  <c r="V290" i="5"/>
  <c r="V266" i="5"/>
  <c r="V274" i="5"/>
  <c r="V284" i="5"/>
  <c r="V270" i="5"/>
  <c r="V281" i="5"/>
  <c r="V288" i="5"/>
  <c r="V277" i="5"/>
  <c r="V272" i="5"/>
  <c r="V289" i="5"/>
  <c r="V268" i="5"/>
  <c r="V283" i="5"/>
  <c r="V269" i="5"/>
  <c r="V282" i="5"/>
  <c r="V286" i="5"/>
  <c r="V278" i="5"/>
  <c r="V285" i="5"/>
  <c r="V276" i="5"/>
  <c r="V287" i="5"/>
  <c r="V271" i="5"/>
  <c r="V275" i="5"/>
  <c r="V279" i="5"/>
  <c r="V280" i="5"/>
  <c r="AD131" i="7"/>
  <c r="AD132" i="7"/>
  <c r="AK101" i="7"/>
  <c r="AK30" i="7"/>
  <c r="AK99" i="7"/>
  <c r="AK102" i="7" s="1"/>
  <c r="AK29" i="7"/>
  <c r="AC72" i="7"/>
  <c r="AC135" i="7"/>
  <c r="AC71" i="7"/>
  <c r="AC125" i="7"/>
  <c r="AC126" i="7"/>
  <c r="AD57" i="7"/>
  <c r="AD123" i="7"/>
  <c r="AD58" i="7"/>
  <c r="AD71" i="7"/>
  <c r="AD72" i="7"/>
  <c r="AD135" i="7"/>
  <c r="AH120" i="7"/>
  <c r="AH119" i="7"/>
  <c r="W310" i="5"/>
  <c r="W314" i="5"/>
  <c r="W317" i="5"/>
  <c r="W309" i="5"/>
  <c r="W303" i="5"/>
  <c r="W311" i="5"/>
  <c r="W316" i="5"/>
  <c r="W305" i="5"/>
  <c r="W299" i="5"/>
  <c r="W301" i="5"/>
  <c r="W298" i="5"/>
  <c r="W322" i="5"/>
  <c r="W321" i="5"/>
  <c r="W302" i="5"/>
  <c r="W313" i="5"/>
  <c r="W312" i="5"/>
  <c r="W300" i="5"/>
  <c r="W318" i="5"/>
  <c r="W315" i="5"/>
  <c r="W320" i="5"/>
  <c r="W306" i="5"/>
  <c r="W304" i="5"/>
  <c r="W308" i="5"/>
  <c r="W307" i="5"/>
  <c r="W319" i="5"/>
  <c r="AQ47" i="6"/>
  <c r="AQ48" i="6" s="1"/>
  <c r="AG62" i="7"/>
  <c r="Y48" i="6"/>
  <c r="Y49" i="6" s="1"/>
  <c r="AK55" i="9"/>
  <c r="AK57" i="9" s="1"/>
  <c r="AL27" i="7"/>
  <c r="AP23" i="9"/>
  <c r="AP25" i="9" s="1"/>
  <c r="AD23" i="6"/>
  <c r="AV22" i="6"/>
  <c r="AV23" i="6" s="1"/>
  <c r="W248" i="5"/>
  <c r="W241" i="5"/>
  <c r="W254" i="5"/>
  <c r="W258" i="5"/>
  <c r="W257" i="5"/>
  <c r="W245" i="5"/>
  <c r="W244" i="5"/>
  <c r="W243" i="5"/>
  <c r="W242" i="5"/>
  <c r="W252" i="5"/>
  <c r="W235" i="5"/>
  <c r="W249" i="5"/>
  <c r="W240" i="5"/>
  <c r="W239" i="5"/>
  <c r="W236" i="5"/>
  <c r="W246" i="5"/>
  <c r="W247" i="5"/>
  <c r="W253" i="5"/>
  <c r="W255" i="5"/>
  <c r="W238" i="5"/>
  <c r="W250" i="5"/>
  <c r="W237" i="5"/>
  <c r="W256" i="5"/>
  <c r="W251" i="5"/>
  <c r="W234" i="5"/>
  <c r="AE22" i="6"/>
  <c r="AF22" i="6" s="1"/>
  <c r="AZ132" i="6"/>
  <c r="AR133" i="6"/>
  <c r="Z47" i="6"/>
  <c r="AI111" i="7"/>
  <c r="AI43" i="7"/>
  <c r="AI44" i="7"/>
  <c r="AA137" i="7"/>
  <c r="AA138" i="7"/>
  <c r="AE129" i="7"/>
  <c r="AE64" i="7"/>
  <c r="AE65" i="7"/>
  <c r="AN43" i="9"/>
  <c r="AN45" i="9" s="1"/>
  <c r="AJ48" i="7"/>
  <c r="AT37" i="6"/>
  <c r="AT38" i="6" s="1"/>
  <c r="AB38" i="6"/>
  <c r="AB39" i="6" s="1"/>
  <c r="AD37" i="6"/>
  <c r="AB188" i="5"/>
  <c r="AB178" i="5"/>
  <c r="AB191" i="5"/>
  <c r="AB173" i="5"/>
  <c r="AB182" i="5"/>
  <c r="AB190" i="5"/>
  <c r="AB185" i="5"/>
  <c r="AB189" i="5"/>
  <c r="AB179" i="5"/>
  <c r="AB181" i="5"/>
  <c r="AB184" i="5"/>
  <c r="AB183" i="5"/>
  <c r="AB171" i="5"/>
  <c r="AB194" i="5"/>
  <c r="AB177" i="5"/>
  <c r="AB187" i="5"/>
  <c r="AB180" i="5"/>
  <c r="AB176" i="5"/>
  <c r="AB172" i="5"/>
  <c r="AB175" i="5"/>
  <c r="AB174" i="5"/>
  <c r="AB170" i="5"/>
  <c r="AB186" i="5"/>
  <c r="AB192" i="5"/>
  <c r="AB193" i="5"/>
  <c r="AD168" i="5"/>
  <c r="V304" i="5"/>
  <c r="V318" i="5"/>
  <c r="V312" i="5"/>
  <c r="V321" i="5"/>
  <c r="V310" i="5"/>
  <c r="V300" i="5"/>
  <c r="V308" i="5"/>
  <c r="V302" i="5"/>
  <c r="V317" i="5"/>
  <c r="V307" i="5"/>
  <c r="V306" i="5"/>
  <c r="V319" i="5"/>
  <c r="V299" i="5"/>
  <c r="V309" i="5"/>
  <c r="V314" i="5"/>
  <c r="V320" i="5"/>
  <c r="V311" i="5"/>
  <c r="V316" i="5"/>
  <c r="V298" i="5"/>
  <c r="V305" i="5"/>
  <c r="V301" i="5"/>
  <c r="V303" i="5"/>
  <c r="V313" i="5"/>
  <c r="V322" i="5"/>
  <c r="V315" i="5"/>
  <c r="X296" i="5"/>
  <c r="X232" i="5"/>
  <c r="AC776" i="6"/>
  <c r="AC24" i="6"/>
  <c r="AC777" i="6" s="1"/>
  <c r="AO52" i="6"/>
  <c r="AO53" i="6" s="1"/>
  <c r="AI61" i="9"/>
  <c r="AI63" i="9" s="1"/>
  <c r="AE69" i="7"/>
  <c r="W53" i="6"/>
  <c r="W54" i="6" s="1"/>
  <c r="X42" i="6"/>
  <c r="Y42" i="6" s="1"/>
  <c r="AI49" i="9"/>
  <c r="AI51" i="9" s="1"/>
  <c r="AE55" i="7"/>
  <c r="AO42" i="6"/>
  <c r="AO43" i="6" s="1"/>
  <c r="W43" i="6"/>
  <c r="Z134" i="6"/>
  <c r="Z779" i="6" s="1"/>
  <c r="Z778" i="6"/>
  <c r="AI117" i="7"/>
  <c r="AI51" i="7"/>
  <c r="AI50" i="7"/>
  <c r="AB137" i="7"/>
  <c r="AB138" i="7"/>
  <c r="U288" i="5"/>
  <c r="U267" i="5"/>
  <c r="U281" i="5"/>
  <c r="U282" i="5"/>
  <c r="U284" i="5"/>
  <c r="U276" i="5"/>
  <c r="U287" i="5"/>
  <c r="U286" i="5"/>
  <c r="U268" i="5"/>
  <c r="U290" i="5"/>
  <c r="U278" i="5"/>
  <c r="U274" i="5"/>
  <c r="U275" i="5"/>
  <c r="U271" i="5"/>
  <c r="U272" i="5"/>
  <c r="U269" i="5"/>
  <c r="U283" i="5"/>
  <c r="U270" i="5"/>
  <c r="U289" i="5"/>
  <c r="U277" i="5"/>
  <c r="U279" i="5"/>
  <c r="U285" i="5"/>
  <c r="U280" i="5"/>
  <c r="U266" i="5"/>
  <c r="U273" i="5"/>
  <c r="W264" i="5"/>
  <c r="X264" i="5" s="1"/>
  <c r="AF65" i="7"/>
  <c r="AF64" i="7"/>
  <c r="AF129" i="7"/>
  <c r="V44" i="6"/>
  <c r="V785" i="6" s="1"/>
  <c r="V784" i="6"/>
  <c r="AC132" i="7"/>
  <c r="AC131" i="7"/>
  <c r="AG770" i="6"/>
  <c r="AG9" i="6"/>
  <c r="AG771" i="6" s="1"/>
  <c r="AS6" i="9"/>
  <c r="AK67" i="9" s="1"/>
  <c r="AJ67" i="9" s="1"/>
  <c r="AO80" i="7"/>
  <c r="AO82" i="7"/>
  <c r="AH144" i="7" s="1"/>
  <c r="AO11" i="7"/>
  <c r="AE145" i="7" s="1"/>
  <c r="AO10" i="7"/>
  <c r="AE144" i="7" s="1"/>
  <c r="AO69" i="9"/>
  <c r="AN69" i="9" s="1"/>
  <c r="AO21" i="7"/>
  <c r="AY17" i="6"/>
  <c r="AZ17" i="6" s="1"/>
  <c r="AY18" i="6"/>
  <c r="AG18" i="6"/>
  <c r="AS17" i="9"/>
  <c r="AH17" i="6"/>
  <c r="AS69" i="9"/>
  <c r="AR69" i="9" s="1"/>
  <c r="AF19" i="6"/>
  <c r="AF775" i="6" s="1"/>
  <c r="AF774" i="6"/>
  <c r="AK96" i="7"/>
  <c r="AM23" i="7"/>
  <c r="AM24" i="7"/>
  <c r="AM93" i="7"/>
  <c r="AM96" i="7" s="1"/>
  <c r="AM95" i="7"/>
  <c r="AE774" i="6"/>
  <c r="AE19" i="6"/>
  <c r="AE775" i="6" s="1"/>
  <c r="AN93" i="7"/>
  <c r="AN96" i="7" s="1"/>
  <c r="AN23" i="7"/>
  <c r="AN95" i="7"/>
  <c r="AN24" i="7"/>
  <c r="V788" i="6"/>
  <c r="X786" i="6"/>
  <c r="AG98" i="6"/>
  <c r="AY97" i="6"/>
  <c r="AY98" i="6" s="1"/>
  <c r="AH97" i="6"/>
  <c r="AT442" i="6"/>
  <c r="AT443" i="6" s="1"/>
  <c r="AB443" i="6"/>
  <c r="AB444" i="6" s="1"/>
  <c r="AV602" i="6"/>
  <c r="AV603" i="6" s="1"/>
  <c r="AD603" i="6"/>
  <c r="AD604" i="6" s="1"/>
  <c r="AV252" i="6"/>
  <c r="AV253" i="6" s="1"/>
  <c r="AD253" i="6"/>
  <c r="AD254" i="6" s="1"/>
  <c r="AS407" i="6"/>
  <c r="AS408" i="6" s="1"/>
  <c r="AA408" i="6"/>
  <c r="AA409" i="6" s="1"/>
  <c r="AV292" i="6"/>
  <c r="AV293" i="6" s="1"/>
  <c r="AD293" i="6"/>
  <c r="AD294" i="6" s="1"/>
  <c r="AB448" i="6"/>
  <c r="AB449" i="6" s="1"/>
  <c r="AT447" i="6"/>
  <c r="AT448" i="6" s="1"/>
  <c r="AC103" i="6"/>
  <c r="AC104" i="6" s="1"/>
  <c r="AU102" i="6"/>
  <c r="AU103" i="6" s="1"/>
  <c r="AU752" i="6"/>
  <c r="AU753" i="6" s="1"/>
  <c r="AC753" i="6"/>
  <c r="AD143" i="6"/>
  <c r="AD144" i="6" s="1"/>
  <c r="AV142" i="6"/>
  <c r="AV143" i="6" s="1"/>
  <c r="AX392" i="6"/>
  <c r="AX393" i="6" s="1"/>
  <c r="AF393" i="6"/>
  <c r="AF394" i="6" s="1"/>
  <c r="AU302" i="6"/>
  <c r="AU303" i="6" s="1"/>
  <c r="AC303" i="6"/>
  <c r="AC304" i="6" s="1"/>
  <c r="AT507" i="6"/>
  <c r="AT508" i="6" s="1"/>
  <c r="AB508" i="6"/>
  <c r="AB509" i="6" s="1"/>
  <c r="AE193" i="6"/>
  <c r="AE194" i="6" s="1"/>
  <c r="AW192" i="6"/>
  <c r="AW193" i="6" s="1"/>
  <c r="AB763" i="6"/>
  <c r="AT762" i="6"/>
  <c r="AT763" i="6" s="1"/>
  <c r="AV247" i="6"/>
  <c r="AV248" i="6" s="1"/>
  <c r="AD248" i="6"/>
  <c r="AD249" i="6" s="1"/>
  <c r="AR557" i="6"/>
  <c r="AD188" i="6"/>
  <c r="AV187" i="6"/>
  <c r="AH187" i="6"/>
  <c r="AA453" i="6"/>
  <c r="AA454" i="6" s="1"/>
  <c r="AS452" i="6"/>
  <c r="AS453" i="6" s="1"/>
  <c r="Y458" i="6"/>
  <c r="AQ457" i="6"/>
  <c r="W769" i="6"/>
  <c r="AB563" i="6"/>
  <c r="AB564" i="6" s="1"/>
  <c r="AT562" i="6"/>
  <c r="AT563" i="6" s="1"/>
  <c r="AQ307" i="6"/>
  <c r="AQ308" i="6" s="1"/>
  <c r="Y308" i="6"/>
  <c r="Y309" i="6" s="1"/>
  <c r="AB403" i="6"/>
  <c r="AB404" i="6" s="1"/>
  <c r="AT402" i="6"/>
  <c r="AT403" i="6" s="1"/>
  <c r="Y718" i="6"/>
  <c r="AQ717" i="6"/>
  <c r="AQ718" i="6" s="1"/>
  <c r="AA708" i="6"/>
  <c r="AS707" i="6"/>
  <c r="AS708" i="6" s="1"/>
  <c r="AA294" i="6"/>
  <c r="AR613" i="6"/>
  <c r="AP308" i="6"/>
  <c r="Z153" i="6"/>
  <c r="Z154" i="6" s="1"/>
  <c r="AR152" i="6"/>
  <c r="AR153" i="6" s="1"/>
  <c r="AV342" i="6"/>
  <c r="AV343" i="6" s="1"/>
  <c r="AD343" i="6"/>
  <c r="AD344" i="6" s="1"/>
  <c r="AT552" i="6"/>
  <c r="AT553" i="6" s="1"/>
  <c r="AB553" i="6"/>
  <c r="AB554" i="6" s="1"/>
  <c r="AR662" i="6"/>
  <c r="AR663" i="6" s="1"/>
  <c r="Z663" i="6"/>
  <c r="Z664" i="6" s="1"/>
  <c r="AB662" i="6"/>
  <c r="AC662" i="6" s="1"/>
  <c r="AU137" i="6"/>
  <c r="AU138" i="6" s="1"/>
  <c r="AC138" i="6"/>
  <c r="AC139" i="6" s="1"/>
  <c r="AC402" i="6"/>
  <c r="AS517" i="6"/>
  <c r="AS518" i="6" s="1"/>
  <c r="AA518" i="6"/>
  <c r="AA519" i="6" s="1"/>
  <c r="AD289" i="6"/>
  <c r="AB704" i="6"/>
  <c r="X618" i="6"/>
  <c r="X619" i="6" s="1"/>
  <c r="AP617" i="6"/>
  <c r="AP618" i="6" s="1"/>
  <c r="AR657" i="6"/>
  <c r="AB657" i="6"/>
  <c r="AC657" i="6" s="1"/>
  <c r="Y159" i="6"/>
  <c r="AS348" i="6"/>
  <c r="AR197" i="6"/>
  <c r="AB197" i="6"/>
  <c r="AC197" i="6" s="1"/>
  <c r="AB707" i="6"/>
  <c r="AC707" i="6" s="1"/>
  <c r="AC759" i="6"/>
  <c r="AB517" i="6"/>
  <c r="AV438" i="6"/>
  <c r="AZ437" i="6"/>
  <c r="AC499" i="6"/>
  <c r="AA713" i="6"/>
  <c r="AA714" i="6" s="1"/>
  <c r="AS712" i="6"/>
  <c r="AS713" i="6" s="1"/>
  <c r="AS442" i="6"/>
  <c r="AS443" i="6" s="1"/>
  <c r="AA443" i="6"/>
  <c r="AA444" i="6" s="1"/>
  <c r="AC442" i="6"/>
  <c r="AE88" i="6"/>
  <c r="AE89" i="6" s="1"/>
  <c r="AW87" i="6"/>
  <c r="AW88" i="6" s="1"/>
  <c r="AB753" i="6"/>
  <c r="AT752" i="6"/>
  <c r="AT753" i="6" s="1"/>
  <c r="AD752" i="6"/>
  <c r="AA148" i="6"/>
  <c r="AA149" i="6" s="1"/>
  <c r="AS147" i="6"/>
  <c r="AS148" i="6" s="1"/>
  <c r="AC147" i="6"/>
  <c r="AD147" i="6" s="1"/>
  <c r="AV237" i="6"/>
  <c r="AD238" i="6"/>
  <c r="AH237" i="6"/>
  <c r="AD549" i="6"/>
  <c r="AA663" i="6"/>
  <c r="AA664" i="6" s="1"/>
  <c r="AS662" i="6"/>
  <c r="AS663" i="6" s="1"/>
  <c r="AC298" i="6"/>
  <c r="AC299" i="6" s="1"/>
  <c r="AU297" i="6"/>
  <c r="AU298" i="6" s="1"/>
  <c r="AS657" i="6"/>
  <c r="AS658" i="6" s="1"/>
  <c r="AA658" i="6"/>
  <c r="AA659" i="6" s="1"/>
  <c r="AQ667" i="6"/>
  <c r="AQ668" i="6" s="1"/>
  <c r="Y668" i="6"/>
  <c r="AS507" i="6"/>
  <c r="AS508" i="6" s="1"/>
  <c r="AA508" i="6"/>
  <c r="AA509" i="6" s="1"/>
  <c r="AC507" i="6"/>
  <c r="AD507" i="6" s="1"/>
  <c r="AS92" i="6"/>
  <c r="AS93" i="6" s="1"/>
  <c r="AA93" i="6"/>
  <c r="AA94" i="6" s="1"/>
  <c r="AA398" i="6"/>
  <c r="AA399" i="6" s="1"/>
  <c r="AS397" i="6"/>
  <c r="AS398" i="6" s="1"/>
  <c r="AA754" i="6"/>
  <c r="AA448" i="6"/>
  <c r="AA449" i="6" s="1"/>
  <c r="AS447" i="6"/>
  <c r="AS448" i="6" s="1"/>
  <c r="AC447" i="6"/>
  <c r="AD447" i="6" s="1"/>
  <c r="AD193" i="6"/>
  <c r="AD194" i="6" s="1"/>
  <c r="AV192" i="6"/>
  <c r="AV193" i="6" s="1"/>
  <c r="AF192" i="6"/>
  <c r="AG192" i="6" s="1"/>
  <c r="AO357" i="6"/>
  <c r="AO358" i="6" s="1"/>
  <c r="W358" i="6"/>
  <c r="X357" i="6"/>
  <c r="Y357" i="6" s="1"/>
  <c r="AB452" i="6"/>
  <c r="AC452" i="6" s="1"/>
  <c r="Z158" i="6"/>
  <c r="Z159" i="6" s="1"/>
  <c r="AR157" i="6"/>
  <c r="Z108" i="6"/>
  <c r="Z109" i="6" s="1"/>
  <c r="AR107" i="6"/>
  <c r="Z104" i="6"/>
  <c r="AB712" i="6"/>
  <c r="AC712" i="6" s="1"/>
  <c r="Y519" i="6"/>
  <c r="AD137" i="6"/>
  <c r="AD608" i="6"/>
  <c r="AD609" i="6" s="1"/>
  <c r="AV607" i="6"/>
  <c r="AV608" i="6" s="1"/>
  <c r="AS197" i="6"/>
  <c r="AS198" i="6" s="1"/>
  <c r="AA198" i="6"/>
  <c r="AA199" i="6" s="1"/>
  <c r="AB353" i="6"/>
  <c r="AB354" i="6" s="1"/>
  <c r="AT352" i="6"/>
  <c r="AT353" i="6" s="1"/>
  <c r="Y258" i="6"/>
  <c r="Y259" i="6" s="1"/>
  <c r="AQ257" i="6"/>
  <c r="Z257" i="6"/>
  <c r="AO90" i="7"/>
  <c r="AP87" i="7"/>
  <c r="AR93" i="6"/>
  <c r="X769" i="6"/>
  <c r="AB397" i="6"/>
  <c r="Z764" i="6"/>
  <c r="AC562" i="6"/>
  <c r="AE342" i="6"/>
  <c r="AF342" i="6" s="1"/>
  <c r="AT302" i="6"/>
  <c r="AT303" i="6" s="1"/>
  <c r="AB303" i="6"/>
  <c r="AB304" i="6" s="1"/>
  <c r="AD302" i="6"/>
  <c r="AD758" i="6"/>
  <c r="AV757" i="6"/>
  <c r="AV758" i="6" s="1"/>
  <c r="Y768" i="6"/>
  <c r="AQ767" i="6"/>
  <c r="AQ768" i="6" s="1"/>
  <c r="AF98" i="6"/>
  <c r="AF99" i="6" s="1"/>
  <c r="AX97" i="6"/>
  <c r="AX98" i="6" s="1"/>
  <c r="AV598" i="6"/>
  <c r="AZ597" i="6"/>
  <c r="AV548" i="6"/>
  <c r="AZ547" i="6"/>
  <c r="AB148" i="6"/>
  <c r="AB149" i="6" s="1"/>
  <c r="AT147" i="6"/>
  <c r="AT148" i="6" s="1"/>
  <c r="Y568" i="6"/>
  <c r="Y569" i="6" s="1"/>
  <c r="AQ567" i="6"/>
  <c r="AU142" i="6"/>
  <c r="AU143" i="6" s="1"/>
  <c r="AC143" i="6"/>
  <c r="AC144" i="6" s="1"/>
  <c r="AE142" i="6"/>
  <c r="Z564" i="6"/>
  <c r="AS512" i="6"/>
  <c r="AS513" i="6" s="1"/>
  <c r="AA513" i="6"/>
  <c r="AA514" i="6" s="1"/>
  <c r="Z404" i="6"/>
  <c r="X409" i="6"/>
  <c r="AA208" i="6"/>
  <c r="AA209" i="6" s="1"/>
  <c r="AS207" i="6"/>
  <c r="AS208" i="6" s="1"/>
  <c r="AB613" i="6"/>
  <c r="AT612" i="6"/>
  <c r="AT613" i="6" s="1"/>
  <c r="AE503" i="6"/>
  <c r="AE504" i="6" s="1"/>
  <c r="AW502" i="6"/>
  <c r="AW503" i="6" s="1"/>
  <c r="AS753" i="6"/>
  <c r="X154" i="6"/>
  <c r="X787" i="6" s="1"/>
  <c r="AN358" i="6"/>
  <c r="AV648" i="6"/>
  <c r="AZ647" i="6"/>
  <c r="AS762" i="6"/>
  <c r="AS763" i="6" s="1"/>
  <c r="AA763" i="6"/>
  <c r="AC762" i="6"/>
  <c r="AB203" i="6"/>
  <c r="AB204" i="6" s="1"/>
  <c r="AT202" i="6"/>
  <c r="AC703" i="6"/>
  <c r="AC704" i="6" s="1"/>
  <c r="AU702" i="6"/>
  <c r="AU703" i="6" s="1"/>
  <c r="Z782" i="6"/>
  <c r="AV652" i="6"/>
  <c r="AV653" i="6" s="1"/>
  <c r="AD653" i="6"/>
  <c r="AD654" i="6" s="1"/>
  <c r="AC552" i="6"/>
  <c r="AT608" i="6"/>
  <c r="AF243" i="6"/>
  <c r="AF244" i="6" s="1"/>
  <c r="AX242" i="6"/>
  <c r="AX243" i="6" s="1"/>
  <c r="AD702" i="6"/>
  <c r="AE702" i="6" s="1"/>
  <c r="AT347" i="6"/>
  <c r="AT348" i="6" s="1"/>
  <c r="AB348" i="6"/>
  <c r="AB349" i="6" s="1"/>
  <c r="AA107" i="6"/>
  <c r="Z567" i="6"/>
  <c r="AT297" i="6"/>
  <c r="AT298" i="6" s="1"/>
  <c r="AB298" i="6"/>
  <c r="AB299" i="6" s="1"/>
  <c r="AD297" i="6"/>
  <c r="AE297" i="6" s="1"/>
  <c r="Z457" i="6"/>
  <c r="AA457" i="6" s="1"/>
  <c r="AC352" i="6"/>
  <c r="E65" i="5"/>
  <c r="E60" i="5"/>
  <c r="E43" i="5"/>
  <c r="E46" i="5"/>
  <c r="E64" i="5"/>
  <c r="E51" i="5"/>
  <c r="E62" i="5"/>
  <c r="E55" i="5"/>
  <c r="G57" i="5"/>
  <c r="G63" i="5"/>
  <c r="G48" i="5"/>
  <c r="G46" i="5"/>
  <c r="G58" i="5"/>
  <c r="G55" i="5"/>
  <c r="G43" i="5"/>
  <c r="E59" i="5"/>
  <c r="E57" i="5"/>
  <c r="E44" i="5"/>
  <c r="G51" i="5"/>
  <c r="G60" i="5"/>
  <c r="G65" i="5"/>
  <c r="G59" i="5"/>
  <c r="G47" i="5"/>
  <c r="G42" i="5"/>
  <c r="E42" i="5"/>
  <c r="E48" i="5"/>
  <c r="E56" i="5"/>
  <c r="E47" i="5"/>
  <c r="E54" i="5"/>
  <c r="E45" i="5"/>
  <c r="E50" i="5"/>
  <c r="E49" i="5"/>
  <c r="G45" i="5"/>
  <c r="E53" i="5"/>
  <c r="G49" i="5"/>
  <c r="G53" i="5"/>
  <c r="G64" i="5"/>
  <c r="E58" i="5"/>
  <c r="G44" i="5"/>
  <c r="E66" i="5"/>
  <c r="G54" i="5"/>
  <c r="E61" i="5"/>
  <c r="G61" i="5"/>
  <c r="G62" i="5"/>
  <c r="G50" i="5"/>
  <c r="G56" i="5"/>
  <c r="E63" i="5"/>
  <c r="G52" i="5"/>
  <c r="E52" i="5"/>
  <c r="G66" i="5"/>
  <c r="AE607" i="6"/>
  <c r="AF607" i="6" s="1"/>
  <c r="AA152" i="6"/>
  <c r="AB152" i="6" s="1"/>
  <c r="AV498" i="6"/>
  <c r="AZ497" i="6"/>
  <c r="AC603" i="6"/>
  <c r="AC604" i="6" s="1"/>
  <c r="AU602" i="6"/>
  <c r="AU603" i="6" s="1"/>
  <c r="AE602" i="6"/>
  <c r="AB759" i="6"/>
  <c r="AV98" i="6"/>
  <c r="AD599" i="6"/>
  <c r="AF87" i="6"/>
  <c r="AQ513" i="6"/>
  <c r="AC253" i="6"/>
  <c r="AC254" i="6" s="1"/>
  <c r="AU252" i="6"/>
  <c r="AE252" i="6"/>
  <c r="AR407" i="6"/>
  <c r="Z408" i="6"/>
  <c r="Z409" i="6" s="1"/>
  <c r="AB407" i="6"/>
  <c r="AE393" i="6"/>
  <c r="AE394" i="6" s="1"/>
  <c r="AW392" i="6"/>
  <c r="AW393" i="6" s="1"/>
  <c r="AG392" i="6"/>
  <c r="AC293" i="6"/>
  <c r="AC294" i="6" s="1"/>
  <c r="AU292" i="6"/>
  <c r="AU293" i="6" s="1"/>
  <c r="AE292" i="6"/>
  <c r="U789" i="6"/>
  <c r="AJ107" i="7"/>
  <c r="AJ108" i="7"/>
  <c r="Z307" i="6"/>
  <c r="AA307" i="6" s="1"/>
  <c r="AB207" i="6"/>
  <c r="Z454" i="6"/>
  <c r="AD649" i="6"/>
  <c r="Y764" i="6"/>
  <c r="AC248" i="6"/>
  <c r="AC249" i="6" s="1"/>
  <c r="AU247" i="6"/>
  <c r="AU248" i="6" s="1"/>
  <c r="AE247" i="6"/>
  <c r="Z783" i="6"/>
  <c r="AA557" i="6"/>
  <c r="AT102" i="6"/>
  <c r="AT103" i="6" s="1"/>
  <c r="AB103" i="6"/>
  <c r="AB104" i="6" s="1"/>
  <c r="AD102" i="6"/>
  <c r="AE102" i="6" s="1"/>
  <c r="AR713" i="6"/>
  <c r="AB512" i="6"/>
  <c r="AC202" i="6"/>
  <c r="Z717" i="6"/>
  <c r="AV288" i="6"/>
  <c r="AZ287" i="6"/>
  <c r="AD503" i="6"/>
  <c r="AD504" i="6" s="1"/>
  <c r="AV502" i="6"/>
  <c r="AV503" i="6" s="1"/>
  <c r="AF502" i="6"/>
  <c r="AO617" i="6"/>
  <c r="Y617" i="6"/>
  <c r="W618" i="6"/>
  <c r="W619" i="6" s="1"/>
  <c r="V619" i="6"/>
  <c r="V789" i="6" s="1"/>
  <c r="X259" i="6"/>
  <c r="AA157" i="6"/>
  <c r="AC347" i="6"/>
  <c r="Y109" i="6"/>
  <c r="AE652" i="6"/>
  <c r="AF652" i="6" s="1"/>
  <c r="AB92" i="6"/>
  <c r="AC92" i="6" s="1"/>
  <c r="AE757" i="6"/>
  <c r="Z767" i="6"/>
  <c r="AC612" i="6"/>
  <c r="Z667" i="6"/>
  <c r="AD499" i="6"/>
  <c r="AD439" i="6"/>
  <c r="AG242" i="6"/>
  <c r="AH113" i="7" l="1"/>
  <c r="AN36" i="9"/>
  <c r="AN38" i="9" s="1"/>
  <c r="AB33" i="6"/>
  <c r="AB34" i="6" s="1"/>
  <c r="AB781" i="6" s="1"/>
  <c r="AT32" i="6"/>
  <c r="AT33" i="6" s="1"/>
  <c r="AC32" i="6"/>
  <c r="AD32" i="6" s="1"/>
  <c r="AL41" i="7" s="1"/>
  <c r="AH599" i="6"/>
  <c r="AA780" i="6"/>
  <c r="AD107" i="5"/>
  <c r="H107" i="5" s="1"/>
  <c r="I107" i="5" s="1"/>
  <c r="AD114" i="5"/>
  <c r="H114" i="5" s="1"/>
  <c r="I114" i="5" s="1"/>
  <c r="AD112" i="5"/>
  <c r="H112" i="5" s="1"/>
  <c r="I112" i="5" s="1"/>
  <c r="AD108" i="5"/>
  <c r="H108" i="5" s="1"/>
  <c r="I108" i="5" s="1"/>
  <c r="AD127" i="5"/>
  <c r="H127" i="5" s="1"/>
  <c r="I127" i="5" s="1"/>
  <c r="AD117" i="5"/>
  <c r="H117" i="5" s="1"/>
  <c r="I117" i="5" s="1"/>
  <c r="AD122" i="5"/>
  <c r="H122" i="5" s="1"/>
  <c r="I122" i="5" s="1"/>
  <c r="AB147" i="5"/>
  <c r="AB148" i="5"/>
  <c r="AB149" i="5"/>
  <c r="AB157" i="5"/>
  <c r="AB154" i="5"/>
  <c r="AB152" i="5"/>
  <c r="AB159" i="5"/>
  <c r="AB161" i="5"/>
  <c r="AB150" i="5"/>
  <c r="AB156" i="5"/>
  <c r="AB145" i="5"/>
  <c r="AB160" i="5"/>
  <c r="AB139" i="5"/>
  <c r="AB146" i="5"/>
  <c r="AB158" i="5"/>
  <c r="AB153" i="5"/>
  <c r="AB143" i="5"/>
  <c r="AB142" i="5"/>
  <c r="AB138" i="5"/>
  <c r="AB155" i="5"/>
  <c r="AB144" i="5"/>
  <c r="AB141" i="5"/>
  <c r="AB162" i="5"/>
  <c r="AB151" i="5"/>
  <c r="AB140" i="5"/>
  <c r="AD123" i="5"/>
  <c r="H123" i="5" s="1"/>
  <c r="I123" i="5" s="1"/>
  <c r="AD119" i="5"/>
  <c r="H119" i="5" s="1"/>
  <c r="I119" i="5" s="1"/>
  <c r="AD130" i="5"/>
  <c r="H130" i="5" s="1"/>
  <c r="I130" i="5" s="1"/>
  <c r="AA139" i="5"/>
  <c r="AA159" i="5"/>
  <c r="AA158" i="5"/>
  <c r="AA161" i="5"/>
  <c r="AA141" i="5"/>
  <c r="AA160" i="5"/>
  <c r="AA140" i="5"/>
  <c r="AA146" i="5"/>
  <c r="AA147" i="5"/>
  <c r="AA144" i="5"/>
  <c r="AA157" i="5"/>
  <c r="AA143" i="5"/>
  <c r="AA154" i="5"/>
  <c r="AA151" i="5"/>
  <c r="AA156" i="5"/>
  <c r="AA142" i="5"/>
  <c r="AA150" i="5"/>
  <c r="AA152" i="5"/>
  <c r="AA145" i="5"/>
  <c r="AA162" i="5"/>
  <c r="AA148" i="5"/>
  <c r="AA153" i="5"/>
  <c r="AA155" i="5"/>
  <c r="AA138" i="5"/>
  <c r="AA149" i="5"/>
  <c r="AC136" i="5"/>
  <c r="AD126" i="5"/>
  <c r="H126" i="5" s="1"/>
  <c r="I126" i="5" s="1"/>
  <c r="AD75" i="5"/>
  <c r="H75" i="5" s="1"/>
  <c r="I75" i="5" s="1"/>
  <c r="AD129" i="5"/>
  <c r="H129" i="5" s="1"/>
  <c r="I129" i="5" s="1"/>
  <c r="AD128" i="5"/>
  <c r="H128" i="5" s="1"/>
  <c r="I128" i="5" s="1"/>
  <c r="AD110" i="5"/>
  <c r="H110" i="5" s="1"/>
  <c r="I110" i="5" s="1"/>
  <c r="AD113" i="5"/>
  <c r="H113" i="5" s="1"/>
  <c r="I113" i="5" s="1"/>
  <c r="AD121" i="5"/>
  <c r="H121" i="5" s="1"/>
  <c r="I121" i="5" s="1"/>
  <c r="AD106" i="5"/>
  <c r="H106" i="5" s="1"/>
  <c r="I106" i="5" s="1"/>
  <c r="AD109" i="5"/>
  <c r="H109" i="5" s="1"/>
  <c r="I109" i="5" s="1"/>
  <c r="AD120" i="5"/>
  <c r="H120" i="5" s="1"/>
  <c r="I120" i="5" s="1"/>
  <c r="AD125" i="5"/>
  <c r="H125" i="5" s="1"/>
  <c r="I125" i="5" s="1"/>
  <c r="AZ748" i="6"/>
  <c r="AD118" i="5"/>
  <c r="H118" i="5" s="1"/>
  <c r="I118" i="5" s="1"/>
  <c r="AD124" i="5"/>
  <c r="H124" i="5" s="1"/>
  <c r="I124" i="5" s="1"/>
  <c r="AD111" i="5"/>
  <c r="H111" i="5" s="1"/>
  <c r="I111" i="5" s="1"/>
  <c r="AD22" i="5"/>
  <c r="H22" i="5" s="1"/>
  <c r="I22" i="5" s="1"/>
  <c r="AD32" i="5"/>
  <c r="H32" i="5" s="1"/>
  <c r="I32" i="5" s="1"/>
  <c r="B273" i="6"/>
  <c r="AH648" i="6"/>
  <c r="G222" i="6" s="1"/>
  <c r="G224" i="6" s="1"/>
  <c r="AH498" i="6"/>
  <c r="G171" i="6" s="1"/>
  <c r="AZ8" i="6"/>
  <c r="AH133" i="6"/>
  <c r="F52" i="6" s="1"/>
  <c r="AZ388" i="6"/>
  <c r="AZ698" i="6"/>
  <c r="AH549" i="6"/>
  <c r="AH598" i="6"/>
  <c r="G205" i="6" s="1"/>
  <c r="G207" i="6" s="1"/>
  <c r="AH548" i="6"/>
  <c r="G188" i="6" s="1"/>
  <c r="G173" i="6"/>
  <c r="G190" i="6"/>
  <c r="AH288" i="6"/>
  <c r="G103" i="6" s="1"/>
  <c r="AZ13" i="6"/>
  <c r="AH438" i="6"/>
  <c r="G154" i="6" s="1"/>
  <c r="AH770" i="6"/>
  <c r="AD11" i="5"/>
  <c r="H11" i="5" s="1"/>
  <c r="I11" i="5" s="1"/>
  <c r="AD29" i="5"/>
  <c r="H29" i="5" s="1"/>
  <c r="I29" i="5" s="1"/>
  <c r="AD116" i="5"/>
  <c r="H116" i="5" s="1"/>
  <c r="I116" i="5" s="1"/>
  <c r="AD115" i="5"/>
  <c r="H115" i="5" s="1"/>
  <c r="I115" i="5" s="1"/>
  <c r="AD10" i="5"/>
  <c r="H10" i="5" s="1"/>
  <c r="I10" i="5" s="1"/>
  <c r="AD25" i="5"/>
  <c r="H25" i="5" s="1"/>
  <c r="I25" i="5" s="1"/>
  <c r="AD33" i="5"/>
  <c r="H33" i="5" s="1"/>
  <c r="I33" i="5" s="1"/>
  <c r="P57" i="5"/>
  <c r="O57" i="5"/>
  <c r="O66" i="5"/>
  <c r="P66" i="5"/>
  <c r="O56" i="5"/>
  <c r="P56" i="5"/>
  <c r="P59" i="5"/>
  <c r="O59" i="5"/>
  <c r="P55" i="5"/>
  <c r="O55" i="5"/>
  <c r="O63" i="5"/>
  <c r="P63" i="5"/>
  <c r="AO598" i="6"/>
  <c r="AP598" i="6"/>
  <c r="W238" i="6"/>
  <c r="W239" i="6" s="1"/>
  <c r="X238" i="6"/>
  <c r="X239" i="6" s="1"/>
  <c r="W188" i="6"/>
  <c r="W189" i="6" s="1"/>
  <c r="X188" i="6"/>
  <c r="X189" i="6" s="1"/>
  <c r="R147" i="5"/>
  <c r="S147" i="5"/>
  <c r="R150" i="5"/>
  <c r="S150" i="5"/>
  <c r="R146" i="5"/>
  <c r="S146" i="5"/>
  <c r="R140" i="5"/>
  <c r="S140" i="5"/>
  <c r="R158" i="5"/>
  <c r="S158" i="5"/>
  <c r="P86" i="5"/>
  <c r="Q86" i="5"/>
  <c r="P92" i="5"/>
  <c r="Q92" i="5"/>
  <c r="P91" i="5"/>
  <c r="Q91" i="5"/>
  <c r="P96" i="5"/>
  <c r="Q96" i="5"/>
  <c r="P90" i="5"/>
  <c r="Q90" i="5"/>
  <c r="P82" i="5"/>
  <c r="Q82" i="5"/>
  <c r="P74" i="5"/>
  <c r="Q74" i="5"/>
  <c r="P88" i="5"/>
  <c r="Q88" i="5"/>
  <c r="O58" i="5"/>
  <c r="P58" i="5"/>
  <c r="R139" i="5"/>
  <c r="S139" i="5"/>
  <c r="R153" i="5"/>
  <c r="S153" i="5"/>
  <c r="R145" i="5"/>
  <c r="S145" i="5"/>
  <c r="R151" i="5"/>
  <c r="S151" i="5"/>
  <c r="R143" i="5"/>
  <c r="S143" i="5"/>
  <c r="R142" i="5"/>
  <c r="S142" i="5"/>
  <c r="R157" i="5"/>
  <c r="S157" i="5"/>
  <c r="P83" i="5"/>
  <c r="Q83" i="5"/>
  <c r="P97" i="5"/>
  <c r="Q97" i="5"/>
  <c r="P87" i="5"/>
  <c r="Q87" i="5"/>
  <c r="P81" i="5"/>
  <c r="Q81" i="5"/>
  <c r="P95" i="5"/>
  <c r="Q95" i="5"/>
  <c r="P89" i="5"/>
  <c r="Q89" i="5"/>
  <c r="AD15" i="5"/>
  <c r="H15" i="5" s="1"/>
  <c r="I15" i="5" s="1"/>
  <c r="AD14" i="5"/>
  <c r="H14" i="5" s="1"/>
  <c r="I14" i="5" s="1"/>
  <c r="AD17" i="5"/>
  <c r="H17" i="5" s="1"/>
  <c r="I17" i="5" s="1"/>
  <c r="AD13" i="5"/>
  <c r="H13" i="5" s="1"/>
  <c r="I13" i="5" s="1"/>
  <c r="W134" i="6"/>
  <c r="P50" i="5"/>
  <c r="O50" i="5"/>
  <c r="O64" i="5"/>
  <c r="P64" i="5"/>
  <c r="O65" i="5"/>
  <c r="P65" i="5"/>
  <c r="AO288" i="6"/>
  <c r="AP288" i="6"/>
  <c r="P52" i="5"/>
  <c r="O52" i="5"/>
  <c r="O62" i="5"/>
  <c r="P62" i="5"/>
  <c r="P53" i="5"/>
  <c r="O53" i="5"/>
  <c r="O42" i="5"/>
  <c r="P42" i="5"/>
  <c r="P60" i="5"/>
  <c r="O60" i="5"/>
  <c r="P46" i="5"/>
  <c r="O46" i="5"/>
  <c r="AO648" i="6"/>
  <c r="AP648" i="6"/>
  <c r="AO548" i="6"/>
  <c r="AP548" i="6"/>
  <c r="AP438" i="6"/>
  <c r="AO438" i="6"/>
  <c r="AN133" i="6"/>
  <c r="AO133" i="6"/>
  <c r="R138" i="5"/>
  <c r="S138" i="5"/>
  <c r="R144" i="5"/>
  <c r="S144" i="5"/>
  <c r="R141" i="5"/>
  <c r="S141" i="5"/>
  <c r="P85" i="5"/>
  <c r="Q85" i="5"/>
  <c r="P77" i="5"/>
  <c r="Q77" i="5"/>
  <c r="R152" i="5"/>
  <c r="S152" i="5"/>
  <c r="P98" i="5"/>
  <c r="Q98" i="5"/>
  <c r="P80" i="5"/>
  <c r="Q80" i="5"/>
  <c r="P93" i="5"/>
  <c r="Q93" i="5"/>
  <c r="P76" i="5"/>
  <c r="Q76" i="5"/>
  <c r="AD28" i="5"/>
  <c r="H28" i="5" s="1"/>
  <c r="I28" i="5" s="1"/>
  <c r="AD31" i="5"/>
  <c r="H31" i="5" s="1"/>
  <c r="I31" i="5" s="1"/>
  <c r="AD12" i="5"/>
  <c r="H12" i="5" s="1"/>
  <c r="I12" i="5" s="1"/>
  <c r="T14" i="6"/>
  <c r="T773" i="6" s="1"/>
  <c r="T772" i="6"/>
  <c r="AD23" i="5"/>
  <c r="H23" i="5" s="1"/>
  <c r="I23" i="5" s="1"/>
  <c r="AD18" i="5"/>
  <c r="H18" i="5" s="1"/>
  <c r="I18" i="5" s="1"/>
  <c r="AD21" i="5"/>
  <c r="H21" i="5" s="1"/>
  <c r="I21" i="5" s="1"/>
  <c r="AD20" i="5"/>
  <c r="H20" i="5" s="1"/>
  <c r="I20" i="5" s="1"/>
  <c r="V134" i="6"/>
  <c r="O54" i="5"/>
  <c r="P54" i="5"/>
  <c r="O45" i="5"/>
  <c r="P45" i="5"/>
  <c r="AO498" i="6"/>
  <c r="AP498" i="6"/>
  <c r="O61" i="5"/>
  <c r="P61" i="5"/>
  <c r="P44" i="5"/>
  <c r="O44" i="5"/>
  <c r="P49" i="5"/>
  <c r="O49" i="5"/>
  <c r="P47" i="5"/>
  <c r="O47" i="5"/>
  <c r="O51" i="5"/>
  <c r="P51" i="5"/>
  <c r="O43" i="5"/>
  <c r="P43" i="5"/>
  <c r="O48" i="5"/>
  <c r="P48" i="5"/>
  <c r="Y98" i="6"/>
  <c r="Y99" i="6" s="1"/>
  <c r="Z98" i="6"/>
  <c r="Z99" i="6" s="1"/>
  <c r="T18" i="6"/>
  <c r="U18" i="6"/>
  <c r="AL733" i="6"/>
  <c r="AM733" i="6"/>
  <c r="AL323" i="6"/>
  <c r="AL533" i="6"/>
  <c r="AL123" i="6"/>
  <c r="AL223" i="6"/>
  <c r="AL683" i="6"/>
  <c r="AL633" i="6"/>
  <c r="AL423" i="6"/>
  <c r="AL173" i="6"/>
  <c r="AL483" i="6"/>
  <c r="AM223" i="6"/>
  <c r="AL373" i="6"/>
  <c r="AL73" i="6"/>
  <c r="AM173" i="6"/>
  <c r="AM373" i="6"/>
  <c r="AM323" i="6"/>
  <c r="AM73" i="6"/>
  <c r="AL273" i="6"/>
  <c r="AM483" i="6"/>
  <c r="AM633" i="6"/>
  <c r="AM583" i="6"/>
  <c r="AL583" i="6"/>
  <c r="AM123" i="6"/>
  <c r="AL18" i="6"/>
  <c r="AM533" i="6"/>
  <c r="AM683" i="6"/>
  <c r="AM423" i="6"/>
  <c r="AM273" i="6"/>
  <c r="AM18" i="6"/>
  <c r="R155" i="5"/>
  <c r="S155" i="5"/>
  <c r="R149" i="5"/>
  <c r="S149" i="5"/>
  <c r="R161" i="5"/>
  <c r="S161" i="5"/>
  <c r="R160" i="5"/>
  <c r="S160" i="5"/>
  <c r="R148" i="5"/>
  <c r="S148" i="5"/>
  <c r="R154" i="5"/>
  <c r="S154" i="5"/>
  <c r="R159" i="5"/>
  <c r="S159" i="5"/>
  <c r="R162" i="5"/>
  <c r="S162" i="5"/>
  <c r="P78" i="5"/>
  <c r="Q78" i="5"/>
  <c r="P94" i="5"/>
  <c r="Q94" i="5"/>
  <c r="P79" i="5"/>
  <c r="Q79" i="5"/>
  <c r="P84" i="5"/>
  <c r="Q84" i="5"/>
  <c r="AD19" i="5"/>
  <c r="H19" i="5" s="1"/>
  <c r="I19" i="5" s="1"/>
  <c r="AD27" i="5"/>
  <c r="H27" i="5" s="1"/>
  <c r="I27" i="5" s="1"/>
  <c r="S14" i="6"/>
  <c r="S773" i="6" s="1"/>
  <c r="S772" i="6"/>
  <c r="AH13" i="6"/>
  <c r="C18" i="6" s="1"/>
  <c r="AD16" i="5"/>
  <c r="H16" i="5" s="1"/>
  <c r="I16" i="5" s="1"/>
  <c r="AD30" i="5"/>
  <c r="H30" i="5" s="1"/>
  <c r="I30" i="5" s="1"/>
  <c r="AD34" i="5"/>
  <c r="H34" i="5" s="1"/>
  <c r="I34" i="5" s="1"/>
  <c r="AD24" i="5"/>
  <c r="H24" i="5" s="1"/>
  <c r="I24" i="5" s="1"/>
  <c r="AD26" i="5"/>
  <c r="H26" i="5" s="1"/>
  <c r="I26" i="5" s="1"/>
  <c r="F54" i="6"/>
  <c r="AK68" i="9"/>
  <c r="AJ68" i="9" s="1"/>
  <c r="AF72" i="7"/>
  <c r="AE146" i="7"/>
  <c r="AK38" i="7"/>
  <c r="AH146" i="7"/>
  <c r="AP29" i="9"/>
  <c r="AP31" i="9" s="1"/>
  <c r="AL33" i="7"/>
  <c r="AL37" i="7" s="1"/>
  <c r="G99" i="5"/>
  <c r="F14" i="7" s="1"/>
  <c r="AE147" i="7"/>
  <c r="AK105" i="7"/>
  <c r="AK107" i="7" s="1"/>
  <c r="AD28" i="6"/>
  <c r="AD778" i="6" s="1"/>
  <c r="AE27" i="6"/>
  <c r="AF27" i="6" s="1"/>
  <c r="AX27" i="6" s="1"/>
  <c r="AX28" i="6" s="1"/>
  <c r="Z217" i="5"/>
  <c r="Y216" i="5"/>
  <c r="Z223" i="5"/>
  <c r="Z218" i="5"/>
  <c r="Y217" i="5"/>
  <c r="Z204" i="5"/>
  <c r="Z203" i="5"/>
  <c r="Y204" i="5"/>
  <c r="Y221" i="5"/>
  <c r="Z207" i="5"/>
  <c r="Y219" i="5"/>
  <c r="Y207" i="5"/>
  <c r="AC29" i="6"/>
  <c r="AC779" i="6" s="1"/>
  <c r="Z206" i="5"/>
  <c r="Z226" i="5"/>
  <c r="Z211" i="5"/>
  <c r="Z212" i="5"/>
  <c r="Z208" i="5"/>
  <c r="Z220" i="5"/>
  <c r="Y209" i="5"/>
  <c r="Y203" i="5"/>
  <c r="Y210" i="5"/>
  <c r="Y225" i="5"/>
  <c r="Y222" i="5"/>
  <c r="Y226" i="5"/>
  <c r="Z213" i="5"/>
  <c r="Z209" i="5"/>
  <c r="Z210" i="5"/>
  <c r="Z214" i="5"/>
  <c r="Z215" i="5"/>
  <c r="Z224" i="5"/>
  <c r="Z219" i="5"/>
  <c r="AA200" i="5"/>
  <c r="AA212" i="5" s="1"/>
  <c r="Y212" i="5"/>
  <c r="Y202" i="5"/>
  <c r="Y205" i="5"/>
  <c r="Y224" i="5"/>
  <c r="Y220" i="5"/>
  <c r="Y223" i="5"/>
  <c r="Z222" i="5"/>
  <c r="Z225" i="5"/>
  <c r="Z202" i="5"/>
  <c r="Z216" i="5"/>
  <c r="Z205" i="5"/>
  <c r="Y214" i="5"/>
  <c r="Y208" i="5"/>
  <c r="Y218" i="5"/>
  <c r="Y211" i="5"/>
  <c r="Y213" i="5"/>
  <c r="Y206" i="5"/>
  <c r="Y215" i="5"/>
  <c r="AF135" i="7"/>
  <c r="AF137" i="7" s="1"/>
  <c r="Y786" i="6"/>
  <c r="AQ52" i="6"/>
  <c r="AQ53" i="6" s="1"/>
  <c r="AG69" i="7"/>
  <c r="AG135" i="7" s="1"/>
  <c r="Z52" i="6"/>
  <c r="AR52" i="6" s="1"/>
  <c r="AR53" i="6" s="1"/>
  <c r="Y53" i="6"/>
  <c r="Y54" i="6" s="1"/>
  <c r="AQ373" i="6"/>
  <c r="AR373" i="6"/>
  <c r="AO83" i="7"/>
  <c r="AH145" i="7" s="1"/>
  <c r="AP80" i="7"/>
  <c r="AH771" i="6"/>
  <c r="P471" i="6"/>
  <c r="P496" i="6"/>
  <c r="B275" i="6"/>
  <c r="Y787" i="6"/>
  <c r="AD161" i="7"/>
  <c r="X280" i="5"/>
  <c r="X285" i="5"/>
  <c r="X289" i="5"/>
  <c r="X277" i="5"/>
  <c r="X272" i="5"/>
  <c r="X269" i="5"/>
  <c r="X268" i="5"/>
  <c r="X274" i="5"/>
  <c r="X276" i="5"/>
  <c r="X278" i="5"/>
  <c r="X267" i="5"/>
  <c r="X273" i="5"/>
  <c r="X266" i="5"/>
  <c r="X290" i="5"/>
  <c r="X279" i="5"/>
  <c r="X275" i="5"/>
  <c r="X282" i="5"/>
  <c r="X286" i="5"/>
  <c r="X287" i="5"/>
  <c r="X288" i="5"/>
  <c r="X270" i="5"/>
  <c r="X281" i="5"/>
  <c r="X283" i="5"/>
  <c r="X284" i="5"/>
  <c r="X271" i="5"/>
  <c r="AF131" i="7"/>
  <c r="AF132" i="7"/>
  <c r="AE58" i="7"/>
  <c r="AE57" i="7"/>
  <c r="AE123" i="7"/>
  <c r="AJ44" i="7"/>
  <c r="AJ43" i="7"/>
  <c r="AJ111" i="7"/>
  <c r="E191" i="5"/>
  <c r="G180" i="5"/>
  <c r="G176" i="5"/>
  <c r="G184" i="5"/>
  <c r="G188" i="5"/>
  <c r="E171" i="5"/>
  <c r="G187" i="5"/>
  <c r="G182" i="5"/>
  <c r="E186" i="5"/>
  <c r="G177" i="5"/>
  <c r="G191" i="5"/>
  <c r="E189" i="5"/>
  <c r="G192" i="5"/>
  <c r="E190" i="5"/>
  <c r="G175" i="5"/>
  <c r="G179" i="5"/>
  <c r="G171" i="5"/>
  <c r="E194" i="5"/>
  <c r="E176" i="5"/>
  <c r="G172" i="5"/>
  <c r="E170" i="5"/>
  <c r="G183" i="5"/>
  <c r="E179" i="5"/>
  <c r="E175" i="5"/>
  <c r="G186" i="5"/>
  <c r="E174" i="5"/>
  <c r="E182" i="5"/>
  <c r="G174" i="5"/>
  <c r="G189" i="5"/>
  <c r="E193" i="5"/>
  <c r="E172" i="5"/>
  <c r="G190" i="5"/>
  <c r="E192" i="5"/>
  <c r="G193" i="5"/>
  <c r="G181" i="5"/>
  <c r="E178" i="5"/>
  <c r="E180" i="5"/>
  <c r="E177" i="5"/>
  <c r="E173" i="5"/>
  <c r="G173" i="5"/>
  <c r="G185" i="5"/>
  <c r="G178" i="5"/>
  <c r="E184" i="5"/>
  <c r="E183" i="5"/>
  <c r="G170" i="5"/>
  <c r="E188" i="5"/>
  <c r="E187" i="5"/>
  <c r="E181" i="5"/>
  <c r="E185" i="5"/>
  <c r="G194" i="5"/>
  <c r="AN27" i="7"/>
  <c r="AR23" i="9"/>
  <c r="AR25" i="9" s="1"/>
  <c r="AF23" i="6"/>
  <c r="AX22" i="6"/>
  <c r="AX23" i="6" s="1"/>
  <c r="AL30" i="7"/>
  <c r="AL101" i="7"/>
  <c r="AL99" i="7"/>
  <c r="AL102" i="7" s="1"/>
  <c r="AL29" i="7"/>
  <c r="AD160" i="7"/>
  <c r="AI119" i="7"/>
  <c r="AI120" i="7"/>
  <c r="W44" i="6"/>
  <c r="W785" i="6" s="1"/>
  <c r="W784" i="6"/>
  <c r="X312" i="5"/>
  <c r="X318" i="5"/>
  <c r="X315" i="5"/>
  <c r="X304" i="5"/>
  <c r="X299" i="5"/>
  <c r="X303" i="5"/>
  <c r="X307" i="5"/>
  <c r="X298" i="5"/>
  <c r="X308" i="5"/>
  <c r="X317" i="5"/>
  <c r="X302" i="5"/>
  <c r="X310" i="5"/>
  <c r="X314" i="5"/>
  <c r="X320" i="5"/>
  <c r="X300" i="5"/>
  <c r="X316" i="5"/>
  <c r="X322" i="5"/>
  <c r="X321" i="5"/>
  <c r="X311" i="5"/>
  <c r="X309" i="5"/>
  <c r="X319" i="5"/>
  <c r="X305" i="5"/>
  <c r="X301" i="5"/>
  <c r="X313" i="5"/>
  <c r="X306" i="5"/>
  <c r="AJ50" i="7"/>
  <c r="AJ51" i="7"/>
  <c r="AJ117" i="7"/>
  <c r="AD138" i="7"/>
  <c r="AD137" i="7"/>
  <c r="AD125" i="7"/>
  <c r="AD126" i="7"/>
  <c r="AK51" i="7"/>
  <c r="AK117" i="7"/>
  <c r="AK50" i="7"/>
  <c r="AQ42" i="6"/>
  <c r="AK49" i="9"/>
  <c r="AG55" i="7"/>
  <c r="AJ49" i="9"/>
  <c r="AJ51" i="9" s="1"/>
  <c r="X43" i="6"/>
  <c r="AF55" i="7"/>
  <c r="AP42" i="6"/>
  <c r="AP43" i="6" s="1"/>
  <c r="Z42" i="6"/>
  <c r="AE72" i="7"/>
  <c r="AE71" i="7"/>
  <c r="AD162" i="7" s="1"/>
  <c r="AE135" i="7"/>
  <c r="AP36" i="9"/>
  <c r="AP38" i="9" s="1"/>
  <c r="AE37" i="6"/>
  <c r="AV37" i="6"/>
  <c r="AV38" i="6" s="1"/>
  <c r="AP43" i="9"/>
  <c r="AP45" i="9" s="1"/>
  <c r="AL48" i="7"/>
  <c r="AD38" i="6"/>
  <c r="AD39" i="6" s="1"/>
  <c r="AI113" i="7"/>
  <c r="AI114" i="7"/>
  <c r="AM27" i="7"/>
  <c r="AQ23" i="9"/>
  <c r="AQ25" i="9" s="1"/>
  <c r="AE23" i="6"/>
  <c r="AW22" i="6"/>
  <c r="AW23" i="6" s="1"/>
  <c r="AG22" i="6"/>
  <c r="AH22" i="6" s="1"/>
  <c r="AD24" i="6"/>
  <c r="AD777" i="6" s="1"/>
  <c r="AD776" i="6"/>
  <c r="AG129" i="7"/>
  <c r="AG64" i="7"/>
  <c r="AG65" i="7"/>
  <c r="AC137" i="7"/>
  <c r="AC138" i="7"/>
  <c r="AK41" i="7"/>
  <c r="W283" i="5"/>
  <c r="W279" i="5"/>
  <c r="W280" i="5"/>
  <c r="W269" i="5"/>
  <c r="W277" i="5"/>
  <c r="W288" i="5"/>
  <c r="W268" i="5"/>
  <c r="W272" i="5"/>
  <c r="W273" i="5"/>
  <c r="W287" i="5"/>
  <c r="W282" i="5"/>
  <c r="W290" i="5"/>
  <c r="W278" i="5"/>
  <c r="W266" i="5"/>
  <c r="W274" i="5"/>
  <c r="W285" i="5"/>
  <c r="W271" i="5"/>
  <c r="W289" i="5"/>
  <c r="W275" i="5"/>
  <c r="W270" i="5"/>
  <c r="W286" i="5"/>
  <c r="W281" i="5"/>
  <c r="W284" i="5"/>
  <c r="W267" i="5"/>
  <c r="Y264" i="5"/>
  <c r="W276" i="5"/>
  <c r="X255" i="5"/>
  <c r="X238" i="5"/>
  <c r="X257" i="5"/>
  <c r="X250" i="5"/>
  <c r="X234" i="5"/>
  <c r="X236" i="5"/>
  <c r="X245" i="5"/>
  <c r="X258" i="5"/>
  <c r="X243" i="5"/>
  <c r="X253" i="5"/>
  <c r="Y232" i="5"/>
  <c r="X244" i="5"/>
  <c r="X246" i="5"/>
  <c r="X256" i="5"/>
  <c r="X251" i="5"/>
  <c r="X237" i="5"/>
  <c r="X241" i="5"/>
  <c r="X240" i="5"/>
  <c r="X242" i="5"/>
  <c r="X252" i="5"/>
  <c r="X249" i="5"/>
  <c r="X254" i="5"/>
  <c r="X239" i="5"/>
  <c r="X248" i="5"/>
  <c r="X235" i="5"/>
  <c r="X247" i="5"/>
  <c r="Y296" i="5"/>
  <c r="AE132" i="7"/>
  <c r="AE131" i="7"/>
  <c r="AR47" i="6"/>
  <c r="AR48" i="6" s="1"/>
  <c r="Z48" i="6"/>
  <c r="Z49" i="6" s="1"/>
  <c r="Z787" i="6" s="1"/>
  <c r="AH62" i="7"/>
  <c r="AL55" i="9"/>
  <c r="AL57" i="9" s="1"/>
  <c r="AA47" i="6"/>
  <c r="AA782" i="6"/>
  <c r="AS19" i="9"/>
  <c r="AT17" i="9"/>
  <c r="AO24" i="7"/>
  <c r="AO23" i="7"/>
  <c r="AO93" i="7"/>
  <c r="AO96" i="7" s="1"/>
  <c r="AO95" i="7"/>
  <c r="AP21" i="7"/>
  <c r="AG19" i="6"/>
  <c r="AG775" i="6" s="1"/>
  <c r="AG774" i="6"/>
  <c r="AA783" i="6"/>
  <c r="AZ97" i="6"/>
  <c r="AX652" i="6"/>
  <c r="AX653" i="6" s="1"/>
  <c r="AF653" i="6"/>
  <c r="AF654" i="6" s="1"/>
  <c r="AF608" i="6"/>
  <c r="AF609" i="6" s="1"/>
  <c r="AX607" i="6"/>
  <c r="AX608" i="6" s="1"/>
  <c r="AU712" i="6"/>
  <c r="AU713" i="6" s="1"/>
  <c r="AC713" i="6"/>
  <c r="AC714" i="6" s="1"/>
  <c r="Y358" i="6"/>
  <c r="Y359" i="6" s="1"/>
  <c r="AQ357" i="6"/>
  <c r="AQ358" i="6" s="1"/>
  <c r="AU92" i="6"/>
  <c r="AA458" i="6"/>
  <c r="AA459" i="6" s="1"/>
  <c r="AS457" i="6"/>
  <c r="AS458" i="6" s="1"/>
  <c r="AE703" i="6"/>
  <c r="AE704" i="6" s="1"/>
  <c r="AW702" i="6"/>
  <c r="AW703" i="6" s="1"/>
  <c r="AT152" i="6"/>
  <c r="AT153" i="6" s="1"/>
  <c r="AB153" i="6"/>
  <c r="AB154" i="6" s="1"/>
  <c r="AE298" i="6"/>
  <c r="AE299" i="6" s="1"/>
  <c r="AW297" i="6"/>
  <c r="AW298" i="6" s="1"/>
  <c r="AF343" i="6"/>
  <c r="AF344" i="6" s="1"/>
  <c r="AX342" i="6"/>
  <c r="AX343" i="6" s="1"/>
  <c r="AV447" i="6"/>
  <c r="AV448" i="6" s="1"/>
  <c r="AD448" i="6"/>
  <c r="AD449" i="6" s="1"/>
  <c r="AU707" i="6"/>
  <c r="AU708" i="6" s="1"/>
  <c r="AC708" i="6"/>
  <c r="AE103" i="6"/>
  <c r="AE104" i="6" s="1"/>
  <c r="AW102" i="6"/>
  <c r="AW103" i="6" s="1"/>
  <c r="AS307" i="6"/>
  <c r="AS308" i="6" s="1"/>
  <c r="AA308" i="6"/>
  <c r="AA309" i="6" s="1"/>
  <c r="AC453" i="6"/>
  <c r="AC454" i="6" s="1"/>
  <c r="AU452" i="6"/>
  <c r="AU453" i="6" s="1"/>
  <c r="AY192" i="6"/>
  <c r="AG193" i="6"/>
  <c r="AH192" i="6"/>
  <c r="AV507" i="6"/>
  <c r="AV508" i="6" s="1"/>
  <c r="AD508" i="6"/>
  <c r="AD509" i="6" s="1"/>
  <c r="AG243" i="6"/>
  <c r="AY242" i="6"/>
  <c r="AH242" i="6"/>
  <c r="Z768" i="6"/>
  <c r="AR767" i="6"/>
  <c r="AR768" i="6" s="1"/>
  <c r="AR667" i="6"/>
  <c r="AR668" i="6" s="1"/>
  <c r="Z668" i="6"/>
  <c r="Z669" i="6" s="1"/>
  <c r="AE758" i="6"/>
  <c r="AW757" i="6"/>
  <c r="AW758" i="6" s="1"/>
  <c r="AU347" i="6"/>
  <c r="AU348" i="6" s="1"/>
  <c r="AC348" i="6"/>
  <c r="AC349" i="6" s="1"/>
  <c r="AX502" i="6"/>
  <c r="AX503" i="6" s="1"/>
  <c r="AF503" i="6"/>
  <c r="AF504" i="6" s="1"/>
  <c r="AR717" i="6"/>
  <c r="AR718" i="6" s="1"/>
  <c r="Z718" i="6"/>
  <c r="Z719" i="6" s="1"/>
  <c r="AE248" i="6"/>
  <c r="AE249" i="6" s="1"/>
  <c r="AW247" i="6"/>
  <c r="AW248" i="6" s="1"/>
  <c r="AR408" i="6"/>
  <c r="AF88" i="6"/>
  <c r="AF89" i="6" s="1"/>
  <c r="AX87" i="6"/>
  <c r="AX88" i="6" s="1"/>
  <c r="AE603" i="6"/>
  <c r="AE604" i="6" s="1"/>
  <c r="AW602" i="6"/>
  <c r="AW603" i="6" s="1"/>
  <c r="AD347" i="6"/>
  <c r="AC553" i="6"/>
  <c r="AC554" i="6" s="1"/>
  <c r="AU552" i="6"/>
  <c r="AU553" i="6" s="1"/>
  <c r="AT203" i="6"/>
  <c r="Y769" i="6"/>
  <c r="AD303" i="6"/>
  <c r="AD304" i="6" s="1"/>
  <c r="AV302" i="6"/>
  <c r="AV303" i="6" s="1"/>
  <c r="AT397" i="6"/>
  <c r="AT398" i="6" s="1"/>
  <c r="AB398" i="6"/>
  <c r="AB399" i="6" s="1"/>
  <c r="AR257" i="6"/>
  <c r="AR258" i="6" s="1"/>
  <c r="Z258" i="6"/>
  <c r="AC198" i="6"/>
  <c r="AC199" i="6" s="1"/>
  <c r="AU197" i="6"/>
  <c r="AU198" i="6" s="1"/>
  <c r="AR108" i="6"/>
  <c r="AC397" i="6"/>
  <c r="AD753" i="6"/>
  <c r="AV752" i="6"/>
  <c r="AV753" i="6" s="1"/>
  <c r="AT517" i="6"/>
  <c r="AT518" i="6" s="1"/>
  <c r="AB518" i="6"/>
  <c r="AB519" i="6" s="1"/>
  <c r="AT197" i="6"/>
  <c r="AT198" i="6" s="1"/>
  <c r="AB198" i="6"/>
  <c r="AB199" i="6" s="1"/>
  <c r="AD197" i="6"/>
  <c r="AC403" i="6"/>
  <c r="AC404" i="6" s="1"/>
  <c r="AU402" i="6"/>
  <c r="AU403" i="6" s="1"/>
  <c r="AT662" i="6"/>
  <c r="AT663" i="6" s="1"/>
  <c r="AB663" i="6"/>
  <c r="AB664" i="6" s="1"/>
  <c r="AD662" i="6"/>
  <c r="AE662" i="6" s="1"/>
  <c r="AD552" i="6"/>
  <c r="AA709" i="6"/>
  <c r="Y719" i="6"/>
  <c r="AF247" i="6"/>
  <c r="AE302" i="6"/>
  <c r="AE752" i="6"/>
  <c r="AF752" i="6" s="1"/>
  <c r="AC613" i="6"/>
  <c r="AC614" i="6" s="1"/>
  <c r="AU612" i="6"/>
  <c r="AU613" i="6" s="1"/>
  <c r="AS157" i="6"/>
  <c r="AS158" i="6" s="1"/>
  <c r="AA158" i="6"/>
  <c r="AA159" i="6" s="1"/>
  <c r="AU202" i="6"/>
  <c r="AU203" i="6" s="1"/>
  <c r="AC203" i="6"/>
  <c r="AC204" i="6" s="1"/>
  <c r="AT512" i="6"/>
  <c r="AT513" i="6" s="1"/>
  <c r="AB513" i="6"/>
  <c r="AB514" i="6" s="1"/>
  <c r="AB208" i="6"/>
  <c r="AB209" i="6" s="1"/>
  <c r="AT207" i="6"/>
  <c r="AT208" i="6" s="1"/>
  <c r="AY392" i="6"/>
  <c r="AG393" i="6"/>
  <c r="AH392" i="6"/>
  <c r="AE253" i="6"/>
  <c r="AE254" i="6" s="1"/>
  <c r="AW252" i="6"/>
  <c r="AW253" i="6" s="1"/>
  <c r="AS152" i="6"/>
  <c r="AS153" i="6" s="1"/>
  <c r="AA153" i="6"/>
  <c r="AC152" i="6"/>
  <c r="G67" i="5"/>
  <c r="D14" i="7" s="1"/>
  <c r="AU352" i="6"/>
  <c r="AU353" i="6" s="1"/>
  <c r="AC353" i="6"/>
  <c r="AC354" i="6" s="1"/>
  <c r="AB614" i="6"/>
  <c r="AC207" i="6"/>
  <c r="AD207" i="6" s="1"/>
  <c r="AC512" i="6"/>
  <c r="AV147" i="6"/>
  <c r="AV148" i="6" s="1"/>
  <c r="AD148" i="6"/>
  <c r="AD149" i="6" s="1"/>
  <c r="AF757" i="6"/>
  <c r="AC563" i="6"/>
  <c r="AC564" i="6" s="1"/>
  <c r="AU562" i="6"/>
  <c r="AU563" i="6" s="1"/>
  <c r="AD352" i="6"/>
  <c r="AV137" i="6"/>
  <c r="AV138" i="6" s="1"/>
  <c r="AD138" i="6"/>
  <c r="W359" i="6"/>
  <c r="W789" i="6" s="1"/>
  <c r="AC658" i="6"/>
  <c r="AC659" i="6" s="1"/>
  <c r="AU657" i="6"/>
  <c r="AU658" i="6" s="1"/>
  <c r="AD239" i="6"/>
  <c r="AE137" i="6"/>
  <c r="AD402" i="6"/>
  <c r="AE402" i="6" s="1"/>
  <c r="AD562" i="6"/>
  <c r="AE562" i="6" s="1"/>
  <c r="AV188" i="6"/>
  <c r="AZ187" i="6"/>
  <c r="AB764" i="6"/>
  <c r="AC754" i="6"/>
  <c r="AT92" i="6"/>
  <c r="AT93" i="6" s="1"/>
  <c r="AB93" i="6"/>
  <c r="AB94" i="6" s="1"/>
  <c r="AD92" i="6"/>
  <c r="AQ617" i="6"/>
  <c r="AQ618" i="6" s="1"/>
  <c r="Y618" i="6"/>
  <c r="AV102" i="6"/>
  <c r="AV103" i="6" s="1"/>
  <c r="AD103" i="6"/>
  <c r="AD104" i="6" s="1"/>
  <c r="AF102" i="6"/>
  <c r="AS557" i="6"/>
  <c r="AS558" i="6" s="1"/>
  <c r="AA558" i="6"/>
  <c r="AA559" i="6" s="1"/>
  <c r="AR307" i="6"/>
  <c r="Z308" i="6"/>
  <c r="AB307" i="6"/>
  <c r="AE293" i="6"/>
  <c r="AE294" i="6" s="1"/>
  <c r="AW292" i="6"/>
  <c r="AW293" i="6" s="1"/>
  <c r="AT407" i="6"/>
  <c r="AT408" i="6" s="1"/>
  <c r="AB408" i="6"/>
  <c r="AB409" i="6" s="1"/>
  <c r="AU253" i="6"/>
  <c r="Z458" i="6"/>
  <c r="Z459" i="6" s="1"/>
  <c r="AR457" i="6"/>
  <c r="AR458" i="6" s="1"/>
  <c r="AB457" i="6"/>
  <c r="AC457" i="6" s="1"/>
  <c r="Z568" i="6"/>
  <c r="Z569" i="6" s="1"/>
  <c r="AR567" i="6"/>
  <c r="AR568" i="6" s="1"/>
  <c r="AS107" i="6"/>
  <c r="AS108" i="6" s="1"/>
  <c r="AA108" i="6"/>
  <c r="AC763" i="6"/>
  <c r="AU762" i="6"/>
  <c r="AU763" i="6" s="1"/>
  <c r="AG502" i="6"/>
  <c r="AA567" i="6"/>
  <c r="AA767" i="6"/>
  <c r="AB767" i="6" s="1"/>
  <c r="AH147" i="7"/>
  <c r="AA257" i="6"/>
  <c r="AB257" i="6" s="1"/>
  <c r="AT712" i="6"/>
  <c r="AT713" i="6" s="1"/>
  <c r="AB713" i="6"/>
  <c r="AB714" i="6" s="1"/>
  <c r="AD712" i="6"/>
  <c r="AB157" i="6"/>
  <c r="AT452" i="6"/>
  <c r="AT453" i="6" s="1"/>
  <c r="AB453" i="6"/>
  <c r="AB454" i="6" s="1"/>
  <c r="AD452" i="6"/>
  <c r="AU447" i="6"/>
  <c r="AU448" i="6" s="1"/>
  <c r="AC448" i="6"/>
  <c r="AC449" i="6" s="1"/>
  <c r="AE447" i="6"/>
  <c r="AA667" i="6"/>
  <c r="AB667" i="6" s="1"/>
  <c r="AV238" i="6"/>
  <c r="AZ237" i="6"/>
  <c r="AB754" i="6"/>
  <c r="AC443" i="6"/>
  <c r="AC444" i="6" s="1"/>
  <c r="AU442" i="6"/>
  <c r="AU443" i="6" s="1"/>
  <c r="AA717" i="6"/>
  <c r="W788" i="6"/>
  <c r="AQ458" i="6"/>
  <c r="AD189" i="6"/>
  <c r="AF292" i="6"/>
  <c r="AG292" i="6" s="1"/>
  <c r="AC407" i="6"/>
  <c r="AF252" i="6"/>
  <c r="AF602" i="6"/>
  <c r="AD442" i="6"/>
  <c r="AE442" i="6" s="1"/>
  <c r="AW652" i="6"/>
  <c r="AW653" i="6" s="1"/>
  <c r="AE653" i="6"/>
  <c r="AE654" i="6" s="1"/>
  <c r="AG652" i="6"/>
  <c r="AO618" i="6"/>
  <c r="AE608" i="6"/>
  <c r="AE609" i="6" s="1"/>
  <c r="AW607" i="6"/>
  <c r="AW608" i="6" s="1"/>
  <c r="AG607" i="6"/>
  <c r="AV297" i="6"/>
  <c r="AV298" i="6" s="1"/>
  <c r="AD298" i="6"/>
  <c r="AD299" i="6" s="1"/>
  <c r="AF297" i="6"/>
  <c r="AG297" i="6" s="1"/>
  <c r="AV702" i="6"/>
  <c r="AV703" i="6" s="1"/>
  <c r="AD703" i="6"/>
  <c r="AD704" i="6" s="1"/>
  <c r="AF702" i="6"/>
  <c r="AD202" i="6"/>
  <c r="AE202" i="6" s="1"/>
  <c r="AA764" i="6"/>
  <c r="AD612" i="6"/>
  <c r="AE143" i="6"/>
  <c r="AE144" i="6" s="1"/>
  <c r="AW142" i="6"/>
  <c r="AW143" i="6" s="1"/>
  <c r="AQ568" i="6"/>
  <c r="AD759" i="6"/>
  <c r="AE343" i="6"/>
  <c r="AE344" i="6" s="1"/>
  <c r="AW342" i="6"/>
  <c r="AW343" i="6" s="1"/>
  <c r="AG342" i="6"/>
  <c r="AQ258" i="6"/>
  <c r="AB107" i="6"/>
  <c r="AC107" i="6" s="1"/>
  <c r="AR158" i="6"/>
  <c r="AP357" i="6"/>
  <c r="Z357" i="6"/>
  <c r="AA357" i="6" s="1"/>
  <c r="X358" i="6"/>
  <c r="AF193" i="6"/>
  <c r="AF194" i="6" s="1"/>
  <c r="AX192" i="6"/>
  <c r="AX193" i="6" s="1"/>
  <c r="AU507" i="6"/>
  <c r="AU508" i="6" s="1"/>
  <c r="AC508" i="6"/>
  <c r="AC509" i="6" s="1"/>
  <c r="AE507" i="6"/>
  <c r="Y669" i="6"/>
  <c r="AC663" i="6"/>
  <c r="AC664" i="6" s="1"/>
  <c r="AU662" i="6"/>
  <c r="AU663" i="6" s="1"/>
  <c r="AC148" i="6"/>
  <c r="AC149" i="6" s="1"/>
  <c r="AU147" i="6"/>
  <c r="AU148" i="6" s="1"/>
  <c r="AE147" i="6"/>
  <c r="AF147" i="6" s="1"/>
  <c r="AG87" i="6"/>
  <c r="AT707" i="6"/>
  <c r="AT708" i="6" s="1"/>
  <c r="AB708" i="6"/>
  <c r="AD707" i="6"/>
  <c r="AE707" i="6" s="1"/>
  <c r="AT657" i="6"/>
  <c r="AT658" i="6" s="1"/>
  <c r="AB658" i="6"/>
  <c r="AB659" i="6" s="1"/>
  <c r="AD657" i="6"/>
  <c r="Z617" i="6"/>
  <c r="AA617" i="6" s="1"/>
  <c r="AC517" i="6"/>
  <c r="AD517" i="6" s="1"/>
  <c r="Y459" i="6"/>
  <c r="AB557" i="6"/>
  <c r="AD762" i="6"/>
  <c r="AF142" i="6"/>
  <c r="AG99" i="6"/>
  <c r="AB780" i="6" l="1"/>
  <c r="AE32" i="6"/>
  <c r="AD33" i="6"/>
  <c r="AD34" i="6" s="1"/>
  <c r="AC33" i="6"/>
  <c r="AC34" i="6" s="1"/>
  <c r="AC781" i="6" s="1"/>
  <c r="AV32" i="6"/>
  <c r="AV33" i="6" s="1"/>
  <c r="AU32" i="6"/>
  <c r="AU33" i="6" s="1"/>
  <c r="AO36" i="9"/>
  <c r="AO38" i="9" s="1"/>
  <c r="AD79" i="5"/>
  <c r="H79" i="5" s="1"/>
  <c r="I79" i="5" s="1"/>
  <c r="AD78" i="5"/>
  <c r="H78" i="5" s="1"/>
  <c r="I78" i="5" s="1"/>
  <c r="AH238" i="6"/>
  <c r="G86" i="6" s="1"/>
  <c r="AD47" i="5"/>
  <c r="H47" i="5" s="1"/>
  <c r="I47" i="5" s="1"/>
  <c r="AD44" i="5"/>
  <c r="H44" i="5" s="1"/>
  <c r="I44" i="5" s="1"/>
  <c r="AH773" i="6"/>
  <c r="AE28" i="6"/>
  <c r="AE778" i="6" s="1"/>
  <c r="AD61" i="5"/>
  <c r="H61" i="5" s="1"/>
  <c r="I61" i="5" s="1"/>
  <c r="AD93" i="5"/>
  <c r="H93" i="5" s="1"/>
  <c r="I93" i="5" s="1"/>
  <c r="AD77" i="5"/>
  <c r="H77" i="5" s="1"/>
  <c r="I77" i="5" s="1"/>
  <c r="AZ438" i="6"/>
  <c r="AZ598" i="6"/>
  <c r="AD136" i="5"/>
  <c r="AC150" i="5"/>
  <c r="AD150" i="5" s="1"/>
  <c r="H150" i="5" s="1"/>
  <c r="AC145" i="5"/>
  <c r="AD145" i="5" s="1"/>
  <c r="H145" i="5" s="1"/>
  <c r="AC141" i="5"/>
  <c r="AD141" i="5" s="1"/>
  <c r="H141" i="5" s="1"/>
  <c r="AC151" i="5"/>
  <c r="AD151" i="5" s="1"/>
  <c r="H151" i="5" s="1"/>
  <c r="AC138" i="5"/>
  <c r="AD138" i="5" s="1"/>
  <c r="H138" i="5" s="1"/>
  <c r="AC143" i="5"/>
  <c r="AD143" i="5" s="1"/>
  <c r="H143" i="5" s="1"/>
  <c r="AC156" i="5"/>
  <c r="AD156" i="5" s="1"/>
  <c r="H156" i="5" s="1"/>
  <c r="AC142" i="5"/>
  <c r="AD142" i="5" s="1"/>
  <c r="H142" i="5" s="1"/>
  <c r="AC144" i="5"/>
  <c r="AD144" i="5" s="1"/>
  <c r="H144" i="5" s="1"/>
  <c r="AC161" i="5"/>
  <c r="AD161" i="5" s="1"/>
  <c r="H161" i="5" s="1"/>
  <c r="AC149" i="5"/>
  <c r="AD149" i="5" s="1"/>
  <c r="H149" i="5" s="1"/>
  <c r="AC147" i="5"/>
  <c r="AD147" i="5" s="1"/>
  <c r="H147" i="5" s="1"/>
  <c r="AC140" i="5"/>
  <c r="AD140" i="5" s="1"/>
  <c r="H140" i="5" s="1"/>
  <c r="AC152" i="5"/>
  <c r="AD152" i="5" s="1"/>
  <c r="H152" i="5" s="1"/>
  <c r="AC153" i="5"/>
  <c r="AD153" i="5" s="1"/>
  <c r="H153" i="5" s="1"/>
  <c r="AC155" i="5"/>
  <c r="AD155" i="5" s="1"/>
  <c r="H155" i="5" s="1"/>
  <c r="AC139" i="5"/>
  <c r="AD139" i="5" s="1"/>
  <c r="H139" i="5" s="1"/>
  <c r="AC158" i="5"/>
  <c r="AD158" i="5" s="1"/>
  <c r="H158" i="5" s="1"/>
  <c r="AC146" i="5"/>
  <c r="AD146" i="5" s="1"/>
  <c r="H146" i="5" s="1"/>
  <c r="AC159" i="5"/>
  <c r="AD159" i="5" s="1"/>
  <c r="H159" i="5" s="1"/>
  <c r="AC154" i="5"/>
  <c r="AD154" i="5" s="1"/>
  <c r="H154" i="5" s="1"/>
  <c r="AC162" i="5"/>
  <c r="AD162" i="5" s="1"/>
  <c r="H162" i="5" s="1"/>
  <c r="AC160" i="5"/>
  <c r="AD160" i="5" s="1"/>
  <c r="H160" i="5" s="1"/>
  <c r="AC157" i="5"/>
  <c r="AD157" i="5" s="1"/>
  <c r="H157" i="5" s="1"/>
  <c r="AC148" i="5"/>
  <c r="AD148" i="5" s="1"/>
  <c r="H148" i="5" s="1"/>
  <c r="AD54" i="5"/>
  <c r="H54" i="5" s="1"/>
  <c r="I54" i="5" s="1"/>
  <c r="AD76" i="5"/>
  <c r="H76" i="5" s="1"/>
  <c r="I76" i="5" s="1"/>
  <c r="AD80" i="5"/>
  <c r="H80" i="5" s="1"/>
  <c r="I80" i="5" s="1"/>
  <c r="AD42" i="5"/>
  <c r="H42" i="5" s="1"/>
  <c r="I42" i="5" s="1"/>
  <c r="AD64" i="5"/>
  <c r="H64" i="5" s="1"/>
  <c r="I64" i="5" s="1"/>
  <c r="AD55" i="5"/>
  <c r="H55" i="5" s="1"/>
  <c r="I55" i="5" s="1"/>
  <c r="AD95" i="5"/>
  <c r="H95" i="5" s="1"/>
  <c r="I95" i="5" s="1"/>
  <c r="AD87" i="5"/>
  <c r="H87" i="5" s="1"/>
  <c r="I87" i="5" s="1"/>
  <c r="AD58" i="5"/>
  <c r="H58" i="5" s="1"/>
  <c r="I58" i="5" s="1"/>
  <c r="AD90" i="5"/>
  <c r="H90" i="5" s="1"/>
  <c r="I90" i="5" s="1"/>
  <c r="AD91" i="5"/>
  <c r="H91" i="5" s="1"/>
  <c r="I91" i="5" s="1"/>
  <c r="AD86" i="5"/>
  <c r="H86" i="5" s="1"/>
  <c r="I86" i="5" s="1"/>
  <c r="AD48" i="5"/>
  <c r="H48" i="5" s="1"/>
  <c r="I48" i="5" s="1"/>
  <c r="AD51" i="5"/>
  <c r="H51" i="5" s="1"/>
  <c r="I51" i="5" s="1"/>
  <c r="AD60" i="5"/>
  <c r="H60" i="5" s="1"/>
  <c r="I60" i="5" s="1"/>
  <c r="AD50" i="5"/>
  <c r="H50" i="5" s="1"/>
  <c r="I50" i="5" s="1"/>
  <c r="AD97" i="5"/>
  <c r="H97" i="5" s="1"/>
  <c r="I97" i="5" s="1"/>
  <c r="AD88" i="5"/>
  <c r="H88" i="5" s="1"/>
  <c r="I88" i="5" s="1"/>
  <c r="AD63" i="5"/>
  <c r="H63" i="5" s="1"/>
  <c r="I63" i="5" s="1"/>
  <c r="AD66" i="5"/>
  <c r="H66" i="5" s="1"/>
  <c r="I66" i="5" s="1"/>
  <c r="AH98" i="6"/>
  <c r="I35" i="6" s="1"/>
  <c r="I37" i="6" s="1"/>
  <c r="AH18" i="6"/>
  <c r="D18" i="6" s="1"/>
  <c r="AH188" i="6"/>
  <c r="G69" i="6" s="1"/>
  <c r="AH772" i="6"/>
  <c r="AZ583" i="6"/>
  <c r="AZ483" i="6"/>
  <c r="AZ498" i="6"/>
  <c r="AZ18" i="6"/>
  <c r="AZ733" i="6"/>
  <c r="AL105" i="7"/>
  <c r="AL108" i="7" s="1"/>
  <c r="AZ633" i="6"/>
  <c r="AZ533" i="6"/>
  <c r="AZ648" i="6"/>
  <c r="AZ273" i="6"/>
  <c r="AZ683" i="6"/>
  <c r="AZ323" i="6"/>
  <c r="G105" i="6"/>
  <c r="AZ73" i="6"/>
  <c r="AZ173" i="6"/>
  <c r="AZ223" i="6"/>
  <c r="AZ133" i="6"/>
  <c r="AZ548" i="6"/>
  <c r="AZ288" i="6"/>
  <c r="G71" i="6"/>
  <c r="AZ423" i="6"/>
  <c r="AZ123" i="6"/>
  <c r="G156" i="6"/>
  <c r="AD163" i="7"/>
  <c r="I131" i="5"/>
  <c r="H131" i="5"/>
  <c r="H15" i="7" s="1"/>
  <c r="H16" i="7" s="1"/>
  <c r="H37" i="7" s="1"/>
  <c r="H41" i="7" s="1"/>
  <c r="H35" i="5"/>
  <c r="B15" i="7" s="1"/>
  <c r="B16" i="7" s="1"/>
  <c r="B43" i="7" s="1"/>
  <c r="T181" i="5"/>
  <c r="S181" i="5"/>
  <c r="S175" i="5"/>
  <c r="T175" i="5"/>
  <c r="T191" i="5"/>
  <c r="S191" i="5"/>
  <c r="T187" i="5"/>
  <c r="S187" i="5"/>
  <c r="T176" i="5"/>
  <c r="S176" i="5"/>
  <c r="AD84" i="5"/>
  <c r="H84" i="5" s="1"/>
  <c r="I84" i="5" s="1"/>
  <c r="AD43" i="5"/>
  <c r="H43" i="5" s="1"/>
  <c r="I43" i="5" s="1"/>
  <c r="AD49" i="5"/>
  <c r="H49" i="5" s="1"/>
  <c r="I49" i="5" s="1"/>
  <c r="AD46" i="5"/>
  <c r="H46" i="5" s="1"/>
  <c r="I46" i="5" s="1"/>
  <c r="AD53" i="5"/>
  <c r="H53" i="5" s="1"/>
  <c r="I53" i="5" s="1"/>
  <c r="AD62" i="5"/>
  <c r="H62" i="5" s="1"/>
  <c r="I62" i="5" s="1"/>
  <c r="AD65" i="5"/>
  <c r="H65" i="5" s="1"/>
  <c r="I65" i="5" s="1"/>
  <c r="AD89" i="5"/>
  <c r="H89" i="5" s="1"/>
  <c r="I89" i="5" s="1"/>
  <c r="AD83" i="5"/>
  <c r="H83" i="5" s="1"/>
  <c r="I83" i="5" s="1"/>
  <c r="AD82" i="5"/>
  <c r="H82" i="5" s="1"/>
  <c r="I82" i="5" s="1"/>
  <c r="AD57" i="5"/>
  <c r="H57" i="5" s="1"/>
  <c r="I57" i="5" s="1"/>
  <c r="S194" i="5"/>
  <c r="T194" i="5"/>
  <c r="T178" i="5"/>
  <c r="S178" i="5"/>
  <c r="S193" i="5"/>
  <c r="T193" i="5"/>
  <c r="S183" i="5"/>
  <c r="T183" i="5"/>
  <c r="T177" i="5"/>
  <c r="S177" i="5"/>
  <c r="S180" i="5"/>
  <c r="T180" i="5"/>
  <c r="U19" i="6"/>
  <c r="U775" i="6" s="1"/>
  <c r="U774" i="6"/>
  <c r="AO238" i="6"/>
  <c r="AP238" i="6"/>
  <c r="X243" i="6"/>
  <c r="X244" i="6" s="1"/>
  <c r="Y243" i="6"/>
  <c r="Y244" i="6" s="1"/>
  <c r="U23" i="6"/>
  <c r="V23" i="6"/>
  <c r="S170" i="5"/>
  <c r="T170" i="5"/>
  <c r="S185" i="5"/>
  <c r="T185" i="5"/>
  <c r="T189" i="5"/>
  <c r="S189" i="5"/>
  <c r="S186" i="5"/>
  <c r="T186" i="5"/>
  <c r="T171" i="5"/>
  <c r="S171" i="5"/>
  <c r="S192" i="5"/>
  <c r="T192" i="5"/>
  <c r="T188" i="5"/>
  <c r="S188" i="5"/>
  <c r="I35" i="5"/>
  <c r="C20" i="6"/>
  <c r="C273" i="6"/>
  <c r="AD94" i="5"/>
  <c r="H94" i="5" s="1"/>
  <c r="I94" i="5" s="1"/>
  <c r="T19" i="6"/>
  <c r="T775" i="6" s="1"/>
  <c r="T774" i="6"/>
  <c r="AD45" i="5"/>
  <c r="H45" i="5" s="1"/>
  <c r="I45" i="5" s="1"/>
  <c r="AD98" i="5"/>
  <c r="H98" i="5" s="1"/>
  <c r="I98" i="5" s="1"/>
  <c r="AD85" i="5"/>
  <c r="H85" i="5" s="1"/>
  <c r="I85" i="5" s="1"/>
  <c r="AD52" i="5"/>
  <c r="H52" i="5" s="1"/>
  <c r="I52" i="5" s="1"/>
  <c r="AD81" i="5"/>
  <c r="H81" i="5" s="1"/>
  <c r="I81" i="5" s="1"/>
  <c r="AD74" i="5"/>
  <c r="H74" i="5" s="1"/>
  <c r="AD96" i="5"/>
  <c r="H96" i="5" s="1"/>
  <c r="I96" i="5" s="1"/>
  <c r="AD92" i="5"/>
  <c r="H92" i="5" s="1"/>
  <c r="I92" i="5" s="1"/>
  <c r="AD59" i="5"/>
  <c r="H59" i="5" s="1"/>
  <c r="I59" i="5" s="1"/>
  <c r="AD56" i="5"/>
  <c r="H56" i="5" s="1"/>
  <c r="I56" i="5" s="1"/>
  <c r="AO188" i="6"/>
  <c r="AP188" i="6"/>
  <c r="X393" i="6"/>
  <c r="X394" i="6" s="1"/>
  <c r="Y393" i="6"/>
  <c r="Y394" i="6" s="1"/>
  <c r="X193" i="6"/>
  <c r="X194" i="6" s="1"/>
  <c r="Y193" i="6"/>
  <c r="Y194" i="6" s="1"/>
  <c r="AQ98" i="6"/>
  <c r="AR98" i="6"/>
  <c r="S173" i="5"/>
  <c r="T173" i="5"/>
  <c r="T190" i="5"/>
  <c r="S190" i="5"/>
  <c r="S174" i="5"/>
  <c r="T174" i="5"/>
  <c r="T172" i="5"/>
  <c r="S172" i="5"/>
  <c r="T179" i="5"/>
  <c r="S179" i="5"/>
  <c r="S182" i="5"/>
  <c r="T182" i="5"/>
  <c r="T184" i="5"/>
  <c r="S184" i="5"/>
  <c r="G88" i="6"/>
  <c r="D20" i="6"/>
  <c r="D275" i="6" s="1"/>
  <c r="D273" i="6"/>
  <c r="AW27" i="6"/>
  <c r="AW28" i="6" s="1"/>
  <c r="AR29" i="9"/>
  <c r="AR31" i="9" s="1"/>
  <c r="AN33" i="7"/>
  <c r="AN38" i="7" s="1"/>
  <c r="AD29" i="6"/>
  <c r="AD779" i="6" s="1"/>
  <c r="AL38" i="7"/>
  <c r="AK108" i="7"/>
  <c r="AG27" i="6"/>
  <c r="AG28" i="6" s="1"/>
  <c r="AM33" i="7"/>
  <c r="AM105" i="7" s="1"/>
  <c r="AF28" i="6"/>
  <c r="AF29" i="6" s="1"/>
  <c r="AF779" i="6" s="1"/>
  <c r="AQ29" i="9"/>
  <c r="AQ31" i="9" s="1"/>
  <c r="AA220" i="5"/>
  <c r="AA206" i="5"/>
  <c r="AA202" i="5"/>
  <c r="AA203" i="5"/>
  <c r="AA209" i="5"/>
  <c r="AA216" i="5"/>
  <c r="AA207" i="5"/>
  <c r="AA222" i="5"/>
  <c r="AA214" i="5"/>
  <c r="AA211" i="5"/>
  <c r="AA215" i="5"/>
  <c r="AA208" i="5"/>
  <c r="AA217" i="5"/>
  <c r="AA224" i="5"/>
  <c r="AA204" i="5"/>
  <c r="AA213" i="5"/>
  <c r="AA219" i="5"/>
  <c r="AA221" i="5"/>
  <c r="AA226" i="5"/>
  <c r="AB200" i="5"/>
  <c r="AC200" i="5" s="1"/>
  <c r="AC206" i="5" s="1"/>
  <c r="AA223" i="5"/>
  <c r="AA205" i="5"/>
  <c r="AA225" i="5"/>
  <c r="AA210" i="5"/>
  <c r="AA218" i="5"/>
  <c r="AF138" i="7"/>
  <c r="AG72" i="7"/>
  <c r="AG71" i="7"/>
  <c r="AL61" i="9"/>
  <c r="AL63" i="9" s="1"/>
  <c r="Z53" i="6"/>
  <c r="Z54" i="6" s="1"/>
  <c r="AA52" i="6"/>
  <c r="AB52" i="6" s="1"/>
  <c r="AT52" i="6" s="1"/>
  <c r="AT53" i="6" s="1"/>
  <c r="AH69" i="7"/>
  <c r="AH71" i="7" s="1"/>
  <c r="AZ373" i="6"/>
  <c r="AS70" i="9"/>
  <c r="AR70" i="9" s="1"/>
  <c r="P497" i="6"/>
  <c r="P472" i="6"/>
  <c r="AB782" i="6"/>
  <c r="AF24" i="6"/>
  <c r="AF777" i="6" s="1"/>
  <c r="AF776" i="6"/>
  <c r="G195" i="5"/>
  <c r="L14" i="7" s="1"/>
  <c r="AE126" i="7"/>
  <c r="AE125" i="7"/>
  <c r="AG160" i="7"/>
  <c r="AG23" i="6"/>
  <c r="AY22" i="6"/>
  <c r="AS23" i="9"/>
  <c r="AO27" i="7"/>
  <c r="AM99" i="7"/>
  <c r="AM102" i="7" s="1"/>
  <c r="AM29" i="7"/>
  <c r="AM30" i="7"/>
  <c r="AM101" i="7"/>
  <c r="AL51" i="7"/>
  <c r="AL50" i="7"/>
  <c r="AL117" i="7"/>
  <c r="AQ43" i="9"/>
  <c r="AM48" i="7"/>
  <c r="AW37" i="6"/>
  <c r="AE38" i="6"/>
  <c r="AL43" i="7"/>
  <c r="AL44" i="7"/>
  <c r="AL111" i="7"/>
  <c r="AA42" i="6"/>
  <c r="AB42" i="6" s="1"/>
  <c r="AH55" i="7"/>
  <c r="AR42" i="6"/>
  <c r="AL49" i="9"/>
  <c r="AC780" i="6"/>
  <c r="AH129" i="7"/>
  <c r="AH64" i="7"/>
  <c r="AH65" i="7"/>
  <c r="AG131" i="7"/>
  <c r="AG132" i="7"/>
  <c r="AF37" i="6"/>
  <c r="AG37" i="6" s="1"/>
  <c r="AE137" i="7"/>
  <c r="AG162" i="7" s="1"/>
  <c r="AE138" i="7"/>
  <c r="AG123" i="7"/>
  <c r="AK119" i="7"/>
  <c r="AK120" i="7"/>
  <c r="AO70" i="9"/>
  <c r="AN70" i="9" s="1"/>
  <c r="AJ113" i="7"/>
  <c r="AJ114" i="7"/>
  <c r="AM55" i="9"/>
  <c r="AM57" i="9" s="1"/>
  <c r="AA48" i="6"/>
  <c r="AA49" i="6" s="1"/>
  <c r="AS47" i="6"/>
  <c r="AS48" i="6" s="1"/>
  <c r="AI62" i="7"/>
  <c r="Y302" i="5"/>
  <c r="Y299" i="5"/>
  <c r="Y316" i="5"/>
  <c r="Y308" i="5"/>
  <c r="Y315" i="5"/>
  <c r="Y304" i="5"/>
  <c r="Y317" i="5"/>
  <c r="Z296" i="5"/>
  <c r="Y306" i="5"/>
  <c r="Y318" i="5"/>
  <c r="Y310" i="5"/>
  <c r="Y307" i="5"/>
  <c r="Y312" i="5"/>
  <c r="Y314" i="5"/>
  <c r="Y311" i="5"/>
  <c r="Y313" i="5"/>
  <c r="Y300" i="5"/>
  <c r="Y320" i="5"/>
  <c r="Y321" i="5"/>
  <c r="Y309" i="5"/>
  <c r="Y305" i="5"/>
  <c r="Y303" i="5"/>
  <c r="Y322" i="5"/>
  <c r="Y319" i="5"/>
  <c r="Y301" i="5"/>
  <c r="Y298" i="5"/>
  <c r="Z232" i="5"/>
  <c r="AA232" i="5" s="1"/>
  <c r="Y246" i="5"/>
  <c r="Y245" i="5"/>
  <c r="Y250" i="5"/>
  <c r="Y241" i="5"/>
  <c r="Y249" i="5"/>
  <c r="Y247" i="5"/>
  <c r="Y251" i="5"/>
  <c r="Y253" i="5"/>
  <c r="Y237" i="5"/>
  <c r="Y256" i="5"/>
  <c r="Y258" i="5"/>
  <c r="Y238" i="5"/>
  <c r="Y244" i="5"/>
  <c r="Y239" i="5"/>
  <c r="Y240" i="5"/>
  <c r="Y248" i="5"/>
  <c r="Y255" i="5"/>
  <c r="Y234" i="5"/>
  <c r="Y254" i="5"/>
  <c r="Y236" i="5"/>
  <c r="Y235" i="5"/>
  <c r="Y257" i="5"/>
  <c r="Y242" i="5"/>
  <c r="Y243" i="5"/>
  <c r="Y252" i="5"/>
  <c r="Y283" i="5"/>
  <c r="Y287" i="5"/>
  <c r="Y276" i="5"/>
  <c r="Y275" i="5"/>
  <c r="Y267" i="5"/>
  <c r="Y268" i="5"/>
  <c r="Y284" i="5"/>
  <c r="Y290" i="5"/>
  <c r="Y277" i="5"/>
  <c r="Y286" i="5"/>
  <c r="Y280" i="5"/>
  <c r="Y273" i="5"/>
  <c r="Y289" i="5"/>
  <c r="Y278" i="5"/>
  <c r="Y281" i="5"/>
  <c r="Y272" i="5"/>
  <c r="Y282" i="5"/>
  <c r="Y270" i="5"/>
  <c r="Y266" i="5"/>
  <c r="Y274" i="5"/>
  <c r="Y279" i="5"/>
  <c r="Y288" i="5"/>
  <c r="Y271" i="5"/>
  <c r="Y285" i="5"/>
  <c r="Y269" i="5"/>
  <c r="AE776" i="6"/>
  <c r="AE24" i="6"/>
  <c r="AE777" i="6" s="1"/>
  <c r="AF57" i="7"/>
  <c r="AD158" i="7" s="1"/>
  <c r="AF123" i="7"/>
  <c r="AF58" i="7"/>
  <c r="AD159" i="7" s="1"/>
  <c r="AJ119" i="7"/>
  <c r="AJ120" i="7"/>
  <c r="AN30" i="7"/>
  <c r="AN99" i="7"/>
  <c r="AN102" i="7" s="1"/>
  <c r="AN29" i="7"/>
  <c r="AN101" i="7"/>
  <c r="Z786" i="6"/>
  <c r="AB47" i="6"/>
  <c r="AF32" i="6"/>
  <c r="AG32" i="6" s="1"/>
  <c r="AW32" i="6"/>
  <c r="AW33" i="6" s="1"/>
  <c r="AE33" i="6"/>
  <c r="AE34" i="6" s="1"/>
  <c r="AM41" i="7"/>
  <c r="AQ36" i="9"/>
  <c r="AQ38" i="9" s="1"/>
  <c r="AK44" i="7"/>
  <c r="AK43" i="7"/>
  <c r="AK111" i="7"/>
  <c r="X44" i="6"/>
  <c r="X785" i="6" s="1"/>
  <c r="X784" i="6"/>
  <c r="AG161" i="7"/>
  <c r="Z264" i="5"/>
  <c r="AH149" i="7"/>
  <c r="AP93" i="7"/>
  <c r="AB783" i="6"/>
  <c r="AK69" i="9"/>
  <c r="AJ69" i="9" s="1"/>
  <c r="AH148" i="7"/>
  <c r="AE149" i="7"/>
  <c r="AE148" i="7"/>
  <c r="Y788" i="6"/>
  <c r="AE708" i="6"/>
  <c r="AE709" i="6" s="1"/>
  <c r="AW707" i="6"/>
  <c r="AW708" i="6" s="1"/>
  <c r="AU107" i="6"/>
  <c r="AU108" i="6" s="1"/>
  <c r="AC108" i="6"/>
  <c r="AC109" i="6" s="1"/>
  <c r="AB668" i="6"/>
  <c r="AB669" i="6" s="1"/>
  <c r="AT667" i="6"/>
  <c r="AT668" i="6" s="1"/>
  <c r="AC458" i="6"/>
  <c r="AC459" i="6" s="1"/>
  <c r="AU457" i="6"/>
  <c r="AU458" i="6" s="1"/>
  <c r="AE403" i="6"/>
  <c r="AE404" i="6" s="1"/>
  <c r="AW402" i="6"/>
  <c r="AW403" i="6" s="1"/>
  <c r="AS357" i="6"/>
  <c r="AS358" i="6" s="1"/>
  <c r="AA358" i="6"/>
  <c r="AA359" i="6" s="1"/>
  <c r="AE203" i="6"/>
  <c r="AE204" i="6" s="1"/>
  <c r="AW202" i="6"/>
  <c r="AW203" i="6" s="1"/>
  <c r="AG298" i="6"/>
  <c r="AY297" i="6"/>
  <c r="AH297" i="6"/>
  <c r="AA618" i="6"/>
  <c r="AA619" i="6" s="1"/>
  <c r="AS617" i="6"/>
  <c r="AS618" i="6" s="1"/>
  <c r="AF148" i="6"/>
  <c r="AF149" i="6" s="1"/>
  <c r="AX147" i="6"/>
  <c r="AX148" i="6" s="1"/>
  <c r="AB258" i="6"/>
  <c r="AB259" i="6" s="1"/>
  <c r="AT257" i="6"/>
  <c r="AT258" i="6" s="1"/>
  <c r="AF753" i="6"/>
  <c r="AX752" i="6"/>
  <c r="AX753" i="6" s="1"/>
  <c r="AV517" i="6"/>
  <c r="AV518" i="6" s="1"/>
  <c r="AD518" i="6"/>
  <c r="AD519" i="6" s="1"/>
  <c r="AY292" i="6"/>
  <c r="AG293" i="6"/>
  <c r="AH292" i="6"/>
  <c r="AB768" i="6"/>
  <c r="AT767" i="6"/>
  <c r="AT768" i="6" s="1"/>
  <c r="AE563" i="6"/>
  <c r="AE564" i="6" s="1"/>
  <c r="AW562" i="6"/>
  <c r="AW563" i="6" s="1"/>
  <c r="AV612" i="6"/>
  <c r="AV613" i="6" s="1"/>
  <c r="AD613" i="6"/>
  <c r="AD614" i="6" s="1"/>
  <c r="AF703" i="6"/>
  <c r="AF704" i="6" s="1"/>
  <c r="AX702" i="6"/>
  <c r="AX703" i="6" s="1"/>
  <c r="AX602" i="6"/>
  <c r="AX603" i="6" s="1"/>
  <c r="AF603" i="6"/>
  <c r="AF604" i="6" s="1"/>
  <c r="AT157" i="6"/>
  <c r="AB158" i="6"/>
  <c r="AB159" i="6" s="1"/>
  <c r="AA568" i="6"/>
  <c r="AA569" i="6" s="1"/>
  <c r="AS567" i="6"/>
  <c r="AS568" i="6" s="1"/>
  <c r="AB567" i="6"/>
  <c r="AB308" i="6"/>
  <c r="AB309" i="6" s="1"/>
  <c r="AT307" i="6"/>
  <c r="AT308" i="6" s="1"/>
  <c r="AW137" i="6"/>
  <c r="AW138" i="6" s="1"/>
  <c r="AE138" i="6"/>
  <c r="AD139" i="6"/>
  <c r="AD780" i="6"/>
  <c r="AD353" i="6"/>
  <c r="AD354" i="6" s="1"/>
  <c r="AV352" i="6"/>
  <c r="AV353" i="6" s="1"/>
  <c r="AF758" i="6"/>
  <c r="AX757" i="6"/>
  <c r="AX758" i="6" s="1"/>
  <c r="AU512" i="6"/>
  <c r="AU513" i="6" s="1"/>
  <c r="AC513" i="6"/>
  <c r="AC514" i="6" s="1"/>
  <c r="AE352" i="6"/>
  <c r="AF352" i="6" s="1"/>
  <c r="AD208" i="6"/>
  <c r="AD209" i="6" s="1"/>
  <c r="AV207" i="6"/>
  <c r="AV208" i="6" s="1"/>
  <c r="AE612" i="6"/>
  <c r="AE303" i="6"/>
  <c r="AE304" i="6" s="1"/>
  <c r="AW302" i="6"/>
  <c r="AW303" i="6" s="1"/>
  <c r="AE759" i="6"/>
  <c r="AY243" i="6"/>
  <c r="AZ242" i="6"/>
  <c r="AY193" i="6"/>
  <c r="AZ192" i="6"/>
  <c r="AF143" i="6"/>
  <c r="AF144" i="6" s="1"/>
  <c r="AX142" i="6"/>
  <c r="AX143" i="6" s="1"/>
  <c r="AB709" i="6"/>
  <c r="AD763" i="6"/>
  <c r="AV762" i="6"/>
  <c r="AV763" i="6" s="1"/>
  <c r="X359" i="6"/>
  <c r="X789" i="6" s="1"/>
  <c r="X788" i="6"/>
  <c r="AG142" i="6"/>
  <c r="AX252" i="6"/>
  <c r="AX253" i="6" s="1"/>
  <c r="AF253" i="6"/>
  <c r="AF254" i="6" s="1"/>
  <c r="AS717" i="6"/>
  <c r="AS718" i="6" s="1"/>
  <c r="AA718" i="6"/>
  <c r="AA719" i="6" s="1"/>
  <c r="AW442" i="6"/>
  <c r="AW443" i="6" s="1"/>
  <c r="AE443" i="6"/>
  <c r="AE444" i="6" s="1"/>
  <c r="AV452" i="6"/>
  <c r="AV453" i="6" s="1"/>
  <c r="AD453" i="6"/>
  <c r="AD454" i="6" s="1"/>
  <c r="AD713" i="6"/>
  <c r="AD714" i="6" s="1"/>
  <c r="AV712" i="6"/>
  <c r="AV713" i="6" s="1"/>
  <c r="AA258" i="6"/>
  <c r="AA259" i="6" s="1"/>
  <c r="AS257" i="6"/>
  <c r="AS258" i="6" s="1"/>
  <c r="AC257" i="6"/>
  <c r="AC764" i="6"/>
  <c r="Z309" i="6"/>
  <c r="AV92" i="6"/>
  <c r="AC153" i="6"/>
  <c r="AC154" i="6" s="1"/>
  <c r="AU152" i="6"/>
  <c r="AU153" i="6" s="1"/>
  <c r="AC157" i="6"/>
  <c r="AF248" i="6"/>
  <c r="AF249" i="6" s="1"/>
  <c r="AX247" i="6"/>
  <c r="AX248" i="6" s="1"/>
  <c r="Z259" i="6"/>
  <c r="AG247" i="6"/>
  <c r="AB717" i="6"/>
  <c r="AG244" i="6"/>
  <c r="AE452" i="6"/>
  <c r="AC709" i="6"/>
  <c r="AE92" i="6"/>
  <c r="AF92" i="6" s="1"/>
  <c r="AT557" i="6"/>
  <c r="AT558" i="6" s="1"/>
  <c r="AB558" i="6"/>
  <c r="AB559" i="6" s="1"/>
  <c r="AY87" i="6"/>
  <c r="AG88" i="6"/>
  <c r="AH87" i="6"/>
  <c r="AT107" i="6"/>
  <c r="AT108" i="6" s="1"/>
  <c r="AB108" i="6"/>
  <c r="AB109" i="6" s="1"/>
  <c r="AD107" i="6"/>
  <c r="AG343" i="6"/>
  <c r="AY342" i="6"/>
  <c r="AH342" i="6"/>
  <c r="AG608" i="6"/>
  <c r="AY607" i="6"/>
  <c r="AH607" i="6"/>
  <c r="AC408" i="6"/>
  <c r="AC409" i="6" s="1"/>
  <c r="AU407" i="6"/>
  <c r="AU408" i="6" s="1"/>
  <c r="AS667" i="6"/>
  <c r="AS668" i="6" s="1"/>
  <c r="AA668" i="6"/>
  <c r="AC667" i="6"/>
  <c r="AW447" i="6"/>
  <c r="AW448" i="6" s="1"/>
  <c r="AE448" i="6"/>
  <c r="AE449" i="6" s="1"/>
  <c r="AG503" i="6"/>
  <c r="AY502" i="6"/>
  <c r="AH502" i="6"/>
  <c r="AA109" i="6"/>
  <c r="AD407" i="6"/>
  <c r="AR308" i="6"/>
  <c r="AX102" i="6"/>
  <c r="AX103" i="6" s="1"/>
  <c r="AF103" i="6"/>
  <c r="AF104" i="6" s="1"/>
  <c r="AD563" i="6"/>
  <c r="AD564" i="6" s="1"/>
  <c r="AV562" i="6"/>
  <c r="AV563" i="6" s="1"/>
  <c r="AF562" i="6"/>
  <c r="AU207" i="6"/>
  <c r="AU208" i="6" s="1"/>
  <c r="AC208" i="6"/>
  <c r="AC209" i="6" s="1"/>
  <c r="AE207" i="6"/>
  <c r="AA154" i="6"/>
  <c r="AG252" i="6"/>
  <c r="AG394" i="6"/>
  <c r="AD553" i="6"/>
  <c r="AD554" i="6" s="1"/>
  <c r="AV552" i="6"/>
  <c r="AV553" i="6" s="1"/>
  <c r="AF302" i="6"/>
  <c r="AE552" i="6"/>
  <c r="AG757" i="6"/>
  <c r="Z769" i="6"/>
  <c r="AC307" i="6"/>
  <c r="AD307" i="6" s="1"/>
  <c r="Z618" i="6"/>
  <c r="Z619" i="6" s="1"/>
  <c r="AR617" i="6"/>
  <c r="AR618" i="6" s="1"/>
  <c r="AB617" i="6"/>
  <c r="AC617" i="6" s="1"/>
  <c r="AE663" i="6"/>
  <c r="AE664" i="6" s="1"/>
  <c r="AW662" i="6"/>
  <c r="AW663" i="6" s="1"/>
  <c r="Z358" i="6"/>
  <c r="Z359" i="6" s="1"/>
  <c r="AR357" i="6"/>
  <c r="AR358" i="6" s="1"/>
  <c r="AB357" i="6"/>
  <c r="AC357" i="6" s="1"/>
  <c r="AC518" i="6"/>
  <c r="AC519" i="6" s="1"/>
  <c r="AU517" i="6"/>
  <c r="AU518" i="6" s="1"/>
  <c r="AE517" i="6"/>
  <c r="AF517" i="6" s="1"/>
  <c r="AV657" i="6"/>
  <c r="AV658" i="6" s="1"/>
  <c r="AD658" i="6"/>
  <c r="AD659" i="6" s="1"/>
  <c r="AD708" i="6"/>
  <c r="AV707" i="6"/>
  <c r="AV708" i="6" s="1"/>
  <c r="AF707" i="6"/>
  <c r="AE148" i="6"/>
  <c r="AE149" i="6" s="1"/>
  <c r="AW147" i="6"/>
  <c r="AW148" i="6" s="1"/>
  <c r="AG147" i="6"/>
  <c r="AE508" i="6"/>
  <c r="AE509" i="6" s="1"/>
  <c r="AW507" i="6"/>
  <c r="AW508" i="6" s="1"/>
  <c r="AP358" i="6"/>
  <c r="AD203" i="6"/>
  <c r="AD204" i="6" s="1"/>
  <c r="AV202" i="6"/>
  <c r="AV203" i="6" s="1"/>
  <c r="AF202" i="6"/>
  <c r="AF298" i="6"/>
  <c r="AF299" i="6" s="1"/>
  <c r="AX297" i="6"/>
  <c r="AX298" i="6" s="1"/>
  <c r="AY652" i="6"/>
  <c r="AG653" i="6"/>
  <c r="AH652" i="6"/>
  <c r="AV442" i="6"/>
  <c r="AV443" i="6" s="1"/>
  <c r="AD443" i="6"/>
  <c r="AD444" i="6" s="1"/>
  <c r="AF442" i="6"/>
  <c r="AG442" i="6" s="1"/>
  <c r="AF293" i="6"/>
  <c r="AF294" i="6" s="1"/>
  <c r="AX292" i="6"/>
  <c r="AX293" i="6" s="1"/>
  <c r="AG138" i="7"/>
  <c r="AG137" i="7"/>
  <c r="AS767" i="6"/>
  <c r="AS768" i="6" s="1"/>
  <c r="AA768" i="6"/>
  <c r="AC767" i="6"/>
  <c r="AE762" i="6"/>
  <c r="AT457" i="6"/>
  <c r="AT458" i="6" s="1"/>
  <c r="AB458" i="6"/>
  <c r="AB459" i="6" s="1"/>
  <c r="AD457" i="6"/>
  <c r="AC557" i="6"/>
  <c r="Y619" i="6"/>
  <c r="Y789" i="6" s="1"/>
  <c r="AD403" i="6"/>
  <c r="AD404" i="6" s="1"/>
  <c r="AV402" i="6"/>
  <c r="AV403" i="6" s="1"/>
  <c r="AF402" i="6"/>
  <c r="AE657" i="6"/>
  <c r="AF657" i="6" s="1"/>
  <c r="AF137" i="6"/>
  <c r="AY393" i="6"/>
  <c r="AZ392" i="6"/>
  <c r="AD512" i="6"/>
  <c r="AE512" i="6" s="1"/>
  <c r="AW752" i="6"/>
  <c r="AW753" i="6" s="1"/>
  <c r="AE753" i="6"/>
  <c r="AG752" i="6"/>
  <c r="AD663" i="6"/>
  <c r="AD664" i="6" s="1"/>
  <c r="AV662" i="6"/>
  <c r="AV663" i="6" s="1"/>
  <c r="AF662" i="6"/>
  <c r="AV197" i="6"/>
  <c r="AV198" i="6" s="1"/>
  <c r="AD198" i="6"/>
  <c r="AD199" i="6" s="1"/>
  <c r="AD754" i="6"/>
  <c r="AU397" i="6"/>
  <c r="AU398" i="6" s="1"/>
  <c r="AC398" i="6"/>
  <c r="AC399" i="6" s="1"/>
  <c r="AE197" i="6"/>
  <c r="AD397" i="6"/>
  <c r="AD348" i="6"/>
  <c r="AD349" i="6" s="1"/>
  <c r="AV347" i="6"/>
  <c r="AV348" i="6" s="1"/>
  <c r="AG602" i="6"/>
  <c r="AE347" i="6"/>
  <c r="AF507" i="6"/>
  <c r="AG194" i="6"/>
  <c r="AG102" i="6"/>
  <c r="AF447" i="6"/>
  <c r="AG447" i="6" s="1"/>
  <c r="AD152" i="6"/>
  <c r="AG702" i="6"/>
  <c r="AE712" i="6"/>
  <c r="AD781" i="6" l="1"/>
  <c r="AL107" i="7"/>
  <c r="AE29" i="6"/>
  <c r="AE779" i="6" s="1"/>
  <c r="B37" i="7"/>
  <c r="B41" i="7" s="1"/>
  <c r="B15" i="9" s="1"/>
  <c r="T16" i="9" s="1"/>
  <c r="AD182" i="5"/>
  <c r="H182" i="5" s="1"/>
  <c r="I182" i="5" s="1"/>
  <c r="AD193" i="5"/>
  <c r="H193" i="5" s="1"/>
  <c r="I193" i="5" s="1"/>
  <c r="AD194" i="5"/>
  <c r="H194" i="5" s="1"/>
  <c r="I194" i="5" s="1"/>
  <c r="AD181" i="5"/>
  <c r="H181" i="5" s="1"/>
  <c r="I181" i="5" s="1"/>
  <c r="G156" i="5"/>
  <c r="I156" i="5" s="1"/>
  <c r="E154" i="5"/>
  <c r="E150" i="5"/>
  <c r="E156" i="5"/>
  <c r="G152" i="5"/>
  <c r="I152" i="5" s="1"/>
  <c r="G141" i="5"/>
  <c r="I141" i="5" s="1"/>
  <c r="G157" i="5"/>
  <c r="I157" i="5" s="1"/>
  <c r="G142" i="5"/>
  <c r="I142" i="5" s="1"/>
  <c r="E143" i="5"/>
  <c r="E161" i="5"/>
  <c r="G160" i="5"/>
  <c r="I160" i="5" s="1"/>
  <c r="E152" i="5"/>
  <c r="E144" i="5"/>
  <c r="G161" i="5"/>
  <c r="I161" i="5" s="1"/>
  <c r="G149" i="5"/>
  <c r="I149" i="5" s="1"/>
  <c r="G155" i="5"/>
  <c r="I155" i="5" s="1"/>
  <c r="E160" i="5"/>
  <c r="E141" i="5"/>
  <c r="E142" i="5"/>
  <c r="G158" i="5"/>
  <c r="I158" i="5" s="1"/>
  <c r="G140" i="5"/>
  <c r="I140" i="5" s="1"/>
  <c r="G148" i="5"/>
  <c r="I148" i="5" s="1"/>
  <c r="G144" i="5"/>
  <c r="I144" i="5" s="1"/>
  <c r="E158" i="5"/>
  <c r="E146" i="5"/>
  <c r="E140" i="5"/>
  <c r="G138" i="5"/>
  <c r="G146" i="5"/>
  <c r="I146" i="5" s="1"/>
  <c r="G147" i="5"/>
  <c r="I147" i="5" s="1"/>
  <c r="E159" i="5"/>
  <c r="E155" i="5"/>
  <c r="G159" i="5"/>
  <c r="I159" i="5" s="1"/>
  <c r="G154" i="5"/>
  <c r="I154" i="5" s="1"/>
  <c r="E145" i="5"/>
  <c r="G145" i="5"/>
  <c r="I145" i="5" s="1"/>
  <c r="E157" i="5"/>
  <c r="G153" i="5"/>
  <c r="I153" i="5" s="1"/>
  <c r="G139" i="5"/>
  <c r="I139" i="5" s="1"/>
  <c r="E153" i="5"/>
  <c r="E148" i="5"/>
  <c r="E149" i="5"/>
  <c r="G162" i="5"/>
  <c r="I162" i="5" s="1"/>
  <c r="E151" i="5"/>
  <c r="G143" i="5"/>
  <c r="I143" i="5" s="1"/>
  <c r="G151" i="5"/>
  <c r="I151" i="5" s="1"/>
  <c r="E162" i="5"/>
  <c r="E147" i="5"/>
  <c r="E139" i="5"/>
  <c r="E138" i="5"/>
  <c r="G150" i="5"/>
  <c r="I150" i="5" s="1"/>
  <c r="AD187" i="5"/>
  <c r="H187" i="5" s="1"/>
  <c r="I187" i="5" s="1"/>
  <c r="AD174" i="5"/>
  <c r="H174" i="5" s="1"/>
  <c r="I174" i="5" s="1"/>
  <c r="AD173" i="5"/>
  <c r="H173" i="5" s="1"/>
  <c r="I173" i="5" s="1"/>
  <c r="AD180" i="5"/>
  <c r="H180" i="5" s="1"/>
  <c r="I180" i="5" s="1"/>
  <c r="AD183" i="5"/>
  <c r="H183" i="5" s="1"/>
  <c r="I183" i="5" s="1"/>
  <c r="AD188" i="5"/>
  <c r="H188" i="5" s="1"/>
  <c r="I188" i="5" s="1"/>
  <c r="AD171" i="5"/>
  <c r="H171" i="5" s="1"/>
  <c r="I171" i="5" s="1"/>
  <c r="AD189" i="5"/>
  <c r="H189" i="5" s="1"/>
  <c r="I189" i="5" s="1"/>
  <c r="AZ238" i="6"/>
  <c r="AH393" i="6"/>
  <c r="H137" i="6" s="1"/>
  <c r="H139" i="6" s="1"/>
  <c r="AH774" i="6"/>
  <c r="AH775" i="6"/>
  <c r="AH193" i="6"/>
  <c r="H69" i="6" s="1"/>
  <c r="H71" i="6" s="1"/>
  <c r="AZ188" i="6"/>
  <c r="C275" i="6"/>
  <c r="AZ98" i="6"/>
  <c r="AH243" i="6"/>
  <c r="H86" i="6" s="1"/>
  <c r="H163" i="5"/>
  <c r="J15" i="7" s="1"/>
  <c r="I67" i="5"/>
  <c r="H67" i="5"/>
  <c r="D15" i="7" s="1"/>
  <c r="D16" i="7" s="1"/>
  <c r="D43" i="7" s="1"/>
  <c r="W88" i="6"/>
  <c r="W89" i="6" s="1"/>
  <c r="X88" i="6"/>
  <c r="X89" i="6" s="1"/>
  <c r="Y10" i="7"/>
  <c r="Z10" i="7"/>
  <c r="Z11" i="7"/>
  <c r="AA10" i="7"/>
  <c r="AA11" i="7"/>
  <c r="I74" i="5"/>
  <c r="I99" i="5" s="1"/>
  <c r="H99" i="5"/>
  <c r="F15" i="7" s="1"/>
  <c r="F16" i="7" s="1"/>
  <c r="V24" i="6"/>
  <c r="V777" i="6" s="1"/>
  <c r="V776" i="6"/>
  <c r="AD176" i="5"/>
  <c r="H176" i="5" s="1"/>
  <c r="I176" i="5" s="1"/>
  <c r="AD191" i="5"/>
  <c r="H191" i="5" s="1"/>
  <c r="I191" i="5" s="1"/>
  <c r="AQ393" i="6"/>
  <c r="AP393" i="6"/>
  <c r="Y653" i="6"/>
  <c r="Y654" i="6" s="1"/>
  <c r="X653" i="6"/>
  <c r="X654" i="6" s="1"/>
  <c r="X503" i="6"/>
  <c r="X504" i="6" s="1"/>
  <c r="Y503" i="6"/>
  <c r="Y504" i="6" s="1"/>
  <c r="AP243" i="6"/>
  <c r="AQ243" i="6"/>
  <c r="X293" i="6"/>
  <c r="X294" i="6" s="1"/>
  <c r="Y293" i="6"/>
  <c r="Y294" i="6" s="1"/>
  <c r="Z82" i="7"/>
  <c r="Z83" i="7"/>
  <c r="AA82" i="7"/>
  <c r="AA83" i="7"/>
  <c r="AD172" i="5"/>
  <c r="H172" i="5" s="1"/>
  <c r="I172" i="5" s="1"/>
  <c r="AD190" i="5"/>
  <c r="H190" i="5" s="1"/>
  <c r="I190" i="5" s="1"/>
  <c r="AD192" i="5"/>
  <c r="H192" i="5" s="1"/>
  <c r="I192" i="5" s="1"/>
  <c r="AD186" i="5"/>
  <c r="H186" i="5" s="1"/>
  <c r="I186" i="5" s="1"/>
  <c r="AD185" i="5"/>
  <c r="H185" i="5" s="1"/>
  <c r="I185" i="5" s="1"/>
  <c r="U24" i="6"/>
  <c r="U777" i="6" s="1"/>
  <c r="U776" i="6"/>
  <c r="AD178" i="5"/>
  <c r="H178" i="5" s="1"/>
  <c r="I178" i="5" s="1"/>
  <c r="X343" i="6"/>
  <c r="X344" i="6" s="1"/>
  <c r="Y343" i="6"/>
  <c r="Y344" i="6" s="1"/>
  <c r="Y298" i="6"/>
  <c r="Y299" i="6" s="1"/>
  <c r="Z298" i="6"/>
  <c r="Z299" i="6" s="1"/>
  <c r="Y608" i="6"/>
  <c r="Y609" i="6" s="1"/>
  <c r="Z608" i="6"/>
  <c r="Z609" i="6" s="1"/>
  <c r="AP193" i="6"/>
  <c r="AQ193" i="6"/>
  <c r="AD184" i="5"/>
  <c r="H184" i="5" s="1"/>
  <c r="I184" i="5" s="1"/>
  <c r="AD179" i="5"/>
  <c r="H179" i="5" s="1"/>
  <c r="I179" i="5" s="1"/>
  <c r="AD170" i="5"/>
  <c r="H170" i="5" s="1"/>
  <c r="AD177" i="5"/>
  <c r="H177" i="5" s="1"/>
  <c r="I177" i="5" s="1"/>
  <c r="AD175" i="5"/>
  <c r="H175" i="5" s="1"/>
  <c r="I175" i="5" s="1"/>
  <c r="E15" i="9"/>
  <c r="AG163" i="7"/>
  <c r="AS71" i="9"/>
  <c r="AR71" i="9" s="1"/>
  <c r="AN37" i="7"/>
  <c r="AH27" i="6"/>
  <c r="AN105" i="7"/>
  <c r="AN107" i="7" s="1"/>
  <c r="AS29" i="9"/>
  <c r="AS31" i="9" s="1"/>
  <c r="AB220" i="5"/>
  <c r="AB208" i="5"/>
  <c r="AC205" i="5"/>
  <c r="AB216" i="5"/>
  <c r="AB203" i="5"/>
  <c r="AC222" i="5"/>
  <c r="AC226" i="5"/>
  <c r="AM38" i="7"/>
  <c r="AB226" i="5"/>
  <c r="AB210" i="5"/>
  <c r="AC218" i="5"/>
  <c r="AC213" i="5"/>
  <c r="AD200" i="5"/>
  <c r="E208" i="5" s="1"/>
  <c r="AB212" i="5"/>
  <c r="AC217" i="5"/>
  <c r="AC223" i="5"/>
  <c r="AO71" i="9"/>
  <c r="AN71" i="9" s="1"/>
  <c r="AO33" i="7"/>
  <c r="AO37" i="7" s="1"/>
  <c r="AY27" i="6"/>
  <c r="AY28" i="6" s="1"/>
  <c r="AB202" i="5"/>
  <c r="AB207" i="5"/>
  <c r="AB206" i="5"/>
  <c r="AC211" i="5"/>
  <c r="AC216" i="5"/>
  <c r="AC212" i="5"/>
  <c r="AB215" i="5"/>
  <c r="AB222" i="5"/>
  <c r="AB218" i="5"/>
  <c r="AC220" i="5"/>
  <c r="AC204" i="5"/>
  <c r="AC203" i="5"/>
  <c r="AF778" i="6"/>
  <c r="AM37" i="7"/>
  <c r="AB209" i="5"/>
  <c r="AB217" i="5"/>
  <c r="AB225" i="5"/>
  <c r="AB213" i="5"/>
  <c r="AB214" i="5"/>
  <c r="AB221" i="5"/>
  <c r="AC224" i="5"/>
  <c r="AC219" i="5"/>
  <c r="AC225" i="5"/>
  <c r="AC207" i="5"/>
  <c r="AC210" i="5"/>
  <c r="AC202" i="5"/>
  <c r="AH72" i="7"/>
  <c r="AB223" i="5"/>
  <c r="AB224" i="5"/>
  <c r="AB211" i="5"/>
  <c r="AB219" i="5"/>
  <c r="AB205" i="5"/>
  <c r="AB204" i="5"/>
  <c r="AC221" i="5"/>
  <c r="AC215" i="5"/>
  <c r="AC208" i="5"/>
  <c r="AC214" i="5"/>
  <c r="AC209" i="5"/>
  <c r="AC52" i="6"/>
  <c r="AC53" i="6" s="1"/>
  <c r="AC54" i="6" s="1"/>
  <c r="Y11" i="7"/>
  <c r="AM61" i="9"/>
  <c r="AM63" i="9" s="1"/>
  <c r="AB53" i="6"/>
  <c r="AB54" i="6" s="1"/>
  <c r="AS52" i="6"/>
  <c r="AS53" i="6" s="1"/>
  <c r="AN61" i="9"/>
  <c r="AN63" i="9" s="1"/>
  <c r="AI69" i="7"/>
  <c r="AI135" i="7" s="1"/>
  <c r="AJ69" i="7"/>
  <c r="AJ71" i="7" s="1"/>
  <c r="AA53" i="6"/>
  <c r="AA54" i="6" s="1"/>
  <c r="AH135" i="7"/>
  <c r="AH138" i="7" s="1"/>
  <c r="AA787" i="6"/>
  <c r="P498" i="6"/>
  <c r="P473" i="6"/>
  <c r="AA786" i="6"/>
  <c r="AO48" i="7"/>
  <c r="AY37" i="6"/>
  <c r="AY38" i="6" s="1"/>
  <c r="AS43" i="9"/>
  <c r="AS45" i="9" s="1"/>
  <c r="AG38" i="6"/>
  <c r="AG39" i="6" s="1"/>
  <c r="AH123" i="7"/>
  <c r="AL113" i="7"/>
  <c r="AL114" i="7"/>
  <c r="AQ45" i="9"/>
  <c r="AO99" i="7"/>
  <c r="AO29" i="7"/>
  <c r="AP27" i="7"/>
  <c r="AO30" i="7"/>
  <c r="AO101" i="7"/>
  <c r="AG33" i="6"/>
  <c r="AG34" i="6" s="1"/>
  <c r="AS36" i="9"/>
  <c r="AS38" i="9" s="1"/>
  <c r="AO41" i="7"/>
  <c r="AY32" i="6"/>
  <c r="AY33" i="6" s="1"/>
  <c r="Z284" i="5"/>
  <c r="Z271" i="5"/>
  <c r="Z266" i="5"/>
  <c r="Z268" i="5"/>
  <c r="Z269" i="5"/>
  <c r="Z280" i="5"/>
  <c r="Z287" i="5"/>
  <c r="Z282" i="5"/>
  <c r="Z267" i="5"/>
  <c r="Z270" i="5"/>
  <c r="Z286" i="5"/>
  <c r="Z276" i="5"/>
  <c r="Z274" i="5"/>
  <c r="Z279" i="5"/>
  <c r="Z289" i="5"/>
  <c r="Z277" i="5"/>
  <c r="Z288" i="5"/>
  <c r="Z285" i="5"/>
  <c r="Z278" i="5"/>
  <c r="Z281" i="5"/>
  <c r="Z275" i="5"/>
  <c r="Z272" i="5"/>
  <c r="Z283" i="5"/>
  <c r="Z290" i="5"/>
  <c r="Z273" i="5"/>
  <c r="AA264" i="5"/>
  <c r="Z313" i="5"/>
  <c r="Z312" i="5"/>
  <c r="Z304" i="5"/>
  <c r="Z299" i="5"/>
  <c r="Z306" i="5"/>
  <c r="Z301" i="5"/>
  <c r="Z317" i="5"/>
  <c r="AA296" i="5"/>
  <c r="Z311" i="5"/>
  <c r="Z307" i="5"/>
  <c r="Z315" i="5"/>
  <c r="Z298" i="5"/>
  <c r="Z322" i="5"/>
  <c r="Z305" i="5"/>
  <c r="Z319" i="5"/>
  <c r="Z302" i="5"/>
  <c r="Z314" i="5"/>
  <c r="Z308" i="5"/>
  <c r="Z303" i="5"/>
  <c r="Z320" i="5"/>
  <c r="Z321" i="5"/>
  <c r="Z316" i="5"/>
  <c r="Z310" i="5"/>
  <c r="Z309" i="5"/>
  <c r="Z300" i="5"/>
  <c r="Z318" i="5"/>
  <c r="AI65" i="7"/>
  <c r="AI129" i="7"/>
  <c r="AI64" i="7"/>
  <c r="AH131" i="7"/>
  <c r="AH132" i="7"/>
  <c r="AC42" i="6"/>
  <c r="AD42" i="6" s="1"/>
  <c r="AJ55" i="7"/>
  <c r="AN49" i="9"/>
  <c r="AN51" i="9" s="1"/>
  <c r="AT42" i="6"/>
  <c r="AT43" i="6" s="1"/>
  <c r="AB43" i="6"/>
  <c r="AB44" i="6" s="1"/>
  <c r="AB785" i="6" s="1"/>
  <c r="AE39" i="6"/>
  <c r="AL120" i="7"/>
  <c r="AL119" i="7"/>
  <c r="AS25" i="9"/>
  <c r="AT23" i="9"/>
  <c r="AF38" i="6"/>
  <c r="AF39" i="6" s="1"/>
  <c r="AX37" i="6"/>
  <c r="AX38" i="6" s="1"/>
  <c r="AR43" i="9"/>
  <c r="AR45" i="9" s="1"/>
  <c r="AN48" i="7"/>
  <c r="Z235" i="5"/>
  <c r="Z255" i="5"/>
  <c r="Z239" i="5"/>
  <c r="Z241" i="5"/>
  <c r="Z256" i="5"/>
  <c r="Z251" i="5"/>
  <c r="Z236" i="5"/>
  <c r="Z238" i="5"/>
  <c r="Z245" i="5"/>
  <c r="Z253" i="5"/>
  <c r="Z243" i="5"/>
  <c r="Z244" i="5"/>
  <c r="Z258" i="5"/>
  <c r="Z250" i="5"/>
  <c r="Z234" i="5"/>
  <c r="Z248" i="5"/>
  <c r="Z237" i="5"/>
  <c r="Z247" i="5"/>
  <c r="Z257" i="5"/>
  <c r="Z242" i="5"/>
  <c r="Z249" i="5"/>
  <c r="Z240" i="5"/>
  <c r="Z254" i="5"/>
  <c r="Z252" i="5"/>
  <c r="Z246" i="5"/>
  <c r="AB232" i="5"/>
  <c r="AC232" i="5" s="1"/>
  <c r="AW38" i="6"/>
  <c r="AY23" i="6"/>
  <c r="AZ22" i="6"/>
  <c r="AC47" i="6"/>
  <c r="AD47" i="6" s="1"/>
  <c r="AJ62" i="7"/>
  <c r="AB48" i="6"/>
  <c r="AT47" i="6"/>
  <c r="AT48" i="6" s="1"/>
  <c r="AN55" i="9"/>
  <c r="AN57" i="9" s="1"/>
  <c r="AA236" i="5"/>
  <c r="AA237" i="5"/>
  <c r="AA248" i="5"/>
  <c r="AA249" i="5"/>
  <c r="AA257" i="5"/>
  <c r="AA254" i="5"/>
  <c r="AA242" i="5"/>
  <c r="AA252" i="5"/>
  <c r="AA238" i="5"/>
  <c r="AA234" i="5"/>
  <c r="AA239" i="5"/>
  <c r="AA250" i="5"/>
  <c r="AA245" i="5"/>
  <c r="AA246" i="5"/>
  <c r="AA255" i="5"/>
  <c r="AA251" i="5"/>
  <c r="AA235" i="5"/>
  <c r="AA253" i="5"/>
  <c r="AA241" i="5"/>
  <c r="AA258" i="5"/>
  <c r="AA247" i="5"/>
  <c r="AA244" i="5"/>
  <c r="AA240" i="5"/>
  <c r="AA256" i="5"/>
  <c r="AA243" i="5"/>
  <c r="AK114" i="7"/>
  <c r="AK113" i="7"/>
  <c r="AM43" i="7"/>
  <c r="AM44" i="7"/>
  <c r="AM111" i="7"/>
  <c r="AN41" i="7"/>
  <c r="AR36" i="9"/>
  <c r="AX32" i="6"/>
  <c r="AF33" i="6"/>
  <c r="AF34" i="6" s="1"/>
  <c r="AH32" i="6"/>
  <c r="AF126" i="7"/>
  <c r="AG159" i="7" s="1"/>
  <c r="AF125" i="7"/>
  <c r="AG158" i="7" s="1"/>
  <c r="AI55" i="7"/>
  <c r="AM49" i="9"/>
  <c r="AA43" i="6"/>
  <c r="AS42" i="6"/>
  <c r="AH37" i="6"/>
  <c r="AM50" i="7"/>
  <c r="AM117" i="7"/>
  <c r="AM51" i="7"/>
  <c r="AG24" i="6"/>
  <c r="AG777" i="6" s="1"/>
  <c r="AG776" i="6"/>
  <c r="AH23" i="6"/>
  <c r="E18" i="6" s="1"/>
  <c r="AE513" i="6"/>
  <c r="AE514" i="6" s="1"/>
  <c r="AW512" i="6"/>
  <c r="AW513" i="6" s="1"/>
  <c r="AX657" i="6"/>
  <c r="AX658" i="6" s="1"/>
  <c r="AF658" i="6"/>
  <c r="AF659" i="6" s="1"/>
  <c r="AG443" i="6"/>
  <c r="AY442" i="6"/>
  <c r="AH442" i="6"/>
  <c r="AD308" i="6"/>
  <c r="AD309" i="6" s="1"/>
  <c r="AV307" i="6"/>
  <c r="AV308" i="6" s="1"/>
  <c r="AX92" i="6"/>
  <c r="AX93" i="6" s="1"/>
  <c r="AF93" i="6"/>
  <c r="AF94" i="6" s="1"/>
  <c r="AX517" i="6"/>
  <c r="AX518" i="6" s="1"/>
  <c r="AF518" i="6"/>
  <c r="AF519" i="6" s="1"/>
  <c r="AU357" i="6"/>
  <c r="AU358" i="6" s="1"/>
  <c r="AC358" i="6"/>
  <c r="AC359" i="6" s="1"/>
  <c r="AY447" i="6"/>
  <c r="AG448" i="6"/>
  <c r="AH447" i="6"/>
  <c r="AC618" i="6"/>
  <c r="AC619" i="6" s="1"/>
  <c r="AU617" i="6"/>
  <c r="AU618" i="6" s="1"/>
  <c r="AX352" i="6"/>
  <c r="AX353" i="6" s="1"/>
  <c r="AF353" i="6"/>
  <c r="AF354" i="6" s="1"/>
  <c r="AG703" i="6"/>
  <c r="AY702" i="6"/>
  <c r="AH702" i="6"/>
  <c r="AW197" i="6"/>
  <c r="AW198" i="6" s="1"/>
  <c r="AE198" i="6"/>
  <c r="AE199" i="6" s="1"/>
  <c r="AX662" i="6"/>
  <c r="AX663" i="6" s="1"/>
  <c r="AF663" i="6"/>
  <c r="AF664" i="6" s="1"/>
  <c r="AY752" i="6"/>
  <c r="AG753" i="6"/>
  <c r="AH752" i="6"/>
  <c r="AX402" i="6"/>
  <c r="AX403" i="6" s="1"/>
  <c r="AF403" i="6"/>
  <c r="AF404" i="6" s="1"/>
  <c r="AC558" i="6"/>
  <c r="AU557" i="6"/>
  <c r="AU558" i="6" s="1"/>
  <c r="AE763" i="6"/>
  <c r="AW762" i="6"/>
  <c r="AW763" i="6" s="1"/>
  <c r="AY653" i="6"/>
  <c r="AZ652" i="6"/>
  <c r="AX202" i="6"/>
  <c r="AX203" i="6" s="1"/>
  <c r="AF203" i="6"/>
  <c r="AF204" i="6" s="1"/>
  <c r="Z788" i="6"/>
  <c r="AE553" i="6"/>
  <c r="AE554" i="6" s="1"/>
  <c r="AW552" i="6"/>
  <c r="AW553" i="6" s="1"/>
  <c r="AF303" i="6"/>
  <c r="AF304" i="6" s="1"/>
  <c r="AX302" i="6"/>
  <c r="AX303" i="6" s="1"/>
  <c r="AE208" i="6"/>
  <c r="AE209" i="6" s="1"/>
  <c r="AW207" i="6"/>
  <c r="AW208" i="6" s="1"/>
  <c r="AD408" i="6"/>
  <c r="AD409" i="6" s="1"/>
  <c r="AV407" i="6"/>
  <c r="AV408" i="6" s="1"/>
  <c r="AC668" i="6"/>
  <c r="AC669" i="6" s="1"/>
  <c r="AU667" i="6"/>
  <c r="AU668" i="6" s="1"/>
  <c r="AG609" i="6"/>
  <c r="AD108" i="6"/>
  <c r="AD109" i="6" s="1"/>
  <c r="AV107" i="6"/>
  <c r="AV108" i="6" s="1"/>
  <c r="AG89" i="6"/>
  <c r="AU157" i="6"/>
  <c r="AU158" i="6" s="1"/>
  <c r="AC158" i="6"/>
  <c r="AC159" i="6" s="1"/>
  <c r="AU257" i="6"/>
  <c r="AU258" i="6" s="1"/>
  <c r="AC258" i="6"/>
  <c r="AC259" i="6" s="1"/>
  <c r="AF762" i="6"/>
  <c r="AG762" i="6" s="1"/>
  <c r="AG302" i="6"/>
  <c r="AF759" i="6"/>
  <c r="AT158" i="6"/>
  <c r="AG299" i="6"/>
  <c r="AE348" i="6"/>
  <c r="AE349" i="6" s="1"/>
  <c r="AW347" i="6"/>
  <c r="AW348" i="6" s="1"/>
  <c r="AY602" i="6"/>
  <c r="AG603" i="6"/>
  <c r="AH602" i="6"/>
  <c r="AV457" i="6"/>
  <c r="AV458" i="6" s="1"/>
  <c r="AD458" i="6"/>
  <c r="AD459" i="6" s="1"/>
  <c r="AC768" i="6"/>
  <c r="AU767" i="6"/>
  <c r="AU768" i="6" s="1"/>
  <c r="AF708" i="6"/>
  <c r="AF709" i="6" s="1"/>
  <c r="AX707" i="6"/>
  <c r="AX708" i="6" s="1"/>
  <c r="AB618" i="6"/>
  <c r="AB619" i="6" s="1"/>
  <c r="AT617" i="6"/>
  <c r="AT618" i="6" s="1"/>
  <c r="AD617" i="6"/>
  <c r="AE617" i="6" s="1"/>
  <c r="Z789" i="6"/>
  <c r="AX562" i="6"/>
  <c r="AX563" i="6" s="1"/>
  <c r="AF563" i="6"/>
  <c r="AF564" i="6" s="1"/>
  <c r="AA669" i="6"/>
  <c r="AY343" i="6"/>
  <c r="AZ342" i="6"/>
  <c r="AY88" i="6"/>
  <c r="AZ87" i="6"/>
  <c r="AB718" i="6"/>
  <c r="AB719" i="6" s="1"/>
  <c r="AT717" i="6"/>
  <c r="AT718" i="6" s="1"/>
  <c r="AM107" i="7"/>
  <c r="AM108" i="7"/>
  <c r="AC717" i="6"/>
  <c r="AE613" i="6"/>
  <c r="AE614" i="6" s="1"/>
  <c r="AW612" i="6"/>
  <c r="AW613" i="6" s="1"/>
  <c r="AB568" i="6"/>
  <c r="AB569" i="6" s="1"/>
  <c r="AT567" i="6"/>
  <c r="AT568" i="6" s="1"/>
  <c r="AD767" i="6"/>
  <c r="AG294" i="6"/>
  <c r="AF754" i="6"/>
  <c r="AD257" i="6"/>
  <c r="AE257" i="6" s="1"/>
  <c r="AG202" i="6"/>
  <c r="AE107" i="6"/>
  <c r="AG707" i="6"/>
  <c r="AG103" i="6"/>
  <c r="AY102" i="6"/>
  <c r="AH102" i="6"/>
  <c r="AF197" i="6"/>
  <c r="AG197" i="6" s="1"/>
  <c r="AE754" i="6"/>
  <c r="AW712" i="6"/>
  <c r="AW713" i="6" s="1"/>
  <c r="AE713" i="6"/>
  <c r="AE714" i="6" s="1"/>
  <c r="AF347" i="6"/>
  <c r="AX137" i="6"/>
  <c r="AX138" i="6" s="1"/>
  <c r="AF138" i="6"/>
  <c r="AA769" i="6"/>
  <c r="AG148" i="6"/>
  <c r="AY147" i="6"/>
  <c r="AH147" i="6"/>
  <c r="AG662" i="6"/>
  <c r="AY757" i="6"/>
  <c r="AG758" i="6"/>
  <c r="AH757" i="6"/>
  <c r="AF552" i="6"/>
  <c r="AY503" i="6"/>
  <c r="AZ502" i="6"/>
  <c r="AG344" i="6"/>
  <c r="AD557" i="6"/>
  <c r="AW92" i="6"/>
  <c r="AW93" i="6" s="1"/>
  <c r="AE93" i="6"/>
  <c r="AE94" i="6" s="1"/>
  <c r="AG92" i="6"/>
  <c r="AW452" i="6"/>
  <c r="AW453" i="6" s="1"/>
  <c r="AE453" i="6"/>
  <c r="AE454" i="6" s="1"/>
  <c r="AY247" i="6"/>
  <c r="AG248" i="6"/>
  <c r="AH247" i="6"/>
  <c r="AF452" i="6"/>
  <c r="AG452" i="6" s="1"/>
  <c r="AY142" i="6"/>
  <c r="AG143" i="6"/>
  <c r="AH142" i="6"/>
  <c r="AD764" i="6"/>
  <c r="AF207" i="6"/>
  <c r="AG137" i="6"/>
  <c r="AC567" i="6"/>
  <c r="AD567" i="6" s="1"/>
  <c r="AD157" i="6"/>
  <c r="AF612" i="6"/>
  <c r="AG612" i="6" s="1"/>
  <c r="AG562" i="6"/>
  <c r="AY293" i="6"/>
  <c r="AZ292" i="6"/>
  <c r="AE457" i="6"/>
  <c r="AD667" i="6"/>
  <c r="AV152" i="6"/>
  <c r="AV153" i="6" s="1"/>
  <c r="AD153" i="6"/>
  <c r="AD154" i="6" s="1"/>
  <c r="AF448" i="6"/>
  <c r="AF449" i="6" s="1"/>
  <c r="AX447" i="6"/>
  <c r="AX448" i="6" s="1"/>
  <c r="AX507" i="6"/>
  <c r="AX508" i="6" s="1"/>
  <c r="AF508" i="6"/>
  <c r="AF509" i="6" s="1"/>
  <c r="AD398" i="6"/>
  <c r="AD399" i="6" s="1"/>
  <c r="AV397" i="6"/>
  <c r="AV398" i="6" s="1"/>
  <c r="AE397" i="6"/>
  <c r="AF397" i="6" s="1"/>
  <c r="AD513" i="6"/>
  <c r="AD514" i="6" s="1"/>
  <c r="AV512" i="6"/>
  <c r="AV513" i="6" s="1"/>
  <c r="AF512" i="6"/>
  <c r="AW657" i="6"/>
  <c r="AW658" i="6" s="1"/>
  <c r="AE658" i="6"/>
  <c r="AG657" i="6"/>
  <c r="AX442" i="6"/>
  <c r="AX443" i="6" s="1"/>
  <c r="AF443" i="6"/>
  <c r="AF444" i="6" s="1"/>
  <c r="AG654" i="6"/>
  <c r="AG507" i="6"/>
  <c r="AD709" i="6"/>
  <c r="AW517" i="6"/>
  <c r="AW518" i="6" s="1"/>
  <c r="AE518" i="6"/>
  <c r="AE519" i="6" s="1"/>
  <c r="AG517" i="6"/>
  <c r="AB358" i="6"/>
  <c r="AB359" i="6" s="1"/>
  <c r="AT357" i="6"/>
  <c r="AT358" i="6" s="1"/>
  <c r="AD357" i="6"/>
  <c r="AE357" i="6" s="1"/>
  <c r="AU307" i="6"/>
  <c r="AU308" i="6" s="1"/>
  <c r="AC308" i="6"/>
  <c r="AC309" i="6" s="1"/>
  <c r="AE307" i="6"/>
  <c r="AF307" i="6" s="1"/>
  <c r="AY252" i="6"/>
  <c r="AG253" i="6"/>
  <c r="AH252" i="6"/>
  <c r="AG504" i="6"/>
  <c r="AE407" i="6"/>
  <c r="AF407" i="6" s="1"/>
  <c r="AY608" i="6"/>
  <c r="AZ607" i="6"/>
  <c r="AE152" i="6"/>
  <c r="AG778" i="6"/>
  <c r="AG29" i="6"/>
  <c r="AG779" i="6" s="1"/>
  <c r="AF712" i="6"/>
  <c r="AE353" i="6"/>
  <c r="AE354" i="6" s="1"/>
  <c r="AW352" i="6"/>
  <c r="AW353" i="6" s="1"/>
  <c r="AG352" i="6"/>
  <c r="AE139" i="6"/>
  <c r="AE781" i="6" s="1"/>
  <c r="AE780" i="6"/>
  <c r="AB769" i="6"/>
  <c r="AY298" i="6"/>
  <c r="AZ297" i="6"/>
  <c r="AG402" i="6"/>
  <c r="B20" i="9" l="1"/>
  <c r="Y83" i="7"/>
  <c r="AP83" i="7" s="1"/>
  <c r="Y82" i="7"/>
  <c r="AG144" i="7" s="1"/>
  <c r="AA144" i="7" s="1"/>
  <c r="G215" i="5"/>
  <c r="D37" i="7"/>
  <c r="D41" i="7" s="1"/>
  <c r="S16" i="9"/>
  <c r="R16" i="9" s="1"/>
  <c r="B17" i="9" s="1"/>
  <c r="B19" i="9" s="1"/>
  <c r="G222" i="5"/>
  <c r="AH777" i="6"/>
  <c r="H43" i="7" s="1"/>
  <c r="AH653" i="6"/>
  <c r="H222" i="6" s="1"/>
  <c r="AH88" i="6"/>
  <c r="G35" i="6" s="1"/>
  <c r="G163" i="5"/>
  <c r="J14" i="7" s="1"/>
  <c r="J16" i="7" s="1"/>
  <c r="J37" i="7" s="1"/>
  <c r="J41" i="7" s="1"/>
  <c r="I138" i="5"/>
  <c r="I163" i="5" s="1"/>
  <c r="AH654" i="6"/>
  <c r="AZ393" i="6"/>
  <c r="AH608" i="6"/>
  <c r="I205" i="6" s="1"/>
  <c r="I207" i="6" s="1"/>
  <c r="AH776" i="6"/>
  <c r="AH293" i="6"/>
  <c r="H103" i="6" s="1"/>
  <c r="H105" i="6" s="1"/>
  <c r="AH343" i="6"/>
  <c r="H120" i="6" s="1"/>
  <c r="H122" i="6" s="1"/>
  <c r="AH503" i="6"/>
  <c r="H171" i="6" s="1"/>
  <c r="H173" i="6" s="1"/>
  <c r="AZ243" i="6"/>
  <c r="AP33" i="7"/>
  <c r="AZ193" i="6"/>
  <c r="H88" i="6"/>
  <c r="Z143" i="7"/>
  <c r="A49" i="7" s="1"/>
  <c r="G37" i="6"/>
  <c r="H224" i="6"/>
  <c r="Y143" i="7"/>
  <c r="A48" i="7" s="1"/>
  <c r="AP10" i="7"/>
  <c r="B47" i="7" s="1"/>
  <c r="AH298" i="6"/>
  <c r="I103" i="6" s="1"/>
  <c r="I105" i="6" s="1"/>
  <c r="AP11" i="7"/>
  <c r="AD144" i="7"/>
  <c r="Y144" i="7" s="1"/>
  <c r="C48" i="7" s="1"/>
  <c r="AP82" i="7"/>
  <c r="AQ608" i="6"/>
  <c r="AR608" i="6"/>
  <c r="AQ653" i="6"/>
  <c r="AP653" i="6"/>
  <c r="X753" i="6"/>
  <c r="Y753" i="6"/>
  <c r="W28" i="6"/>
  <c r="V28" i="6"/>
  <c r="AQ298" i="6"/>
  <c r="AR298" i="6"/>
  <c r="Y758" i="6"/>
  <c r="Z758" i="6"/>
  <c r="Y148" i="6"/>
  <c r="Y149" i="6" s="1"/>
  <c r="Z148" i="6"/>
  <c r="Z149" i="6" s="1"/>
  <c r="AP88" i="6"/>
  <c r="AO88" i="6"/>
  <c r="Y443" i="6"/>
  <c r="Y444" i="6" s="1"/>
  <c r="X443" i="6"/>
  <c r="X444" i="6" s="1"/>
  <c r="T215" i="5"/>
  <c r="U215" i="5"/>
  <c r="X33" i="6"/>
  <c r="X34" i="6" s="1"/>
  <c r="W33" i="6"/>
  <c r="W34" i="6" s="1"/>
  <c r="H195" i="5"/>
  <c r="L15" i="7" s="1"/>
  <c r="L16" i="7" s="1"/>
  <c r="L37" i="7" s="1"/>
  <c r="L41" i="7" s="1"/>
  <c r="I170" i="5"/>
  <c r="I195" i="5" s="1"/>
  <c r="F37" i="7"/>
  <c r="F41" i="7" s="1"/>
  <c r="F43" i="7"/>
  <c r="AP293" i="6"/>
  <c r="AQ293" i="6"/>
  <c r="AQ503" i="6"/>
  <c r="AP503" i="6"/>
  <c r="X603" i="6"/>
  <c r="X604" i="6" s="1"/>
  <c r="Y603" i="6"/>
  <c r="Y604" i="6" s="1"/>
  <c r="Y448" i="6"/>
  <c r="Y449" i="6" s="1"/>
  <c r="Z448" i="6"/>
  <c r="Z449" i="6" s="1"/>
  <c r="E20" i="9"/>
  <c r="AC30" i="7"/>
  <c r="AC29" i="7"/>
  <c r="AD30" i="7"/>
  <c r="AD29" i="7"/>
  <c r="X38" i="6"/>
  <c r="X39" i="6" s="1"/>
  <c r="Y38" i="6"/>
  <c r="Y39" i="6" s="1"/>
  <c r="T222" i="5"/>
  <c r="U222" i="5"/>
  <c r="AM688" i="6"/>
  <c r="AM78" i="6"/>
  <c r="AM428" i="6"/>
  <c r="AM128" i="6"/>
  <c r="AM378" i="6"/>
  <c r="AN378" i="6"/>
  <c r="AN688" i="6"/>
  <c r="AM538" i="6"/>
  <c r="AM738" i="6"/>
  <c r="AN128" i="6"/>
  <c r="AN428" i="6"/>
  <c r="AN588" i="6"/>
  <c r="AM328" i="6"/>
  <c r="AM638" i="6"/>
  <c r="AM488" i="6"/>
  <c r="AN328" i="6"/>
  <c r="AM278" i="6"/>
  <c r="AM588" i="6"/>
  <c r="AN78" i="6"/>
  <c r="AM178" i="6"/>
  <c r="AN638" i="6"/>
  <c r="AN178" i="6"/>
  <c r="AN538" i="6"/>
  <c r="AN488" i="6"/>
  <c r="AN278" i="6"/>
  <c r="AN228" i="6"/>
  <c r="AN738" i="6"/>
  <c r="AM228" i="6"/>
  <c r="AM23" i="6"/>
  <c r="AN23" i="6"/>
  <c r="AA18" i="7"/>
  <c r="AA17" i="7"/>
  <c r="AB18" i="7"/>
  <c r="AB17" i="7"/>
  <c r="X143" i="6"/>
  <c r="X144" i="6" s="1"/>
  <c r="Y143" i="6"/>
  <c r="Y144" i="6" s="1"/>
  <c r="Y248" i="6"/>
  <c r="Y249" i="6" s="1"/>
  <c r="Z248" i="6"/>
  <c r="Z249" i="6" s="1"/>
  <c r="AP343" i="6"/>
  <c r="AQ343" i="6"/>
  <c r="X703" i="6"/>
  <c r="X704" i="6" s="1"/>
  <c r="Y703" i="6"/>
  <c r="Y704" i="6" s="1"/>
  <c r="AA89" i="7"/>
  <c r="AA90" i="7"/>
  <c r="AB89" i="7"/>
  <c r="AB90" i="7"/>
  <c r="E20" i="6"/>
  <c r="E273" i="6"/>
  <c r="C20" i="9"/>
  <c r="C15" i="9"/>
  <c r="F15" i="9"/>
  <c r="T19" i="9"/>
  <c r="S19" i="9"/>
  <c r="AN108" i="7"/>
  <c r="E206" i="5"/>
  <c r="G217" i="5"/>
  <c r="AO105" i="7"/>
  <c r="AO108" i="7" s="1"/>
  <c r="AD52" i="6"/>
  <c r="AD53" i="6" s="1"/>
  <c r="AD54" i="6" s="1"/>
  <c r="AO38" i="7"/>
  <c r="AE153" i="7" s="1"/>
  <c r="AT29" i="9"/>
  <c r="E213" i="5"/>
  <c r="E203" i="5"/>
  <c r="G216" i="5"/>
  <c r="E220" i="5"/>
  <c r="G224" i="5"/>
  <c r="G223" i="5"/>
  <c r="E211" i="5"/>
  <c r="G221" i="5"/>
  <c r="E205" i="5"/>
  <c r="E210" i="5"/>
  <c r="E219" i="5"/>
  <c r="E225" i="5"/>
  <c r="E218" i="5"/>
  <c r="G208" i="5"/>
  <c r="G202" i="5"/>
  <c r="G204" i="5"/>
  <c r="E215" i="5"/>
  <c r="E209" i="5"/>
  <c r="G226" i="5"/>
  <c r="G225" i="5"/>
  <c r="E224" i="5"/>
  <c r="E204" i="5"/>
  <c r="G205" i="5"/>
  <c r="G203" i="5"/>
  <c r="E212" i="5"/>
  <c r="E221" i="5"/>
  <c r="E226" i="5"/>
  <c r="G219" i="5"/>
  <c r="E217" i="5"/>
  <c r="G218" i="5"/>
  <c r="G209" i="5"/>
  <c r="E202" i="5"/>
  <c r="E222" i="5"/>
  <c r="G206" i="5"/>
  <c r="E214" i="5"/>
  <c r="G214" i="5"/>
  <c r="G213" i="5"/>
  <c r="G212" i="5"/>
  <c r="G220" i="5"/>
  <c r="G210" i="5"/>
  <c r="G207" i="5"/>
  <c r="E223" i="5"/>
  <c r="E216" i="5"/>
  <c r="G211" i="5"/>
  <c r="E207" i="5"/>
  <c r="AZ27" i="6"/>
  <c r="AK69" i="7"/>
  <c r="AK71" i="7" s="1"/>
  <c r="AO61" i="9"/>
  <c r="AO63" i="9" s="1"/>
  <c r="AU52" i="6"/>
  <c r="AU53" i="6" s="1"/>
  <c r="AD145" i="7"/>
  <c r="Y145" i="7" s="1"/>
  <c r="C44" i="7" s="1"/>
  <c r="B48" i="7" s="1"/>
  <c r="AA788" i="6"/>
  <c r="AJ135" i="7"/>
  <c r="AJ138" i="7" s="1"/>
  <c r="AJ72" i="7"/>
  <c r="AH137" i="7"/>
  <c r="AI71" i="7"/>
  <c r="AI72" i="7"/>
  <c r="AB784" i="6"/>
  <c r="AO73" i="9"/>
  <c r="AQ378" i="6"/>
  <c r="AR378" i="6"/>
  <c r="P499" i="6"/>
  <c r="P474" i="6"/>
  <c r="AC245" i="5"/>
  <c r="AC256" i="5"/>
  <c r="AC258" i="5"/>
  <c r="AC242" i="5"/>
  <c r="AC257" i="5"/>
  <c r="AC239" i="5"/>
  <c r="AC250" i="5"/>
  <c r="AC252" i="5"/>
  <c r="AC234" i="5"/>
  <c r="AC236" i="5"/>
  <c r="AC251" i="5"/>
  <c r="AC248" i="5"/>
  <c r="AC243" i="5"/>
  <c r="AC240" i="5"/>
  <c r="AC235" i="5"/>
  <c r="AC255" i="5"/>
  <c r="AC247" i="5"/>
  <c r="AC253" i="5"/>
  <c r="AC249" i="5"/>
  <c r="AC254" i="5"/>
  <c r="AC244" i="5"/>
  <c r="AC237" i="5"/>
  <c r="AC246" i="5"/>
  <c r="AC238" i="5"/>
  <c r="AC241" i="5"/>
  <c r="AD232" i="5"/>
  <c r="E256" i="5" s="1"/>
  <c r="AH150" i="7"/>
  <c r="AO102" i="7"/>
  <c r="AP99" i="7"/>
  <c r="AM120" i="7"/>
  <c r="AM119" i="7"/>
  <c r="AA44" i="6"/>
  <c r="AA785" i="6" s="1"/>
  <c r="AA784" i="6"/>
  <c r="AN43" i="7"/>
  <c r="AN111" i="7"/>
  <c r="AN44" i="7"/>
  <c r="AP41" i="7"/>
  <c r="AJ65" i="7"/>
  <c r="AJ129" i="7"/>
  <c r="AJ64" i="7"/>
  <c r="AN117" i="7"/>
  <c r="AN50" i="7"/>
  <c r="AN51" i="7"/>
  <c r="AP48" i="7"/>
  <c r="AM51" i="9"/>
  <c r="AM114" i="7"/>
  <c r="AM113" i="7"/>
  <c r="AP55" i="9"/>
  <c r="AP57" i="9" s="1"/>
  <c r="AV47" i="6"/>
  <c r="AV48" i="6" s="1"/>
  <c r="AL62" i="7"/>
  <c r="AD48" i="6"/>
  <c r="AD49" i="6" s="1"/>
  <c r="AD787" i="6" s="1"/>
  <c r="AC48" i="6"/>
  <c r="AO55" i="9"/>
  <c r="AO57" i="9" s="1"/>
  <c r="AU47" i="6"/>
  <c r="AU48" i="6" s="1"/>
  <c r="AK62" i="7"/>
  <c r="AE47" i="6"/>
  <c r="AZ37" i="6"/>
  <c r="AK70" i="9"/>
  <c r="AJ70" i="9" s="1"/>
  <c r="AO43" i="7"/>
  <c r="AO44" i="7"/>
  <c r="AO111" i="7"/>
  <c r="AE151" i="7"/>
  <c r="AT43" i="9"/>
  <c r="AI57" i="7"/>
  <c r="AI123" i="7"/>
  <c r="AI58" i="7"/>
  <c r="AX33" i="6"/>
  <c r="AZ32" i="6"/>
  <c r="AV42" i="6"/>
  <c r="AV43" i="6" s="1"/>
  <c r="AP49" i="9"/>
  <c r="AP51" i="9" s="1"/>
  <c r="AD43" i="6"/>
  <c r="AD44" i="6" s="1"/>
  <c r="AL55" i="7"/>
  <c r="AJ58" i="7"/>
  <c r="AJ57" i="7"/>
  <c r="AJ123" i="7"/>
  <c r="AI131" i="7"/>
  <c r="AI132" i="7"/>
  <c r="AB296" i="5"/>
  <c r="AA319" i="5"/>
  <c r="AA314" i="5"/>
  <c r="AA315" i="5"/>
  <c r="AA300" i="5"/>
  <c r="AA311" i="5"/>
  <c r="AA301" i="5"/>
  <c r="AA307" i="5"/>
  <c r="AA316" i="5"/>
  <c r="AA298" i="5"/>
  <c r="AA309" i="5"/>
  <c r="AA318" i="5"/>
  <c r="AA313" i="5"/>
  <c r="AA310" i="5"/>
  <c r="AA322" i="5"/>
  <c r="AA304" i="5"/>
  <c r="AA320" i="5"/>
  <c r="AA321" i="5"/>
  <c r="AA303" i="5"/>
  <c r="AA299" i="5"/>
  <c r="AA306" i="5"/>
  <c r="AA305" i="5"/>
  <c r="AA302" i="5"/>
  <c r="AA308" i="5"/>
  <c r="AA312" i="5"/>
  <c r="AA317" i="5"/>
  <c r="AA282" i="5"/>
  <c r="AA268" i="5"/>
  <c r="AA278" i="5"/>
  <c r="AA267" i="5"/>
  <c r="AA279" i="5"/>
  <c r="AA286" i="5"/>
  <c r="AA272" i="5"/>
  <c r="AA284" i="5"/>
  <c r="AA289" i="5"/>
  <c r="AA276" i="5"/>
  <c r="AA270" i="5"/>
  <c r="AA290" i="5"/>
  <c r="AA273" i="5"/>
  <c r="AB264" i="5"/>
  <c r="AA269" i="5"/>
  <c r="AA271" i="5"/>
  <c r="AA288" i="5"/>
  <c r="AA285" i="5"/>
  <c r="AA281" i="5"/>
  <c r="AA275" i="5"/>
  <c r="AA287" i="5"/>
  <c r="AA283" i="5"/>
  <c r="AA274" i="5"/>
  <c r="AA280" i="5"/>
  <c r="AA277" i="5"/>
  <c r="AA266" i="5"/>
  <c r="AS73" i="9"/>
  <c r="AK73" i="9"/>
  <c r="AO51" i="7"/>
  <c r="AO117" i="7"/>
  <c r="AO50" i="7"/>
  <c r="AS43" i="6"/>
  <c r="AR38" i="9"/>
  <c r="AT36" i="9"/>
  <c r="AB49" i="6"/>
  <c r="AB787" i="6" s="1"/>
  <c r="AB786" i="6"/>
  <c r="AB257" i="5"/>
  <c r="AB252" i="5"/>
  <c r="AB250" i="5"/>
  <c r="AB234" i="5"/>
  <c r="AB235" i="5"/>
  <c r="AB251" i="5"/>
  <c r="AB258" i="5"/>
  <c r="AB236" i="5"/>
  <c r="AB241" i="5"/>
  <c r="AB240" i="5"/>
  <c r="AB248" i="5"/>
  <c r="AB244" i="5"/>
  <c r="AB237" i="5"/>
  <c r="AB253" i="5"/>
  <c r="AB245" i="5"/>
  <c r="AB256" i="5"/>
  <c r="AB238" i="5"/>
  <c r="AB254" i="5"/>
  <c r="AB242" i="5"/>
  <c r="AB255" i="5"/>
  <c r="AB246" i="5"/>
  <c r="AB239" i="5"/>
  <c r="AB249" i="5"/>
  <c r="AB247" i="5"/>
  <c r="AB243" i="5"/>
  <c r="AC43" i="6"/>
  <c r="AC44" i="6" s="1"/>
  <c r="AO49" i="9"/>
  <c r="AO51" i="9" s="1"/>
  <c r="AK55" i="7"/>
  <c r="AU42" i="6"/>
  <c r="AU43" i="6" s="1"/>
  <c r="AE42" i="6"/>
  <c r="AE150" i="7"/>
  <c r="AA789" i="6"/>
  <c r="AB788" i="6"/>
  <c r="AB789" i="6"/>
  <c r="AF398" i="6"/>
  <c r="AF399" i="6" s="1"/>
  <c r="AX397" i="6"/>
  <c r="AX398" i="6" s="1"/>
  <c r="AG613" i="6"/>
  <c r="AY612" i="6"/>
  <c r="AH612" i="6"/>
  <c r="AX407" i="6"/>
  <c r="AX408" i="6" s="1"/>
  <c r="AF408" i="6"/>
  <c r="AF409" i="6" s="1"/>
  <c r="AW357" i="6"/>
  <c r="AW358" i="6" s="1"/>
  <c r="AE358" i="6"/>
  <c r="AE359" i="6" s="1"/>
  <c r="AF308" i="6"/>
  <c r="AF309" i="6" s="1"/>
  <c r="AX307" i="6"/>
  <c r="AX308" i="6" s="1"/>
  <c r="AV567" i="6"/>
  <c r="AV568" i="6" s="1"/>
  <c r="AD568" i="6"/>
  <c r="AD569" i="6" s="1"/>
  <c r="AG198" i="6"/>
  <c r="AY197" i="6"/>
  <c r="AH197" i="6"/>
  <c r="AE258" i="6"/>
  <c r="AE259" i="6" s="1"/>
  <c r="AW257" i="6"/>
  <c r="AW258" i="6" s="1"/>
  <c r="AE618" i="6"/>
  <c r="AE619" i="6" s="1"/>
  <c r="AW617" i="6"/>
  <c r="AW618" i="6" s="1"/>
  <c r="AY762" i="6"/>
  <c r="AG763" i="6"/>
  <c r="AH762" i="6"/>
  <c r="AY253" i="6"/>
  <c r="AZ253" i="6" s="1"/>
  <c r="AZ252" i="6"/>
  <c r="AG403" i="6"/>
  <c r="AY402" i="6"/>
  <c r="AH402" i="6"/>
  <c r="AF513" i="6"/>
  <c r="AF514" i="6" s="1"/>
  <c r="AX512" i="6"/>
  <c r="AX513" i="6" s="1"/>
  <c r="AG138" i="6"/>
  <c r="AY137" i="6"/>
  <c r="AH137" i="6"/>
  <c r="AY143" i="6"/>
  <c r="AZ142" i="6"/>
  <c r="AW107" i="6"/>
  <c r="AW108" i="6" s="1"/>
  <c r="AE108" i="6"/>
  <c r="AE109" i="6" s="1"/>
  <c r="AD768" i="6"/>
  <c r="AV767" i="6"/>
  <c r="AV768" i="6" s="1"/>
  <c r="AE767" i="6"/>
  <c r="AK71" i="9"/>
  <c r="AJ71" i="9" s="1"/>
  <c r="AF107" i="6"/>
  <c r="AG107" i="6" s="1"/>
  <c r="AG449" i="6"/>
  <c r="AG353" i="6"/>
  <c r="AY352" i="6"/>
  <c r="AH352" i="6"/>
  <c r="AX712" i="6"/>
  <c r="AX713" i="6" s="1"/>
  <c r="AF713" i="6"/>
  <c r="AF714" i="6" s="1"/>
  <c r="AY517" i="6"/>
  <c r="AG518" i="6"/>
  <c r="AH517" i="6"/>
  <c r="AI137" i="7"/>
  <c r="AI138" i="7"/>
  <c r="AY657" i="6"/>
  <c r="AG658" i="6"/>
  <c r="AH657" i="6"/>
  <c r="AD668" i="6"/>
  <c r="AD669" i="6" s="1"/>
  <c r="AV667" i="6"/>
  <c r="AV668" i="6" s="1"/>
  <c r="AY562" i="6"/>
  <c r="AG563" i="6"/>
  <c r="AH562" i="6"/>
  <c r="AX612" i="6"/>
  <c r="AX613" i="6" s="1"/>
  <c r="AF613" i="6"/>
  <c r="AF614" i="6" s="1"/>
  <c r="AF208" i="6"/>
  <c r="AF209" i="6" s="1"/>
  <c r="AX207" i="6"/>
  <c r="AX208" i="6" s="1"/>
  <c r="AG249" i="6"/>
  <c r="AV557" i="6"/>
  <c r="AV558" i="6" s="1"/>
  <c r="AD558" i="6"/>
  <c r="AF553" i="6"/>
  <c r="AX552" i="6"/>
  <c r="AX553" i="6" s="1"/>
  <c r="AG759" i="6"/>
  <c r="AF780" i="6"/>
  <c r="AF139" i="6"/>
  <c r="AF781" i="6" s="1"/>
  <c r="AX347" i="6"/>
  <c r="AX348" i="6" s="1"/>
  <c r="AF348" i="6"/>
  <c r="AF349" i="6" s="1"/>
  <c r="AE783" i="6"/>
  <c r="AY103" i="6"/>
  <c r="AZ103" i="6" s="1"/>
  <c r="AZ102" i="6"/>
  <c r="AY202" i="6"/>
  <c r="AG203" i="6"/>
  <c r="AH202" i="6"/>
  <c r="AG604" i="6"/>
  <c r="AE667" i="6"/>
  <c r="AF667" i="6" s="1"/>
  <c r="AG552" i="6"/>
  <c r="AC559" i="6"/>
  <c r="AG754" i="6"/>
  <c r="AY703" i="6"/>
  <c r="AZ702" i="6"/>
  <c r="AY448" i="6"/>
  <c r="AZ447" i="6"/>
  <c r="AE152" i="7"/>
  <c r="AG512" i="6"/>
  <c r="AW152" i="6"/>
  <c r="AW153" i="6" s="1"/>
  <c r="AE153" i="6"/>
  <c r="AE154" i="6" s="1"/>
  <c r="AW407" i="6"/>
  <c r="AW408" i="6" s="1"/>
  <c r="AE408" i="6"/>
  <c r="AE409" i="6" s="1"/>
  <c r="AG407" i="6"/>
  <c r="AG254" i="6"/>
  <c r="AH253" i="6"/>
  <c r="AV357" i="6"/>
  <c r="AV358" i="6" s="1"/>
  <c r="AD358" i="6"/>
  <c r="AD359" i="6" s="1"/>
  <c r="AF357" i="6"/>
  <c r="AG357" i="6" s="1"/>
  <c r="AG508" i="6"/>
  <c r="AY507" i="6"/>
  <c r="AH507" i="6"/>
  <c r="AE659" i="6"/>
  <c r="AF152" i="6"/>
  <c r="AG152" i="6" s="1"/>
  <c r="AE458" i="6"/>
  <c r="AE459" i="6" s="1"/>
  <c r="AW457" i="6"/>
  <c r="AW458" i="6" s="1"/>
  <c r="AV157" i="6"/>
  <c r="AV158" i="6" s="1"/>
  <c r="AD158" i="6"/>
  <c r="AD159" i="6" s="1"/>
  <c r="AX452" i="6"/>
  <c r="AX453" i="6" s="1"/>
  <c r="AF453" i="6"/>
  <c r="AF454" i="6" s="1"/>
  <c r="AY248" i="6"/>
  <c r="AZ247" i="6"/>
  <c r="AG93" i="6"/>
  <c r="AY92" i="6"/>
  <c r="AH92" i="6"/>
  <c r="AY758" i="6"/>
  <c r="AZ757" i="6"/>
  <c r="AY148" i="6"/>
  <c r="AZ147" i="6"/>
  <c r="AG712" i="6"/>
  <c r="AE782" i="6"/>
  <c r="AG104" i="6"/>
  <c r="AH103" i="6"/>
  <c r="AC718" i="6"/>
  <c r="AC719" i="6" s="1"/>
  <c r="AU717" i="6"/>
  <c r="AU718" i="6" s="1"/>
  <c r="AC769" i="6"/>
  <c r="AY603" i="6"/>
  <c r="AZ602" i="6"/>
  <c r="AG303" i="6"/>
  <c r="AY302" i="6"/>
  <c r="AH302" i="6"/>
  <c r="AF763" i="6"/>
  <c r="AX762" i="6"/>
  <c r="AX763" i="6" s="1"/>
  <c r="AE764" i="6"/>
  <c r="AY753" i="6"/>
  <c r="AZ752" i="6"/>
  <c r="AG704" i="6"/>
  <c r="AY443" i="6"/>
  <c r="AZ442" i="6"/>
  <c r="AW307" i="6"/>
  <c r="AW308" i="6" s="1"/>
  <c r="AE308" i="6"/>
  <c r="AE309" i="6" s="1"/>
  <c r="AG307" i="6"/>
  <c r="AE398" i="6"/>
  <c r="AE399" i="6" s="1"/>
  <c r="AW397" i="6"/>
  <c r="AW398" i="6" s="1"/>
  <c r="AG397" i="6"/>
  <c r="AC568" i="6"/>
  <c r="AC569" i="6" s="1"/>
  <c r="AU567" i="6"/>
  <c r="AU568" i="6" s="1"/>
  <c r="AE567" i="6"/>
  <c r="AG144" i="6"/>
  <c r="AY452" i="6"/>
  <c r="AG453" i="6"/>
  <c r="AH452" i="6"/>
  <c r="AG663" i="6"/>
  <c r="AY662" i="6"/>
  <c r="AH662" i="6"/>
  <c r="AG149" i="6"/>
  <c r="AX197" i="6"/>
  <c r="AX198" i="6" s="1"/>
  <c r="AF198" i="6"/>
  <c r="AF199" i="6" s="1"/>
  <c r="AY707" i="6"/>
  <c r="AG708" i="6"/>
  <c r="AH707" i="6"/>
  <c r="AD258" i="6"/>
  <c r="AD259" i="6" s="1"/>
  <c r="AV257" i="6"/>
  <c r="AV258" i="6" s="1"/>
  <c r="AF257" i="6"/>
  <c r="AD717" i="6"/>
  <c r="AE717" i="6" s="1"/>
  <c r="AD618" i="6"/>
  <c r="AD619" i="6" s="1"/>
  <c r="AV617" i="6"/>
  <c r="AV618" i="6" s="1"/>
  <c r="AF617" i="6"/>
  <c r="AF457" i="6"/>
  <c r="AG347" i="6"/>
  <c r="AE157" i="6"/>
  <c r="AG207" i="6"/>
  <c r="AE557" i="6"/>
  <c r="AG444" i="6"/>
  <c r="AG145" i="7" l="1"/>
  <c r="AA145" i="7" s="1"/>
  <c r="AB145" i="7" s="1"/>
  <c r="AD215" i="5"/>
  <c r="H215" i="5" s="1"/>
  <c r="I215" i="5" s="1"/>
  <c r="AD222" i="5"/>
  <c r="H222" i="5" s="1"/>
  <c r="I222" i="5" s="1"/>
  <c r="AZ588" i="6"/>
  <c r="AD150" i="7"/>
  <c r="Y150" i="7" s="1"/>
  <c r="I48" i="7" s="1"/>
  <c r="AH704" i="6"/>
  <c r="A44" i="7"/>
  <c r="AH443" i="6"/>
  <c r="H154" i="6" s="1"/>
  <c r="AH143" i="6"/>
  <c r="H52" i="6" s="1"/>
  <c r="H54" i="6" s="1"/>
  <c r="AV52" i="6"/>
  <c r="AV53" i="6" s="1"/>
  <c r="A45" i="7"/>
  <c r="AH758" i="6"/>
  <c r="I256" i="6" s="1"/>
  <c r="L105" i="6"/>
  <c r="N105" i="6" s="1"/>
  <c r="AZ78" i="6"/>
  <c r="AZ298" i="6"/>
  <c r="AH753" i="6"/>
  <c r="H256" i="6" s="1"/>
  <c r="AZ608" i="6"/>
  <c r="AH33" i="6"/>
  <c r="G18" i="6" s="1"/>
  <c r="G20" i="6" s="1"/>
  <c r="AZ23" i="6"/>
  <c r="AZ328" i="6"/>
  <c r="AZ738" i="6"/>
  <c r="AZ688" i="6"/>
  <c r="AD151" i="7"/>
  <c r="Y151" i="7" s="1"/>
  <c r="AZ88" i="6"/>
  <c r="AZ653" i="6"/>
  <c r="AH248" i="6"/>
  <c r="I86" i="6" s="1"/>
  <c r="I88" i="6" s="1"/>
  <c r="L88" i="6" s="1"/>
  <c r="N88" i="6" s="1"/>
  <c r="AH448" i="6"/>
  <c r="I154" i="6" s="1"/>
  <c r="I156" i="6" s="1"/>
  <c r="Z144" i="7"/>
  <c r="C49" i="7" s="1"/>
  <c r="AH148" i="6"/>
  <c r="I52" i="6" s="1"/>
  <c r="I54" i="6" s="1"/>
  <c r="AZ343" i="6"/>
  <c r="AZ503" i="6"/>
  <c r="AL69" i="7"/>
  <c r="AL135" i="7" s="1"/>
  <c r="AH703" i="6"/>
  <c r="H239" i="6" s="1"/>
  <c r="H241" i="6" s="1"/>
  <c r="AE52" i="6"/>
  <c r="AE53" i="6" s="1"/>
  <c r="AE54" i="6" s="1"/>
  <c r="AP61" i="9"/>
  <c r="AP63" i="9" s="1"/>
  <c r="AP105" i="7"/>
  <c r="AE108" i="7" s="1"/>
  <c r="AH603" i="6"/>
  <c r="H205" i="6" s="1"/>
  <c r="H207" i="6" s="1"/>
  <c r="L207" i="6" s="1"/>
  <c r="N207" i="6" s="1"/>
  <c r="E275" i="6"/>
  <c r="AZ638" i="6"/>
  <c r="AZ278" i="6"/>
  <c r="H156" i="6"/>
  <c r="AZ228" i="6"/>
  <c r="AZ178" i="6"/>
  <c r="AZ538" i="6"/>
  <c r="AZ128" i="6"/>
  <c r="AZ488" i="6"/>
  <c r="AZ428" i="6"/>
  <c r="AZ293" i="6"/>
  <c r="L103" i="6"/>
  <c r="L86" i="6"/>
  <c r="AP30" i="7"/>
  <c r="AB144" i="7"/>
  <c r="AH38" i="6"/>
  <c r="H18" i="6" s="1"/>
  <c r="H20" i="6" s="1"/>
  <c r="AZ378" i="6"/>
  <c r="AP29" i="7"/>
  <c r="H47" i="7" s="1"/>
  <c r="H51" i="7" s="1"/>
  <c r="Z708" i="6"/>
  <c r="Z709" i="6" s="1"/>
  <c r="Y708" i="6"/>
  <c r="Y709" i="6" s="1"/>
  <c r="AQ753" i="6"/>
  <c r="AP753" i="6"/>
  <c r="AQ758" i="6"/>
  <c r="AR758" i="6"/>
  <c r="AQ248" i="6"/>
  <c r="AR248" i="6"/>
  <c r="AP703" i="6"/>
  <c r="AQ703" i="6"/>
  <c r="Y658" i="6"/>
  <c r="Y659" i="6" s="1"/>
  <c r="Z658" i="6"/>
  <c r="Z659" i="6" s="1"/>
  <c r="AP143" i="6"/>
  <c r="AQ143" i="6"/>
  <c r="T211" i="5"/>
  <c r="U211" i="5"/>
  <c r="T210" i="5"/>
  <c r="U210" i="5"/>
  <c r="T214" i="5"/>
  <c r="U214" i="5"/>
  <c r="T218" i="5"/>
  <c r="U218" i="5"/>
  <c r="T208" i="5"/>
  <c r="U208" i="5"/>
  <c r="T221" i="5"/>
  <c r="U221" i="5"/>
  <c r="AD107" i="7"/>
  <c r="W29" i="6"/>
  <c r="W779" i="6" s="1"/>
  <c r="W778" i="6"/>
  <c r="AQ148" i="6"/>
  <c r="AR148" i="6"/>
  <c r="AQ448" i="6"/>
  <c r="AR448" i="6"/>
  <c r="AP38" i="6"/>
  <c r="AQ38" i="6"/>
  <c r="AD102" i="7"/>
  <c r="AC101" i="7"/>
  <c r="AD101" i="7"/>
  <c r="AC102" i="7"/>
  <c r="T220" i="5"/>
  <c r="U220" i="5"/>
  <c r="T216" i="5"/>
  <c r="U216" i="5"/>
  <c r="AB23" i="7"/>
  <c r="AB24" i="7"/>
  <c r="AC23" i="7"/>
  <c r="AC24" i="7"/>
  <c r="AE107" i="7"/>
  <c r="Y754" i="6"/>
  <c r="Y508" i="6"/>
  <c r="Y509" i="6" s="1"/>
  <c r="Z508" i="6"/>
  <c r="Z509" i="6" s="1"/>
  <c r="W138" i="6"/>
  <c r="X138" i="6"/>
  <c r="AO28" i="6"/>
  <c r="AN28" i="6"/>
  <c r="T212" i="5"/>
  <c r="U212" i="5"/>
  <c r="T206" i="5"/>
  <c r="U206" i="5"/>
  <c r="T219" i="5"/>
  <c r="U219" i="5"/>
  <c r="T203" i="5"/>
  <c r="U203" i="5"/>
  <c r="T225" i="5"/>
  <c r="U225" i="5"/>
  <c r="T204" i="5"/>
  <c r="U204" i="5"/>
  <c r="T223" i="5"/>
  <c r="U223" i="5"/>
  <c r="AG147" i="7"/>
  <c r="AA147" i="7" s="1"/>
  <c r="AP90" i="7"/>
  <c r="AD146" i="7"/>
  <c r="Y146" i="7" s="1"/>
  <c r="E48" i="7" s="1"/>
  <c r="AP17" i="7"/>
  <c r="AB95" i="7"/>
  <c r="AB96" i="7"/>
  <c r="AC95" i="7"/>
  <c r="AC96" i="7"/>
  <c r="D20" i="9"/>
  <c r="D15" i="9"/>
  <c r="Z759" i="6"/>
  <c r="AD108" i="7"/>
  <c r="X754" i="6"/>
  <c r="AQ443" i="6"/>
  <c r="AP443" i="6"/>
  <c r="AP603" i="6"/>
  <c r="AQ603" i="6"/>
  <c r="Y198" i="6"/>
  <c r="Y199" i="6" s="1"/>
  <c r="Z198" i="6"/>
  <c r="Z199" i="6" s="1"/>
  <c r="AO33" i="6"/>
  <c r="AP33" i="6"/>
  <c r="T207" i="5"/>
  <c r="U207" i="5"/>
  <c r="T213" i="5"/>
  <c r="U213" i="5"/>
  <c r="T209" i="5"/>
  <c r="U209" i="5"/>
  <c r="T205" i="5"/>
  <c r="U205" i="5"/>
  <c r="T226" i="5"/>
  <c r="U226" i="5"/>
  <c r="T202" i="5"/>
  <c r="U202" i="5"/>
  <c r="T224" i="5"/>
  <c r="U224" i="5"/>
  <c r="T217" i="5"/>
  <c r="U217" i="5"/>
  <c r="AG146" i="7"/>
  <c r="AA146" i="7" s="1"/>
  <c r="AP89" i="7"/>
  <c r="AD147" i="7"/>
  <c r="Y147" i="7" s="1"/>
  <c r="E44" i="7" s="1"/>
  <c r="D48" i="7" s="1"/>
  <c r="AP18" i="7"/>
  <c r="Y759" i="6"/>
  <c r="V29" i="6"/>
  <c r="V779" i="6" s="1"/>
  <c r="AH779" i="6" s="1"/>
  <c r="J43" i="7" s="1"/>
  <c r="V778" i="6"/>
  <c r="AH778" i="6" s="1"/>
  <c r="AH28" i="6"/>
  <c r="F18" i="6" s="1"/>
  <c r="R19" i="9"/>
  <c r="E17" i="9" s="1"/>
  <c r="E19" i="9" s="1"/>
  <c r="G15" i="9"/>
  <c r="AC93" i="6"/>
  <c r="AD93" i="6"/>
  <c r="S20" i="9"/>
  <c r="T20" i="9"/>
  <c r="H258" i="6"/>
  <c r="S17" i="9"/>
  <c r="T17" i="9"/>
  <c r="I258" i="6"/>
  <c r="AO107" i="7"/>
  <c r="AH152" i="7" s="1"/>
  <c r="AK135" i="7"/>
  <c r="AK138" i="7" s="1"/>
  <c r="Z145" i="7"/>
  <c r="C45" i="7" s="1"/>
  <c r="B49" i="7" s="1"/>
  <c r="AK72" i="7"/>
  <c r="G227" i="5"/>
  <c r="N14" i="7" s="1"/>
  <c r="AJ137" i="7"/>
  <c r="E254" i="5"/>
  <c r="G249" i="5"/>
  <c r="G240" i="5"/>
  <c r="E241" i="5"/>
  <c r="E251" i="5"/>
  <c r="E244" i="5"/>
  <c r="E248" i="5"/>
  <c r="AC785" i="6"/>
  <c r="G257" i="5"/>
  <c r="G252" i="5"/>
  <c r="G246" i="5"/>
  <c r="G251" i="5"/>
  <c r="G253" i="5"/>
  <c r="G242" i="5"/>
  <c r="B51" i="7"/>
  <c r="G238" i="5"/>
  <c r="E235" i="5"/>
  <c r="G234" i="5"/>
  <c r="E237" i="5"/>
  <c r="E255" i="5"/>
  <c r="G235" i="5"/>
  <c r="G244" i="5"/>
  <c r="G255" i="5"/>
  <c r="E246" i="5"/>
  <c r="G258" i="5"/>
  <c r="G250" i="5"/>
  <c r="E236" i="5"/>
  <c r="E247" i="5"/>
  <c r="E258" i="5"/>
  <c r="G243" i="5"/>
  <c r="E250" i="5"/>
  <c r="E238" i="5"/>
  <c r="G256" i="5"/>
  <c r="E245" i="5"/>
  <c r="E249" i="5"/>
  <c r="G248" i="5"/>
  <c r="E240" i="5"/>
  <c r="E253" i="5"/>
  <c r="G245" i="5"/>
  <c r="G236" i="5"/>
  <c r="E242" i="5"/>
  <c r="G237" i="5"/>
  <c r="G247" i="5"/>
  <c r="E243" i="5"/>
  <c r="E252" i="5"/>
  <c r="G239" i="5"/>
  <c r="G241" i="5"/>
  <c r="E257" i="5"/>
  <c r="E239" i="5"/>
  <c r="G254" i="5"/>
  <c r="E234" i="5"/>
  <c r="B21" i="9"/>
  <c r="P500" i="6"/>
  <c r="P475" i="6"/>
  <c r="AD786" i="6"/>
  <c r="AF42" i="6"/>
  <c r="AG42" i="6" s="1"/>
  <c r="AM55" i="7"/>
  <c r="AE43" i="6"/>
  <c r="AE44" i="6" s="1"/>
  <c r="AW42" i="6"/>
  <c r="AW43" i="6" s="1"/>
  <c r="AQ49" i="9"/>
  <c r="AQ51" i="9" s="1"/>
  <c r="AL57" i="7"/>
  <c r="AL58" i="7"/>
  <c r="AL123" i="7"/>
  <c r="AI125" i="7"/>
  <c r="AI126" i="7"/>
  <c r="AN119" i="7"/>
  <c r="AN120" i="7"/>
  <c r="AP117" i="7"/>
  <c r="AH151" i="7"/>
  <c r="AK72" i="9"/>
  <c r="AS72" i="9"/>
  <c r="AO72" i="9"/>
  <c r="AB279" i="5"/>
  <c r="AB275" i="5"/>
  <c r="AB268" i="5"/>
  <c r="AB278" i="5"/>
  <c r="AB272" i="5"/>
  <c r="AB271" i="5"/>
  <c r="AB277" i="5"/>
  <c r="AB288" i="5"/>
  <c r="AB273" i="5"/>
  <c r="AB267" i="5"/>
  <c r="AB282" i="5"/>
  <c r="AB274" i="5"/>
  <c r="AB283" i="5"/>
  <c r="AB285" i="5"/>
  <c r="AB266" i="5"/>
  <c r="AB286" i="5"/>
  <c r="AB287" i="5"/>
  <c r="AB276" i="5"/>
  <c r="AB284" i="5"/>
  <c r="AB270" i="5"/>
  <c r="AB290" i="5"/>
  <c r="AB289" i="5"/>
  <c r="AB269" i="5"/>
  <c r="AB280" i="5"/>
  <c r="AB281" i="5"/>
  <c r="AC264" i="5"/>
  <c r="AJ125" i="7"/>
  <c r="AJ126" i="7"/>
  <c r="AF47" i="6"/>
  <c r="AG47" i="6" s="1"/>
  <c r="AQ55" i="9"/>
  <c r="AQ57" i="9" s="1"/>
  <c r="AW47" i="6"/>
  <c r="AW48" i="6" s="1"/>
  <c r="AM62" i="7"/>
  <c r="AE48" i="6"/>
  <c r="AE786" i="6" s="1"/>
  <c r="AC49" i="6"/>
  <c r="AC787" i="6" s="1"/>
  <c r="AC786" i="6"/>
  <c r="AE155" i="7"/>
  <c r="AK123" i="7"/>
  <c r="AK58" i="7"/>
  <c r="AK57" i="7"/>
  <c r="AB321" i="5"/>
  <c r="AB309" i="5"/>
  <c r="AB303" i="5"/>
  <c r="AB313" i="5"/>
  <c r="AB317" i="5"/>
  <c r="AB310" i="5"/>
  <c r="AB300" i="5"/>
  <c r="AB298" i="5"/>
  <c r="AB315" i="5"/>
  <c r="AB299" i="5"/>
  <c r="AB312" i="5"/>
  <c r="AB301" i="5"/>
  <c r="AB306" i="5"/>
  <c r="AB320" i="5"/>
  <c r="AB307" i="5"/>
  <c r="AB308" i="5"/>
  <c r="AB314" i="5"/>
  <c r="AB304" i="5"/>
  <c r="AB316" i="5"/>
  <c r="AB311" i="5"/>
  <c r="AB302" i="5"/>
  <c r="AB322" i="5"/>
  <c r="AB305" i="5"/>
  <c r="AB318" i="5"/>
  <c r="AB319" i="5"/>
  <c r="AK65" i="7"/>
  <c r="AK129" i="7"/>
  <c r="AK64" i="7"/>
  <c r="AJ131" i="7"/>
  <c r="AJ132" i="7"/>
  <c r="AN113" i="7"/>
  <c r="AN114" i="7"/>
  <c r="AP111" i="7"/>
  <c r="AF114" i="7" s="1"/>
  <c r="AC784" i="6"/>
  <c r="AO119" i="7"/>
  <c r="AO120" i="7"/>
  <c r="AC296" i="5"/>
  <c r="AO113" i="7"/>
  <c r="AO114" i="7"/>
  <c r="AL64" i="7"/>
  <c r="AL65" i="7"/>
  <c r="AL129" i="7"/>
  <c r="AE154" i="7"/>
  <c r="AG108" i="6"/>
  <c r="AY107" i="6"/>
  <c r="AH107" i="6"/>
  <c r="AY357" i="6"/>
  <c r="AG358" i="6"/>
  <c r="AH357" i="6"/>
  <c r="AF668" i="6"/>
  <c r="AF669" i="6" s="1"/>
  <c r="AX667" i="6"/>
  <c r="AX668" i="6" s="1"/>
  <c r="AE718" i="6"/>
  <c r="AE719" i="6" s="1"/>
  <c r="AW717" i="6"/>
  <c r="AW718" i="6" s="1"/>
  <c r="AF458" i="6"/>
  <c r="AF459" i="6" s="1"/>
  <c r="AX457" i="6"/>
  <c r="AX458" i="6" s="1"/>
  <c r="AG454" i="6"/>
  <c r="AH453" i="6"/>
  <c r="AY207" i="6"/>
  <c r="AG208" i="6"/>
  <c r="AH207" i="6"/>
  <c r="AF618" i="6"/>
  <c r="AF619" i="6" s="1"/>
  <c r="AX617" i="6"/>
  <c r="AX618" i="6" s="1"/>
  <c r="AF258" i="6"/>
  <c r="AF259" i="6" s="1"/>
  <c r="AX257" i="6"/>
  <c r="AX258" i="6" s="1"/>
  <c r="AG709" i="6"/>
  <c r="AY663" i="6"/>
  <c r="AZ663" i="6" s="1"/>
  <c r="AZ662" i="6"/>
  <c r="AY453" i="6"/>
  <c r="AZ453" i="6" s="1"/>
  <c r="AZ452" i="6"/>
  <c r="AY397" i="6"/>
  <c r="AG398" i="6"/>
  <c r="AH397" i="6"/>
  <c r="AF764" i="6"/>
  <c r="AC788" i="6"/>
  <c r="AG94" i="6"/>
  <c r="AF153" i="6"/>
  <c r="AF154" i="6" s="1"/>
  <c r="AX152" i="6"/>
  <c r="AX153" i="6" s="1"/>
  <c r="AY508" i="6"/>
  <c r="AZ507" i="6"/>
  <c r="AG408" i="6"/>
  <c r="AY407" i="6"/>
  <c r="AH407" i="6"/>
  <c r="AY203" i="6"/>
  <c r="AZ203" i="6" s="1"/>
  <c r="AZ202" i="6"/>
  <c r="AD559" i="6"/>
  <c r="AD785" i="6" s="1"/>
  <c r="AD784" i="6"/>
  <c r="AG659" i="6"/>
  <c r="AY353" i="6"/>
  <c r="AZ353" i="6" s="1"/>
  <c r="AZ352" i="6"/>
  <c r="AD769" i="6"/>
  <c r="AY763" i="6"/>
  <c r="AZ763" i="6" s="1"/>
  <c r="AZ762" i="6"/>
  <c r="AY613" i="6"/>
  <c r="AZ613" i="6" s="1"/>
  <c r="AZ612" i="6"/>
  <c r="AY347" i="6"/>
  <c r="AG348" i="6"/>
  <c r="AH347" i="6"/>
  <c r="AY708" i="6"/>
  <c r="AZ707" i="6"/>
  <c r="AG664" i="6"/>
  <c r="AH663" i="6"/>
  <c r="AW567" i="6"/>
  <c r="AW568" i="6" s="1"/>
  <c r="AE568" i="6"/>
  <c r="AE569" i="6" s="1"/>
  <c r="AC789" i="6"/>
  <c r="AG457" i="6"/>
  <c r="AG509" i="6"/>
  <c r="AY658" i="6"/>
  <c r="AZ657" i="6"/>
  <c r="AG354" i="6"/>
  <c r="AH353" i="6"/>
  <c r="AW52" i="6"/>
  <c r="AW53" i="6" s="1"/>
  <c r="AY403" i="6"/>
  <c r="AZ403" i="6" s="1"/>
  <c r="AZ402" i="6"/>
  <c r="AH153" i="7"/>
  <c r="AG614" i="6"/>
  <c r="AH613" i="6"/>
  <c r="AW157" i="6"/>
  <c r="AW158" i="6" s="1"/>
  <c r="AE158" i="6"/>
  <c r="AE159" i="6" s="1"/>
  <c r="AY303" i="6"/>
  <c r="AZ303" i="6" s="1"/>
  <c r="AZ302" i="6"/>
  <c r="AF157" i="6"/>
  <c r="AF358" i="6"/>
  <c r="AF359" i="6" s="1"/>
  <c r="AX357" i="6"/>
  <c r="AX358" i="6" s="1"/>
  <c r="AG513" i="6"/>
  <c r="AY512" i="6"/>
  <c r="AH512" i="6"/>
  <c r="AG553" i="6"/>
  <c r="AY552" i="6"/>
  <c r="AH552" i="6"/>
  <c r="AF554" i="6"/>
  <c r="AF783" i="6" s="1"/>
  <c r="AF782" i="6"/>
  <c r="AG564" i="6"/>
  <c r="AH563" i="6"/>
  <c r="AG519" i="6"/>
  <c r="AH518" i="6"/>
  <c r="AW767" i="6"/>
  <c r="AW768" i="6" s="1"/>
  <c r="AE768" i="6"/>
  <c r="AF767" i="6"/>
  <c r="AG767" i="6" s="1"/>
  <c r="AY138" i="6"/>
  <c r="AZ137" i="6"/>
  <c r="AG404" i="6"/>
  <c r="AH403" i="6"/>
  <c r="AG617" i="6"/>
  <c r="AG257" i="6"/>
  <c r="AY198" i="6"/>
  <c r="AZ197" i="6"/>
  <c r="AF567" i="6"/>
  <c r="AW557" i="6"/>
  <c r="AW558" i="6" s="1"/>
  <c r="AE558" i="6"/>
  <c r="AD718" i="6"/>
  <c r="AD719" i="6" s="1"/>
  <c r="AV717" i="6"/>
  <c r="AV718" i="6" s="1"/>
  <c r="AF717" i="6"/>
  <c r="AG308" i="6"/>
  <c r="AY307" i="6"/>
  <c r="AH307" i="6"/>
  <c r="AG304" i="6"/>
  <c r="AH303" i="6"/>
  <c r="AY712" i="6"/>
  <c r="AG713" i="6"/>
  <c r="AH712" i="6"/>
  <c r="AY93" i="6"/>
  <c r="AZ92" i="6"/>
  <c r="AG153" i="6"/>
  <c r="AY152" i="6"/>
  <c r="AH152" i="6"/>
  <c r="AW667" i="6"/>
  <c r="AW668" i="6" s="1"/>
  <c r="AE668" i="6"/>
  <c r="AE669" i="6" s="1"/>
  <c r="AG667" i="6"/>
  <c r="AG204" i="6"/>
  <c r="AH203" i="6"/>
  <c r="AF557" i="6"/>
  <c r="AG557" i="6" s="1"/>
  <c r="AY563" i="6"/>
  <c r="AZ563" i="6" s="1"/>
  <c r="AZ562" i="6"/>
  <c r="AY518" i="6"/>
  <c r="AZ518" i="6" s="1"/>
  <c r="AZ517" i="6"/>
  <c r="AX107" i="6"/>
  <c r="AX108" i="6" s="1"/>
  <c r="AF108" i="6"/>
  <c r="AF109" i="6" s="1"/>
  <c r="AG139" i="6"/>
  <c r="AG781" i="6" s="1"/>
  <c r="AG780" i="6"/>
  <c r="AG764" i="6"/>
  <c r="AH763" i="6"/>
  <c r="AG199" i="6"/>
  <c r="AM69" i="7" l="1"/>
  <c r="AQ61" i="9"/>
  <c r="AQ63" i="9" s="1"/>
  <c r="AF52" i="6"/>
  <c r="AG52" i="6" s="1"/>
  <c r="AO69" i="7" s="1"/>
  <c r="L256" i="6"/>
  <c r="AK137" i="7"/>
  <c r="AH754" i="6"/>
  <c r="AL72" i="7"/>
  <c r="AD224" i="5"/>
  <c r="H224" i="5" s="1"/>
  <c r="I224" i="5" s="1"/>
  <c r="AD226" i="5"/>
  <c r="H226" i="5" s="1"/>
  <c r="I226" i="5" s="1"/>
  <c r="AD208" i="5"/>
  <c r="H208" i="5" s="1"/>
  <c r="I208" i="5" s="1"/>
  <c r="AL71" i="7"/>
  <c r="AG153" i="7"/>
  <c r="AA153" i="7" s="1"/>
  <c r="AD217" i="5"/>
  <c r="H217" i="5" s="1"/>
  <c r="I217" i="5" s="1"/>
  <c r="AD213" i="5"/>
  <c r="H213" i="5" s="1"/>
  <c r="I213" i="5" s="1"/>
  <c r="AD218" i="5"/>
  <c r="H218" i="5" s="1"/>
  <c r="I218" i="5" s="1"/>
  <c r="AD210" i="5"/>
  <c r="H210" i="5" s="1"/>
  <c r="I210" i="5" s="1"/>
  <c r="AD204" i="5"/>
  <c r="H204" i="5" s="1"/>
  <c r="I204" i="5" s="1"/>
  <c r="AD203" i="5"/>
  <c r="H203" i="5" s="1"/>
  <c r="I203" i="5" s="1"/>
  <c r="AD206" i="5"/>
  <c r="H206" i="5" s="1"/>
  <c r="I206" i="5" s="1"/>
  <c r="AD216" i="5"/>
  <c r="H216" i="5" s="1"/>
  <c r="I216" i="5" s="1"/>
  <c r="AZ443" i="6"/>
  <c r="AD223" i="5"/>
  <c r="H223" i="5" s="1"/>
  <c r="I223" i="5" s="1"/>
  <c r="AD225" i="5"/>
  <c r="H225" i="5" s="1"/>
  <c r="I225" i="5" s="1"/>
  <c r="AD219" i="5"/>
  <c r="H219" i="5" s="1"/>
  <c r="I219" i="5" s="1"/>
  <c r="AD220" i="5"/>
  <c r="H220" i="5" s="1"/>
  <c r="I220" i="5" s="1"/>
  <c r="AZ753" i="6"/>
  <c r="L154" i="6"/>
  <c r="AZ448" i="6"/>
  <c r="L156" i="6"/>
  <c r="N156" i="6" s="1"/>
  <c r="AG151" i="7"/>
  <c r="AA151" i="7" s="1"/>
  <c r="I44" i="7"/>
  <c r="H48" i="7" s="1"/>
  <c r="Z151" i="7"/>
  <c r="I45" i="7" s="1"/>
  <c r="H49" i="7" s="1"/>
  <c r="AH93" i="6"/>
  <c r="H35" i="6" s="1"/>
  <c r="H37" i="6" s="1"/>
  <c r="L37" i="6" s="1"/>
  <c r="N37" i="6" s="1"/>
  <c r="AZ33" i="6"/>
  <c r="AZ603" i="6"/>
  <c r="AZ143" i="6"/>
  <c r="AZ703" i="6"/>
  <c r="AZ758" i="6"/>
  <c r="L205" i="6"/>
  <c r="AH708" i="6"/>
  <c r="I239" i="6" s="1"/>
  <c r="I241" i="6" s="1"/>
  <c r="L241" i="6" s="1"/>
  <c r="N241" i="6" s="1"/>
  <c r="AH198" i="6"/>
  <c r="I69" i="6" s="1"/>
  <c r="I71" i="6" s="1"/>
  <c r="L71" i="6" s="1"/>
  <c r="N71" i="6" s="1"/>
  <c r="AP102" i="7"/>
  <c r="Z150" i="7"/>
  <c r="I49" i="7" s="1"/>
  <c r="L258" i="6"/>
  <c r="N258" i="6" s="1"/>
  <c r="AE37" i="7"/>
  <c r="F20" i="9"/>
  <c r="AD37" i="7"/>
  <c r="AD38" i="7"/>
  <c r="AE38" i="7"/>
  <c r="AH138" i="6"/>
  <c r="G52" i="6" s="1"/>
  <c r="L52" i="6" s="1"/>
  <c r="AZ38" i="6"/>
  <c r="AG152" i="7"/>
  <c r="AA152" i="7" s="1"/>
  <c r="AZ28" i="6"/>
  <c r="AZ148" i="6"/>
  <c r="AZ248" i="6"/>
  <c r="AH658" i="6"/>
  <c r="I222" i="6" s="1"/>
  <c r="AH508" i="6"/>
  <c r="I171" i="6" s="1"/>
  <c r="AB147" i="7"/>
  <c r="AP108" i="7"/>
  <c r="AP107" i="7"/>
  <c r="U256" i="5"/>
  <c r="V256" i="5"/>
  <c r="U250" i="5"/>
  <c r="V250" i="5"/>
  <c r="U244" i="5"/>
  <c r="V244" i="5"/>
  <c r="U234" i="5"/>
  <c r="V234" i="5"/>
  <c r="U246" i="5"/>
  <c r="V246" i="5"/>
  <c r="U240" i="5"/>
  <c r="V240" i="5"/>
  <c r="F20" i="6"/>
  <c r="F273" i="6"/>
  <c r="AB146" i="7"/>
  <c r="AE113" i="7"/>
  <c r="AD202" i="5"/>
  <c r="H202" i="5" s="1"/>
  <c r="AD205" i="5"/>
  <c r="H205" i="5" s="1"/>
  <c r="I205" i="5" s="1"/>
  <c r="S18" i="9"/>
  <c r="T18" i="9"/>
  <c r="AG149" i="7"/>
  <c r="AA149" i="7" s="1"/>
  <c r="AP96" i="7"/>
  <c r="AD148" i="7"/>
  <c r="Y148" i="7" s="1"/>
  <c r="G48" i="7" s="1"/>
  <c r="AP23" i="7"/>
  <c r="AG150" i="7"/>
  <c r="AA150" i="7" s="1"/>
  <c r="AP101" i="7"/>
  <c r="AO138" i="6"/>
  <c r="AP138" i="6"/>
  <c r="X553" i="6"/>
  <c r="Y553" i="6"/>
  <c r="AQ658" i="6"/>
  <c r="AR658" i="6"/>
  <c r="Y348" i="6"/>
  <c r="Y349" i="6" s="1"/>
  <c r="Z348" i="6"/>
  <c r="Z349" i="6" s="1"/>
  <c r="U236" i="5"/>
  <c r="V236" i="5"/>
  <c r="U248" i="5"/>
  <c r="V248" i="5"/>
  <c r="U258" i="5"/>
  <c r="V258" i="5"/>
  <c r="U235" i="5"/>
  <c r="V235" i="5"/>
  <c r="U242" i="5"/>
  <c r="V242" i="5"/>
  <c r="U252" i="5"/>
  <c r="V252" i="5"/>
  <c r="U249" i="5"/>
  <c r="V249" i="5"/>
  <c r="Z147" i="7"/>
  <c r="E45" i="7" s="1"/>
  <c r="D49" i="7" s="1"/>
  <c r="AF113" i="7"/>
  <c r="AG148" i="7"/>
  <c r="AA148" i="7" s="1"/>
  <c r="AP95" i="7"/>
  <c r="AD212" i="5"/>
  <c r="H212" i="5" s="1"/>
  <c r="I212" i="5" s="1"/>
  <c r="AD6" i="9"/>
  <c r="AE6" i="9"/>
  <c r="U241" i="5"/>
  <c r="V241" i="5"/>
  <c r="U247" i="5"/>
  <c r="V247" i="5"/>
  <c r="U245" i="5"/>
  <c r="V245" i="5"/>
  <c r="U238" i="5"/>
  <c r="V238" i="5"/>
  <c r="U253" i="5"/>
  <c r="V253" i="5"/>
  <c r="U257" i="5"/>
  <c r="V257" i="5"/>
  <c r="AE114" i="7"/>
  <c r="AG155" i="7" s="1"/>
  <c r="D47" i="7"/>
  <c r="D51" i="7" s="1"/>
  <c r="Z146" i="7"/>
  <c r="E49" i="7" s="1"/>
  <c r="X139" i="6"/>
  <c r="X781" i="6" s="1"/>
  <c r="X780" i="6"/>
  <c r="AD214" i="5"/>
  <c r="H214" i="5" s="1"/>
  <c r="I214" i="5" s="1"/>
  <c r="AD211" i="5"/>
  <c r="H211" i="5" s="1"/>
  <c r="I211" i="5" s="1"/>
  <c r="AQ198" i="6"/>
  <c r="AR198" i="6"/>
  <c r="AR708" i="6"/>
  <c r="AQ708" i="6"/>
  <c r="AQ508" i="6"/>
  <c r="AR508" i="6"/>
  <c r="Z398" i="6"/>
  <c r="Z399" i="6" s="1"/>
  <c r="Y398" i="6"/>
  <c r="Y399" i="6" s="1"/>
  <c r="U254" i="5"/>
  <c r="V254" i="5"/>
  <c r="U239" i="5"/>
  <c r="V239" i="5"/>
  <c r="U237" i="5"/>
  <c r="V237" i="5"/>
  <c r="U243" i="5"/>
  <c r="V243" i="5"/>
  <c r="U255" i="5"/>
  <c r="V255" i="5"/>
  <c r="U251" i="5"/>
  <c r="V251" i="5"/>
  <c r="AD209" i="5"/>
  <c r="H209" i="5" s="1"/>
  <c r="I209" i="5" s="1"/>
  <c r="AD207" i="5"/>
  <c r="H207" i="5" s="1"/>
  <c r="I207" i="5" s="1"/>
  <c r="W139" i="6"/>
  <c r="W781" i="6" s="1"/>
  <c r="W780" i="6"/>
  <c r="AD149" i="7"/>
  <c r="Y149" i="7" s="1"/>
  <c r="G44" i="7" s="1"/>
  <c r="F48" i="7" s="1"/>
  <c r="AP24" i="7"/>
  <c r="AD221" i="5"/>
  <c r="H221" i="5" s="1"/>
  <c r="I221" i="5" s="1"/>
  <c r="E21" i="9"/>
  <c r="AE26" i="9" s="1"/>
  <c r="R20" i="9"/>
  <c r="F17" i="9" s="1"/>
  <c r="F19" i="9" s="1"/>
  <c r="AU93" i="6"/>
  <c r="AV93" i="6"/>
  <c r="AD94" i="6"/>
  <c r="AD783" i="6" s="1"/>
  <c r="AD782" i="6"/>
  <c r="S21" i="9"/>
  <c r="T21" i="9"/>
  <c r="AC94" i="6"/>
  <c r="AC783" i="6" s="1"/>
  <c r="AC782" i="6"/>
  <c r="R17" i="9"/>
  <c r="C17" i="9" s="1"/>
  <c r="G259" i="5"/>
  <c r="P14" i="7" s="1"/>
  <c r="AH47" i="6"/>
  <c r="P501" i="6"/>
  <c r="P476" i="6"/>
  <c r="AC6" i="9"/>
  <c r="AK7" i="9"/>
  <c r="AM7" i="9"/>
  <c r="AF7" i="9"/>
  <c r="AL7" i="9"/>
  <c r="AP7" i="9"/>
  <c r="AE7" i="9"/>
  <c r="AO7" i="9"/>
  <c r="AJ7" i="9"/>
  <c r="AG7" i="9"/>
  <c r="AI7" i="9"/>
  <c r="AH7" i="9"/>
  <c r="AC7" i="9"/>
  <c r="AD7" i="9"/>
  <c r="AN7" i="9"/>
  <c r="AQ7" i="9"/>
  <c r="AR7" i="9"/>
  <c r="AS7" i="9"/>
  <c r="AH154" i="7"/>
  <c r="AS49" i="9"/>
  <c r="AG43" i="6"/>
  <c r="AG44" i="6" s="1"/>
  <c r="AY42" i="6"/>
  <c r="AY43" i="6" s="1"/>
  <c r="AO55" i="7"/>
  <c r="AH42" i="6"/>
  <c r="AC303" i="5"/>
  <c r="AD303" i="5" s="1"/>
  <c r="H303" i="5" s="1"/>
  <c r="AC299" i="5"/>
  <c r="AD299" i="5" s="1"/>
  <c r="H299" i="5" s="1"/>
  <c r="AC321" i="5"/>
  <c r="AD321" i="5" s="1"/>
  <c r="H321" i="5" s="1"/>
  <c r="AC311" i="5"/>
  <c r="AD311" i="5" s="1"/>
  <c r="H311" i="5" s="1"/>
  <c r="AC320" i="5"/>
  <c r="AD320" i="5" s="1"/>
  <c r="H320" i="5" s="1"/>
  <c r="AC301" i="5"/>
  <c r="AD301" i="5" s="1"/>
  <c r="H301" i="5" s="1"/>
  <c r="AC307" i="5"/>
  <c r="AD307" i="5" s="1"/>
  <c r="H307" i="5" s="1"/>
  <c r="AC322" i="5"/>
  <c r="AD322" i="5" s="1"/>
  <c r="H322" i="5" s="1"/>
  <c r="AC314" i="5"/>
  <c r="AD314" i="5" s="1"/>
  <c r="H314" i="5" s="1"/>
  <c r="AC318" i="5"/>
  <c r="AD318" i="5" s="1"/>
  <c r="H318" i="5" s="1"/>
  <c r="AC305" i="5"/>
  <c r="AD305" i="5" s="1"/>
  <c r="H305" i="5" s="1"/>
  <c r="AC300" i="5"/>
  <c r="AD300" i="5" s="1"/>
  <c r="H300" i="5" s="1"/>
  <c r="AC304" i="5"/>
  <c r="AD304" i="5" s="1"/>
  <c r="H304" i="5" s="1"/>
  <c r="AC312" i="5"/>
  <c r="AD312" i="5" s="1"/>
  <c r="H312" i="5" s="1"/>
  <c r="AC310" i="5"/>
  <c r="AD310" i="5" s="1"/>
  <c r="H310" i="5" s="1"/>
  <c r="AC306" i="5"/>
  <c r="AD306" i="5" s="1"/>
  <c r="H306" i="5" s="1"/>
  <c r="AC298" i="5"/>
  <c r="AD298" i="5" s="1"/>
  <c r="H298" i="5" s="1"/>
  <c r="AC317" i="5"/>
  <c r="AD317" i="5" s="1"/>
  <c r="H317" i="5" s="1"/>
  <c r="AC313" i="5"/>
  <c r="AD313" i="5" s="1"/>
  <c r="H313" i="5" s="1"/>
  <c r="AC309" i="5"/>
  <c r="AD309" i="5" s="1"/>
  <c r="H309" i="5" s="1"/>
  <c r="AC308" i="5"/>
  <c r="AD308" i="5" s="1"/>
  <c r="H308" i="5" s="1"/>
  <c r="AC302" i="5"/>
  <c r="AD302" i="5" s="1"/>
  <c r="H302" i="5" s="1"/>
  <c r="AC316" i="5"/>
  <c r="AD316" i="5" s="1"/>
  <c r="H316" i="5" s="1"/>
  <c r="AC319" i="5"/>
  <c r="AD319" i="5" s="1"/>
  <c r="H319" i="5" s="1"/>
  <c r="AC315" i="5"/>
  <c r="AD315" i="5" s="1"/>
  <c r="H315" i="5" s="1"/>
  <c r="AY47" i="6"/>
  <c r="AY48" i="6" s="1"/>
  <c r="AS55" i="9"/>
  <c r="AS57" i="9" s="1"/>
  <c r="AG48" i="6"/>
  <c r="AG49" i="6" s="1"/>
  <c r="AO62" i="7"/>
  <c r="AH155" i="7"/>
  <c r="AE49" i="6"/>
  <c r="AE787" i="6" s="1"/>
  <c r="AM58" i="7"/>
  <c r="AM123" i="7"/>
  <c r="AM57" i="7"/>
  <c r="AD296" i="5"/>
  <c r="AM129" i="7"/>
  <c r="AM64" i="7"/>
  <c r="AM65" i="7"/>
  <c r="AL125" i="7"/>
  <c r="AL126" i="7"/>
  <c r="AF43" i="6"/>
  <c r="AF44" i="6" s="1"/>
  <c r="AR49" i="9"/>
  <c r="AN55" i="7"/>
  <c r="AX42" i="6"/>
  <c r="AL131" i="7"/>
  <c r="AL132" i="7"/>
  <c r="AK125" i="7"/>
  <c r="AK126" i="7"/>
  <c r="AX47" i="6"/>
  <c r="AN62" i="7"/>
  <c r="AF48" i="6"/>
  <c r="AF49" i="6" s="1"/>
  <c r="AF787" i="6" s="1"/>
  <c r="AR55" i="9"/>
  <c r="AK131" i="7"/>
  <c r="AK132" i="7"/>
  <c r="AC286" i="5"/>
  <c r="AD286" i="5" s="1"/>
  <c r="H286" i="5" s="1"/>
  <c r="AC289" i="5"/>
  <c r="AD289" i="5" s="1"/>
  <c r="H289" i="5" s="1"/>
  <c r="AC267" i="5"/>
  <c r="AC284" i="5"/>
  <c r="AD284" i="5" s="1"/>
  <c r="H284" i="5" s="1"/>
  <c r="AC276" i="5"/>
  <c r="AD276" i="5" s="1"/>
  <c r="H276" i="5" s="1"/>
  <c r="AC270" i="5"/>
  <c r="AD270" i="5" s="1"/>
  <c r="H270" i="5" s="1"/>
  <c r="AC280" i="5"/>
  <c r="AD280" i="5" s="1"/>
  <c r="H280" i="5" s="1"/>
  <c r="AC277" i="5"/>
  <c r="AD277" i="5" s="1"/>
  <c r="H277" i="5" s="1"/>
  <c r="AC290" i="5"/>
  <c r="AD290" i="5" s="1"/>
  <c r="H290" i="5" s="1"/>
  <c r="AC273" i="5"/>
  <c r="AD273" i="5" s="1"/>
  <c r="H273" i="5" s="1"/>
  <c r="AC278" i="5"/>
  <c r="AD278" i="5" s="1"/>
  <c r="H278" i="5" s="1"/>
  <c r="AC266" i="5"/>
  <c r="AD266" i="5" s="1"/>
  <c r="H266" i="5" s="1"/>
  <c r="AC271" i="5"/>
  <c r="AD271" i="5" s="1"/>
  <c r="H271" i="5" s="1"/>
  <c r="AC281" i="5"/>
  <c r="AD281" i="5" s="1"/>
  <c r="H281" i="5" s="1"/>
  <c r="AC283" i="5"/>
  <c r="AD283" i="5" s="1"/>
  <c r="H283" i="5" s="1"/>
  <c r="AC274" i="5"/>
  <c r="AD274" i="5" s="1"/>
  <c r="H274" i="5" s="1"/>
  <c r="AC282" i="5"/>
  <c r="AD282" i="5" s="1"/>
  <c r="H282" i="5" s="1"/>
  <c r="AC287" i="5"/>
  <c r="AD287" i="5" s="1"/>
  <c r="H287" i="5" s="1"/>
  <c r="AC269" i="5"/>
  <c r="AD269" i="5" s="1"/>
  <c r="H269" i="5" s="1"/>
  <c r="AC288" i="5"/>
  <c r="AD288" i="5" s="1"/>
  <c r="H288" i="5" s="1"/>
  <c r="AC275" i="5"/>
  <c r="AD275" i="5" s="1"/>
  <c r="H275" i="5" s="1"/>
  <c r="AC279" i="5"/>
  <c r="AD279" i="5" s="1"/>
  <c r="H279" i="5" s="1"/>
  <c r="AC285" i="5"/>
  <c r="AD285" i="5" s="1"/>
  <c r="H285" i="5" s="1"/>
  <c r="AC268" i="5"/>
  <c r="AD268" i="5" s="1"/>
  <c r="H268" i="5" s="1"/>
  <c r="AC272" i="5"/>
  <c r="AD272" i="5" s="1"/>
  <c r="H272" i="5" s="1"/>
  <c r="AD264" i="5"/>
  <c r="AD267" i="5"/>
  <c r="H267" i="5" s="1"/>
  <c r="AG558" i="6"/>
  <c r="AY557" i="6"/>
  <c r="AH557" i="6"/>
  <c r="AY767" i="6"/>
  <c r="AG768" i="6"/>
  <c r="AH767" i="6"/>
  <c r="AY667" i="6"/>
  <c r="AG668" i="6"/>
  <c r="AH667" i="6"/>
  <c r="AY308" i="6"/>
  <c r="AZ308" i="6" s="1"/>
  <c r="AZ307" i="6"/>
  <c r="AY153" i="6"/>
  <c r="AZ153" i="6" s="1"/>
  <c r="AZ152" i="6"/>
  <c r="AG309" i="6"/>
  <c r="AH308" i="6"/>
  <c r="AX567" i="6"/>
  <c r="AX568" i="6" s="1"/>
  <c r="AF568" i="6"/>
  <c r="AF569" i="6" s="1"/>
  <c r="AY617" i="6"/>
  <c r="AG618" i="6"/>
  <c r="AH617" i="6"/>
  <c r="AG554" i="6"/>
  <c r="AG783" i="6" s="1"/>
  <c r="AG782" i="6"/>
  <c r="AG567" i="6"/>
  <c r="AY408" i="6"/>
  <c r="AZ408" i="6" s="1"/>
  <c r="AZ407" i="6"/>
  <c r="AG154" i="6"/>
  <c r="AH153" i="6"/>
  <c r="AE559" i="6"/>
  <c r="AE785" i="6" s="1"/>
  <c r="AE784" i="6"/>
  <c r="AE788" i="6"/>
  <c r="AE769" i="6"/>
  <c r="AE789" i="6" s="1"/>
  <c r="AG349" i="6"/>
  <c r="AL137" i="7"/>
  <c r="AL138" i="7"/>
  <c r="AG409" i="6"/>
  <c r="AH408" i="6"/>
  <c r="AG399" i="6"/>
  <c r="AG359" i="6"/>
  <c r="AH358" i="6"/>
  <c r="AY108" i="6"/>
  <c r="AZ108" i="6" s="1"/>
  <c r="AZ107" i="6"/>
  <c r="AG714" i="6"/>
  <c r="AH713" i="6"/>
  <c r="AF718" i="6"/>
  <c r="AF719" i="6" s="1"/>
  <c r="AX717" i="6"/>
  <c r="AX718" i="6" s="1"/>
  <c r="AF558" i="6"/>
  <c r="AX557" i="6"/>
  <c r="AX558" i="6" s="1"/>
  <c r="AY713" i="6"/>
  <c r="AZ713" i="6" s="1"/>
  <c r="AZ712" i="6"/>
  <c r="AY513" i="6"/>
  <c r="AZ513" i="6" s="1"/>
  <c r="AZ512" i="6"/>
  <c r="AG458" i="6"/>
  <c r="AY457" i="6"/>
  <c r="AH457" i="6"/>
  <c r="AY348" i="6"/>
  <c r="AZ347" i="6"/>
  <c r="AD788" i="6"/>
  <c r="AY398" i="6"/>
  <c r="AZ397" i="6"/>
  <c r="AG209" i="6"/>
  <c r="AH208" i="6"/>
  <c r="AG717" i="6"/>
  <c r="AY358" i="6"/>
  <c r="AZ358" i="6" s="1"/>
  <c r="AZ357" i="6"/>
  <c r="AG109" i="6"/>
  <c r="AH108" i="6"/>
  <c r="AY257" i="6"/>
  <c r="AG258" i="6"/>
  <c r="AH257" i="6"/>
  <c r="AX767" i="6"/>
  <c r="AX768" i="6" s="1"/>
  <c r="AF768" i="6"/>
  <c r="AY553" i="6"/>
  <c r="AZ552" i="6"/>
  <c r="AG514" i="6"/>
  <c r="AH513" i="6"/>
  <c r="AX157" i="6"/>
  <c r="AX158" i="6" s="1"/>
  <c r="AF158" i="6"/>
  <c r="AF159" i="6" s="1"/>
  <c r="AG157" i="6"/>
  <c r="AF53" i="6"/>
  <c r="AF54" i="6" s="1"/>
  <c r="AM135" i="7"/>
  <c r="AM72" i="7"/>
  <c r="AM71" i="7"/>
  <c r="AD789" i="6"/>
  <c r="AY208" i="6"/>
  <c r="AZ208" i="6" s="1"/>
  <c r="AZ207" i="6"/>
  <c r="AR61" i="9" l="1"/>
  <c r="AH52" i="6"/>
  <c r="AG53" i="6"/>
  <c r="AS61" i="9"/>
  <c r="AS63" i="9" s="1"/>
  <c r="AX52" i="6"/>
  <c r="AX53" i="6" s="1"/>
  <c r="AY52" i="6"/>
  <c r="AN69" i="7"/>
  <c r="AN71" i="7" s="1"/>
  <c r="AD252" i="5"/>
  <c r="H252" i="5" s="1"/>
  <c r="I252" i="5" s="1"/>
  <c r="AD235" i="5"/>
  <c r="H235" i="5" s="1"/>
  <c r="I235" i="5" s="1"/>
  <c r="AD248" i="5"/>
  <c r="H248" i="5" s="1"/>
  <c r="I248" i="5" s="1"/>
  <c r="AD246" i="5"/>
  <c r="H246" i="5" s="1"/>
  <c r="I246" i="5" s="1"/>
  <c r="AD244" i="5"/>
  <c r="H244" i="5" s="1"/>
  <c r="I244" i="5" s="1"/>
  <c r="AD256" i="5"/>
  <c r="H256" i="5" s="1"/>
  <c r="I256" i="5" s="1"/>
  <c r="AP113" i="7"/>
  <c r="AD249" i="5"/>
  <c r="H249" i="5" s="1"/>
  <c r="I249" i="5" s="1"/>
  <c r="AH780" i="6"/>
  <c r="AD242" i="5"/>
  <c r="H242" i="5" s="1"/>
  <c r="I242" i="5" s="1"/>
  <c r="AD258" i="5"/>
  <c r="H258" i="5" s="1"/>
  <c r="I258" i="5" s="1"/>
  <c r="AD236" i="5"/>
  <c r="H236" i="5" s="1"/>
  <c r="I236" i="5" s="1"/>
  <c r="AD240" i="5"/>
  <c r="H240" i="5" s="1"/>
  <c r="I240" i="5" s="1"/>
  <c r="AD234" i="5"/>
  <c r="H234" i="5" s="1"/>
  <c r="I234" i="5" s="1"/>
  <c r="AD250" i="5"/>
  <c r="H250" i="5" s="1"/>
  <c r="I250" i="5" s="1"/>
  <c r="AD257" i="5"/>
  <c r="H257" i="5" s="1"/>
  <c r="I257" i="5" s="1"/>
  <c r="AD238" i="5"/>
  <c r="H238" i="5" s="1"/>
  <c r="I238" i="5" s="1"/>
  <c r="AD247" i="5"/>
  <c r="H247" i="5" s="1"/>
  <c r="I247" i="5" s="1"/>
  <c r="AB151" i="7"/>
  <c r="AD253" i="5"/>
  <c r="H253" i="5" s="1"/>
  <c r="I253" i="5" s="1"/>
  <c r="AD245" i="5"/>
  <c r="H245" i="5" s="1"/>
  <c r="I245" i="5" s="1"/>
  <c r="AD241" i="5"/>
  <c r="H241" i="5" s="1"/>
  <c r="I241" i="5" s="1"/>
  <c r="AZ658" i="6"/>
  <c r="AZ138" i="6"/>
  <c r="L35" i="6"/>
  <c r="L69" i="6"/>
  <c r="AH781" i="6"/>
  <c r="L43" i="7" s="1"/>
  <c r="AE44" i="7" s="1"/>
  <c r="AH553" i="6"/>
  <c r="H188" i="6" s="1"/>
  <c r="L239" i="6"/>
  <c r="G273" i="6"/>
  <c r="AZ93" i="6"/>
  <c r="AZ708" i="6"/>
  <c r="AB153" i="7"/>
  <c r="G54" i="6"/>
  <c r="G275" i="6" s="1"/>
  <c r="F21" i="9"/>
  <c r="AH31" i="9" s="1"/>
  <c r="AH398" i="6"/>
  <c r="I137" i="6" s="1"/>
  <c r="I139" i="6" s="1"/>
  <c r="L139" i="6" s="1"/>
  <c r="N139" i="6" s="1"/>
  <c r="AZ508" i="6"/>
  <c r="AZ198" i="6"/>
  <c r="AG154" i="7"/>
  <c r="AA154" i="7" s="1"/>
  <c r="AB154" i="7" s="1"/>
  <c r="AD152" i="7"/>
  <c r="Y152" i="7" s="1"/>
  <c r="K48" i="7" s="1"/>
  <c r="AP37" i="7"/>
  <c r="I173" i="6"/>
  <c r="L173" i="6" s="1"/>
  <c r="N173" i="6" s="1"/>
  <c r="L171" i="6"/>
  <c r="I224" i="6"/>
  <c r="L224" i="6" s="1"/>
  <c r="N224" i="6" s="1"/>
  <c r="L222" i="6"/>
  <c r="F275" i="6"/>
  <c r="AD153" i="7"/>
  <c r="Y153" i="7" s="1"/>
  <c r="K44" i="7" s="1"/>
  <c r="J48" i="7" s="1"/>
  <c r="AP38" i="7"/>
  <c r="AH348" i="6"/>
  <c r="I120" i="6" s="1"/>
  <c r="AO26" i="9"/>
  <c r="AB152" i="7"/>
  <c r="AA155" i="7"/>
  <c r="AR26" i="9"/>
  <c r="AP26" i="9"/>
  <c r="AB150" i="7"/>
  <c r="AP114" i="7"/>
  <c r="AI31" i="9"/>
  <c r="AP553" i="6"/>
  <c r="AQ553" i="6"/>
  <c r="Y558" i="6"/>
  <c r="Z558" i="6"/>
  <c r="Y43" i="6"/>
  <c r="Y44" i="6" s="1"/>
  <c r="Z43" i="6"/>
  <c r="Z44" i="6" s="1"/>
  <c r="C19" i="9"/>
  <c r="C21" i="9" s="1"/>
  <c r="AC26" i="9"/>
  <c r="AG25" i="9"/>
  <c r="AH25" i="9"/>
  <c r="Z149" i="7"/>
  <c r="G45" i="7" s="1"/>
  <c r="F49" i="7" s="1"/>
  <c r="AD251" i="5"/>
  <c r="H251" i="5" s="1"/>
  <c r="I251" i="5" s="1"/>
  <c r="AD243" i="5"/>
  <c r="H243" i="5" s="1"/>
  <c r="I243" i="5" s="1"/>
  <c r="AD239" i="5"/>
  <c r="H239" i="5" s="1"/>
  <c r="I239" i="5" s="1"/>
  <c r="R18" i="9"/>
  <c r="D17" i="9" s="1"/>
  <c r="D19" i="9" s="1"/>
  <c r="Y554" i="6"/>
  <c r="Y783" i="6" s="1"/>
  <c r="Y782" i="6"/>
  <c r="AQ348" i="6"/>
  <c r="AR348" i="6"/>
  <c r="AQ398" i="6"/>
  <c r="AR398" i="6"/>
  <c r="AD255" i="5"/>
  <c r="H255" i="5" s="1"/>
  <c r="I255" i="5" s="1"/>
  <c r="AD237" i="5"/>
  <c r="H237" i="5" s="1"/>
  <c r="AD254" i="5"/>
  <c r="H254" i="5" s="1"/>
  <c r="I254" i="5" s="1"/>
  <c r="AB148" i="7"/>
  <c r="X554" i="6"/>
  <c r="X783" i="6" s="1"/>
  <c r="X782" i="6"/>
  <c r="AB149" i="7"/>
  <c r="F47" i="7"/>
  <c r="F51" i="7" s="1"/>
  <c r="Z148" i="7"/>
  <c r="G49" i="7" s="1"/>
  <c r="H227" i="5"/>
  <c r="N15" i="7" s="1"/>
  <c r="N16" i="7" s="1"/>
  <c r="N37" i="7" s="1"/>
  <c r="N41" i="7" s="1"/>
  <c r="I202" i="5"/>
  <c r="I227" i="5" s="1"/>
  <c r="AM26" i="9"/>
  <c r="AS26" i="9"/>
  <c r="AK26" i="9"/>
  <c r="AF26" i="9"/>
  <c r="AI26" i="9"/>
  <c r="AL26" i="9"/>
  <c r="AQ26" i="9"/>
  <c r="AN26" i="9"/>
  <c r="AG26" i="9"/>
  <c r="AJ26" i="9"/>
  <c r="AD26" i="9"/>
  <c r="AH26" i="9"/>
  <c r="R21" i="9"/>
  <c r="G17" i="9" s="1"/>
  <c r="G19" i="9" s="1"/>
  <c r="AO32" i="9"/>
  <c r="H190" i="6"/>
  <c r="H275" i="6" s="1"/>
  <c r="H273" i="6"/>
  <c r="AP62" i="7"/>
  <c r="AF786" i="6"/>
  <c r="AG786" i="6"/>
  <c r="AM67" i="9"/>
  <c r="AF67" i="9" s="1"/>
  <c r="B34" i="9" s="1"/>
  <c r="AQ67" i="9"/>
  <c r="AG67" i="9" s="1"/>
  <c r="B35" i="9" s="1"/>
  <c r="AI67" i="9"/>
  <c r="AC67" i="9" s="1"/>
  <c r="AC66" i="9"/>
  <c r="AT6" i="9"/>
  <c r="AD66" i="9"/>
  <c r="P477" i="6"/>
  <c r="P502" i="6"/>
  <c r="H291" i="5"/>
  <c r="R15" i="7" s="1"/>
  <c r="AX48" i="6"/>
  <c r="AZ48" i="6" s="1"/>
  <c r="AZ47" i="6"/>
  <c r="AN57" i="7"/>
  <c r="AN123" i="7"/>
  <c r="AN58" i="7"/>
  <c r="AP55" i="7"/>
  <c r="AH48" i="6"/>
  <c r="AM131" i="7"/>
  <c r="AM132" i="7"/>
  <c r="AS51" i="9"/>
  <c r="E288" i="5"/>
  <c r="E287" i="5"/>
  <c r="E267" i="5"/>
  <c r="E274" i="5"/>
  <c r="E284" i="5"/>
  <c r="E290" i="5"/>
  <c r="E280" i="5"/>
  <c r="G266" i="5"/>
  <c r="G283" i="5"/>
  <c r="I283" i="5" s="1"/>
  <c r="G271" i="5"/>
  <c r="I271" i="5" s="1"/>
  <c r="G274" i="5"/>
  <c r="I274" i="5" s="1"/>
  <c r="G280" i="5"/>
  <c r="I280" i="5" s="1"/>
  <c r="G281" i="5"/>
  <c r="I281" i="5" s="1"/>
  <c r="E269" i="5"/>
  <c r="E285" i="5"/>
  <c r="G282" i="5"/>
  <c r="I282" i="5" s="1"/>
  <c r="G270" i="5"/>
  <c r="I270" i="5" s="1"/>
  <c r="G267" i="5"/>
  <c r="I267" i="5" s="1"/>
  <c r="G287" i="5"/>
  <c r="I287" i="5" s="1"/>
  <c r="G279" i="5"/>
  <c r="I279" i="5" s="1"/>
  <c r="E277" i="5"/>
  <c r="E276" i="5"/>
  <c r="E286" i="5"/>
  <c r="E282" i="5"/>
  <c r="E271" i="5"/>
  <c r="E266" i="5"/>
  <c r="G277" i="5"/>
  <c r="I277" i="5" s="1"/>
  <c r="G285" i="5"/>
  <c r="I285" i="5" s="1"/>
  <c r="G278" i="5"/>
  <c r="I278" i="5" s="1"/>
  <c r="G268" i="5"/>
  <c r="I268" i="5" s="1"/>
  <c r="G289" i="5"/>
  <c r="I289" i="5" s="1"/>
  <c r="G269" i="5"/>
  <c r="I269" i="5" s="1"/>
  <c r="E279" i="5"/>
  <c r="E270" i="5"/>
  <c r="E289" i="5"/>
  <c r="E275" i="5"/>
  <c r="G290" i="5"/>
  <c r="I290" i="5" s="1"/>
  <c r="G284" i="5"/>
  <c r="I284" i="5" s="1"/>
  <c r="E278" i="5"/>
  <c r="E273" i="5"/>
  <c r="E268" i="5"/>
  <c r="E283" i="5"/>
  <c r="E272" i="5"/>
  <c r="E281" i="5"/>
  <c r="G273" i="5"/>
  <c r="I273" i="5" s="1"/>
  <c r="G286" i="5"/>
  <c r="I286" i="5" s="1"/>
  <c r="G272" i="5"/>
  <c r="I272" i="5" s="1"/>
  <c r="G276" i="5"/>
  <c r="I276" i="5" s="1"/>
  <c r="G275" i="5"/>
  <c r="I275" i="5" s="1"/>
  <c r="G288" i="5"/>
  <c r="I288" i="5" s="1"/>
  <c r="AR57" i="9"/>
  <c r="AT55" i="9"/>
  <c r="AR64" i="9" s="1"/>
  <c r="AR51" i="9"/>
  <c r="AT49" i="9"/>
  <c r="E321" i="5"/>
  <c r="E316" i="5"/>
  <c r="E309" i="5"/>
  <c r="E319" i="5"/>
  <c r="E311" i="5"/>
  <c r="E300" i="5"/>
  <c r="G309" i="5"/>
  <c r="I309" i="5" s="1"/>
  <c r="G298" i="5"/>
  <c r="G313" i="5"/>
  <c r="I313" i="5" s="1"/>
  <c r="G317" i="5"/>
  <c r="I317" i="5" s="1"/>
  <c r="G310" i="5"/>
  <c r="I310" i="5" s="1"/>
  <c r="G300" i="5"/>
  <c r="I300" i="5" s="1"/>
  <c r="E308" i="5"/>
  <c r="E317" i="5"/>
  <c r="E298" i="5"/>
  <c r="E313" i="5"/>
  <c r="E303" i="5"/>
  <c r="E318" i="5"/>
  <c r="G307" i="5"/>
  <c r="I307" i="5" s="1"/>
  <c r="G315" i="5"/>
  <c r="I315" i="5" s="1"/>
  <c r="G299" i="5"/>
  <c r="I299" i="5" s="1"/>
  <c r="G316" i="5"/>
  <c r="I316" i="5" s="1"/>
  <c r="G319" i="5"/>
  <c r="I319" i="5" s="1"/>
  <c r="G314" i="5"/>
  <c r="I314" i="5" s="1"/>
  <c r="E310" i="5"/>
  <c r="E299" i="5"/>
  <c r="E314" i="5"/>
  <c r="G312" i="5"/>
  <c r="I312" i="5" s="1"/>
  <c r="G302" i="5"/>
  <c r="I302" i="5" s="1"/>
  <c r="G304" i="5"/>
  <c r="I304" i="5" s="1"/>
  <c r="G321" i="5"/>
  <c r="I321" i="5" s="1"/>
  <c r="E301" i="5"/>
  <c r="E307" i="5"/>
  <c r="E304" i="5"/>
  <c r="E322" i="5"/>
  <c r="E320" i="5"/>
  <c r="E305" i="5"/>
  <c r="E312" i="5"/>
  <c r="G303" i="5"/>
  <c r="I303" i="5" s="1"/>
  <c r="G305" i="5"/>
  <c r="I305" i="5" s="1"/>
  <c r="G322" i="5"/>
  <c r="I322" i="5" s="1"/>
  <c r="G311" i="5"/>
  <c r="I311" i="5" s="1"/>
  <c r="G318" i="5"/>
  <c r="I318" i="5" s="1"/>
  <c r="G306" i="5"/>
  <c r="I306" i="5" s="1"/>
  <c r="E315" i="5"/>
  <c r="E302" i="5"/>
  <c r="E306" i="5"/>
  <c r="G308" i="5"/>
  <c r="I308" i="5" s="1"/>
  <c r="G320" i="5"/>
  <c r="I320" i="5" s="1"/>
  <c r="G301" i="5"/>
  <c r="I301" i="5" s="1"/>
  <c r="AM125" i="7"/>
  <c r="AM126" i="7"/>
  <c r="AO123" i="7"/>
  <c r="AO58" i="7"/>
  <c r="AO57" i="7"/>
  <c r="AN64" i="7"/>
  <c r="AN65" i="7"/>
  <c r="AN129" i="7"/>
  <c r="AX43" i="6"/>
  <c r="AZ42" i="6"/>
  <c r="AO65" i="7"/>
  <c r="AO129" i="7"/>
  <c r="AO64" i="7"/>
  <c r="H323" i="5"/>
  <c r="T15" i="7" s="1"/>
  <c r="AG787" i="6"/>
  <c r="AH787" i="6" s="1"/>
  <c r="AR63" i="9"/>
  <c r="AF769" i="6"/>
  <c r="AF789" i="6" s="1"/>
  <c r="AF788" i="6"/>
  <c r="AY258" i="6"/>
  <c r="AZ258" i="6" s="1"/>
  <c r="AZ257" i="6"/>
  <c r="AN72" i="7"/>
  <c r="AG259" i="6"/>
  <c r="AH258" i="6"/>
  <c r="AG718" i="6"/>
  <c r="AY717" i="6"/>
  <c r="AH717" i="6"/>
  <c r="AG568" i="6"/>
  <c r="AY567" i="6"/>
  <c r="AH567" i="6"/>
  <c r="AG619" i="6"/>
  <c r="AH618" i="6"/>
  <c r="AY668" i="6"/>
  <c r="AZ668" i="6" s="1"/>
  <c r="AZ667" i="6"/>
  <c r="AO135" i="7"/>
  <c r="AO71" i="7"/>
  <c r="AO72" i="7"/>
  <c r="AP69" i="7"/>
  <c r="AY618" i="6"/>
  <c r="AZ618" i="6" s="1"/>
  <c r="AZ617" i="6"/>
  <c r="AG769" i="6"/>
  <c r="AH768" i="6"/>
  <c r="AY157" i="6"/>
  <c r="AG158" i="6"/>
  <c r="AH157" i="6"/>
  <c r="AY458" i="6"/>
  <c r="AZ458" i="6" s="1"/>
  <c r="AZ457" i="6"/>
  <c r="AY53" i="6"/>
  <c r="AZ53" i="6" s="1"/>
  <c r="AZ52" i="6"/>
  <c r="AY768" i="6"/>
  <c r="AZ768" i="6" s="1"/>
  <c r="AZ767" i="6"/>
  <c r="AY558" i="6"/>
  <c r="AZ557" i="6"/>
  <c r="AM138" i="7"/>
  <c r="AM137" i="7"/>
  <c r="AG459" i="6"/>
  <c r="AH458" i="6"/>
  <c r="AF559" i="6"/>
  <c r="AF785" i="6" s="1"/>
  <c r="AF784" i="6"/>
  <c r="AG669" i="6"/>
  <c r="AH668" i="6"/>
  <c r="AG54" i="6"/>
  <c r="AH53" i="6"/>
  <c r="AG559" i="6"/>
  <c r="AG785" i="6" s="1"/>
  <c r="AG784" i="6"/>
  <c r="AT61" i="9" l="1"/>
  <c r="AH783" i="6"/>
  <c r="N43" i="7" s="1"/>
  <c r="AN135" i="7"/>
  <c r="AN138" i="7" s="1"/>
  <c r="AB155" i="7"/>
  <c r="AC32" i="9"/>
  <c r="AH32" i="9"/>
  <c r="AQ32" i="9"/>
  <c r="AL32" i="9"/>
  <c r="AE32" i="9"/>
  <c r="AF32" i="9"/>
  <c r="AI32" i="9"/>
  <c r="AK32" i="9"/>
  <c r="AP32" i="9"/>
  <c r="AN32" i="9"/>
  <c r="AS32" i="9"/>
  <c r="AG32" i="9"/>
  <c r="AM32" i="9"/>
  <c r="AR32" i="9"/>
  <c r="AD32" i="9"/>
  <c r="AJ32" i="9"/>
  <c r="AE43" i="7"/>
  <c r="G20" i="9"/>
  <c r="AH558" i="6"/>
  <c r="I188" i="6" s="1"/>
  <c r="L188" i="6" s="1"/>
  <c r="AF44" i="7"/>
  <c r="AD155" i="7" s="1"/>
  <c r="Y155" i="7" s="1"/>
  <c r="M44" i="7" s="1"/>
  <c r="L48" i="7" s="1"/>
  <c r="AF43" i="7"/>
  <c r="AD154" i="7" s="1"/>
  <c r="Y154" i="7" s="1"/>
  <c r="M48" i="7" s="1"/>
  <c r="AH782" i="6"/>
  <c r="L54" i="6"/>
  <c r="N54" i="6" s="1"/>
  <c r="AZ553" i="6"/>
  <c r="L137" i="6"/>
  <c r="AH43" i="6"/>
  <c r="I18" i="6" s="1"/>
  <c r="L18" i="6" s="1"/>
  <c r="AZ348" i="6"/>
  <c r="Z153" i="7"/>
  <c r="K45" i="7" s="1"/>
  <c r="J49" i="7" s="1"/>
  <c r="AZ398" i="6"/>
  <c r="I122" i="6"/>
  <c r="L122" i="6" s="1"/>
  <c r="N122" i="6" s="1"/>
  <c r="L120" i="6"/>
  <c r="J47" i="7"/>
  <c r="J51" i="7" s="1"/>
  <c r="Z152" i="7"/>
  <c r="K49" i="7" s="1"/>
  <c r="I20" i="6"/>
  <c r="L20" i="6" s="1"/>
  <c r="N20" i="6" s="1"/>
  <c r="AQ43" i="6"/>
  <c r="AR43" i="6"/>
  <c r="AF119" i="7"/>
  <c r="AF120" i="7"/>
  <c r="AG120" i="7"/>
  <c r="AH157" i="7" s="1"/>
  <c r="AG119" i="7"/>
  <c r="AH156" i="7" s="1"/>
  <c r="AM70" i="9"/>
  <c r="AF70" i="9" s="1"/>
  <c r="E34" i="9" s="1"/>
  <c r="AQ70" i="9"/>
  <c r="AG70" i="9" s="1"/>
  <c r="E35" i="9" s="1"/>
  <c r="AT25" i="9"/>
  <c r="AI70" i="9"/>
  <c r="AC70" i="9" s="1"/>
  <c r="I237" i="5"/>
  <c r="I259" i="5" s="1"/>
  <c r="H259" i="5"/>
  <c r="P15" i="7" s="1"/>
  <c r="P16" i="7" s="1"/>
  <c r="P37" i="7" s="1"/>
  <c r="P41" i="7" s="1"/>
  <c r="AQ558" i="6"/>
  <c r="AR558" i="6"/>
  <c r="AE13" i="9"/>
  <c r="AF13" i="9"/>
  <c r="D21" i="9"/>
  <c r="Z559" i="6"/>
  <c r="Z785" i="6" s="1"/>
  <c r="Z784" i="6"/>
  <c r="Y559" i="6"/>
  <c r="Y785" i="6" s="1"/>
  <c r="Y784" i="6"/>
  <c r="AQ71" i="9"/>
  <c r="AG71" i="9" s="1"/>
  <c r="F35" i="9" s="1"/>
  <c r="AM71" i="9"/>
  <c r="AF71" i="9" s="1"/>
  <c r="F34" i="9" s="1"/>
  <c r="AT31" i="9"/>
  <c r="AI71" i="9"/>
  <c r="AC71" i="9" s="1"/>
  <c r="I190" i="6"/>
  <c r="I273" i="6"/>
  <c r="L273" i="6" s="1"/>
  <c r="H15" i="9"/>
  <c r="G21" i="9"/>
  <c r="AD14" i="9"/>
  <c r="AC14" i="9"/>
  <c r="AI14" i="9"/>
  <c r="AG14" i="9"/>
  <c r="AP14" i="9"/>
  <c r="AJ14" i="9"/>
  <c r="AQ14" i="9"/>
  <c r="AO14" i="9"/>
  <c r="AR14" i="9"/>
  <c r="AE14" i="9"/>
  <c r="AL14" i="9"/>
  <c r="AN14" i="9"/>
  <c r="AS14" i="9"/>
  <c r="AF14" i="9"/>
  <c r="AK14" i="9"/>
  <c r="AM14" i="9"/>
  <c r="AH14" i="9"/>
  <c r="AP65" i="7"/>
  <c r="AH786" i="6"/>
  <c r="AS64" i="9"/>
  <c r="AE160" i="7"/>
  <c r="Y160" i="7" s="1"/>
  <c r="S48" i="7" s="1"/>
  <c r="AD67" i="9"/>
  <c r="B31" i="9" s="1"/>
  <c r="B22" i="9"/>
  <c r="A30" i="9"/>
  <c r="A26" i="9"/>
  <c r="A34" i="9"/>
  <c r="AP129" i="7"/>
  <c r="P478" i="6"/>
  <c r="P503" i="6"/>
  <c r="B30" i="9"/>
  <c r="A27" i="9"/>
  <c r="A31" i="9"/>
  <c r="A35" i="9"/>
  <c r="AP64" i="7"/>
  <c r="R47" i="7" s="1"/>
  <c r="AE161" i="7"/>
  <c r="Y161" i="7" s="1"/>
  <c r="S44" i="7" s="1"/>
  <c r="R48" i="7" s="1"/>
  <c r="AN126" i="7"/>
  <c r="AN125" i="7"/>
  <c r="AP123" i="7"/>
  <c r="AO131" i="7"/>
  <c r="AO132" i="7"/>
  <c r="AO126" i="7"/>
  <c r="AO125" i="7"/>
  <c r="AK74" i="9"/>
  <c r="AS74" i="9"/>
  <c r="AO74" i="9"/>
  <c r="AS58" i="9"/>
  <c r="AO64" i="9"/>
  <c r="AG58" i="9"/>
  <c r="AE58" i="9"/>
  <c r="AD58" i="9"/>
  <c r="AJ64" i="9"/>
  <c r="AR58" i="9"/>
  <c r="AN64" i="9"/>
  <c r="AO58" i="9"/>
  <c r="AQ58" i="9"/>
  <c r="AF64" i="9"/>
  <c r="AP58" i="9"/>
  <c r="AI64" i="9"/>
  <c r="AM58" i="9"/>
  <c r="AK58" i="9"/>
  <c r="AL58" i="9"/>
  <c r="AP64" i="9"/>
  <c r="AG64" i="9"/>
  <c r="AH58" i="9"/>
  <c r="AM64" i="9"/>
  <c r="AI58" i="9"/>
  <c r="AL64" i="9"/>
  <c r="AC58" i="9"/>
  <c r="AD64" i="9"/>
  <c r="AH64" i="9"/>
  <c r="AK64" i="9"/>
  <c r="AF58" i="9"/>
  <c r="AC64" i="9"/>
  <c r="AJ58" i="9"/>
  <c r="AE64" i="9"/>
  <c r="AN58" i="9"/>
  <c r="AQ64" i="9"/>
  <c r="G291" i="5"/>
  <c r="R14" i="7" s="1"/>
  <c r="R16" i="7" s="1"/>
  <c r="R43" i="7" s="1"/>
  <c r="I266" i="5"/>
  <c r="I291" i="5" s="1"/>
  <c r="AN131" i="7"/>
  <c r="AN132" i="7"/>
  <c r="G323" i="5"/>
  <c r="T14" i="7" s="1"/>
  <c r="I298" i="5"/>
  <c r="I323" i="5" s="1"/>
  <c r="AK75" i="9"/>
  <c r="AJ75" i="9" s="1"/>
  <c r="AI75" i="9" s="1"/>
  <c r="AC75" i="9" s="1"/>
  <c r="AT57" i="9"/>
  <c r="AO75" i="9"/>
  <c r="AN75" i="9" s="1"/>
  <c r="AM75" i="9" s="1"/>
  <c r="AF75" i="9" s="1"/>
  <c r="AS75" i="9"/>
  <c r="AR75" i="9" s="1"/>
  <c r="AQ75" i="9" s="1"/>
  <c r="AG75" i="9" s="1"/>
  <c r="AP71" i="7"/>
  <c r="T47" i="7" s="1"/>
  <c r="AT63" i="9"/>
  <c r="AE162" i="7"/>
  <c r="Y162" i="7" s="1"/>
  <c r="U48" i="7" s="1"/>
  <c r="AE163" i="7"/>
  <c r="Y163" i="7" s="1"/>
  <c r="U44" i="7" s="1"/>
  <c r="T48" i="7" s="1"/>
  <c r="AP72" i="7"/>
  <c r="AY568" i="6"/>
  <c r="AZ568" i="6" s="1"/>
  <c r="AZ567" i="6"/>
  <c r="AG719" i="6"/>
  <c r="AH718" i="6"/>
  <c r="AG159" i="6"/>
  <c r="AH158" i="6"/>
  <c r="AG788" i="6"/>
  <c r="AH788" i="6" s="1"/>
  <c r="AG569" i="6"/>
  <c r="AH568" i="6"/>
  <c r="AY158" i="6"/>
  <c r="AZ158" i="6" s="1"/>
  <c r="AZ157" i="6"/>
  <c r="AO138" i="7"/>
  <c r="AO137" i="7"/>
  <c r="AP135" i="7"/>
  <c r="AY718" i="6"/>
  <c r="AZ718" i="6" s="1"/>
  <c r="AZ717" i="6"/>
  <c r="AK76" i="9"/>
  <c r="AJ76" i="9" s="1"/>
  <c r="AI76" i="9" s="1"/>
  <c r="AC76" i="9" s="1"/>
  <c r="AS76" i="9"/>
  <c r="AR76" i="9" s="1"/>
  <c r="AQ76" i="9" s="1"/>
  <c r="AG76" i="9" s="1"/>
  <c r="AO76" i="9"/>
  <c r="AN76" i="9" s="1"/>
  <c r="AM76" i="9" s="1"/>
  <c r="AF76" i="9" s="1"/>
  <c r="AN137" i="7" l="1"/>
  <c r="AP44" i="7"/>
  <c r="Z155" i="7" s="1"/>
  <c r="M45" i="7" s="1"/>
  <c r="L49" i="7" s="1"/>
  <c r="V15" i="7"/>
  <c r="AH784" i="6"/>
  <c r="AP43" i="7"/>
  <c r="L47" i="7" s="1"/>
  <c r="L51" i="7" s="1"/>
  <c r="AH785" i="6"/>
  <c r="P43" i="7" s="1"/>
  <c r="AG57" i="7" s="1"/>
  <c r="AZ558" i="6"/>
  <c r="I275" i="6"/>
  <c r="L275" i="6" s="1"/>
  <c r="L190" i="6"/>
  <c r="N190" i="6" s="1"/>
  <c r="N275" i="6" s="1"/>
  <c r="AZ43" i="6"/>
  <c r="AI38" i="9"/>
  <c r="AJ38" i="9"/>
  <c r="AG157" i="7"/>
  <c r="AA157" i="7" s="1"/>
  <c r="AP120" i="7"/>
  <c r="AG126" i="7"/>
  <c r="AG125" i="7"/>
  <c r="AH126" i="7"/>
  <c r="AH125" i="7"/>
  <c r="F30" i="9"/>
  <c r="AQ68" i="9"/>
  <c r="AG68" i="9" s="1"/>
  <c r="C35" i="9" s="1"/>
  <c r="AM68" i="9"/>
  <c r="AF68" i="9" s="1"/>
  <c r="C34" i="9" s="1"/>
  <c r="AT13" i="9"/>
  <c r="C22" i="9" s="1"/>
  <c r="C23" i="9" s="1"/>
  <c r="AI68" i="9"/>
  <c r="AC68" i="9" s="1"/>
  <c r="AF50" i="7"/>
  <c r="AF51" i="7"/>
  <c r="AG51" i="7"/>
  <c r="AE157" i="7" s="1"/>
  <c r="AG50" i="7"/>
  <c r="AE156" i="7" s="1"/>
  <c r="AG156" i="7"/>
  <c r="AA156" i="7" s="1"/>
  <c r="AP119" i="7"/>
  <c r="H20" i="9"/>
  <c r="F22" i="9"/>
  <c r="F23" i="9" s="1"/>
  <c r="AD71" i="9"/>
  <c r="F31" i="9" s="1"/>
  <c r="F27" i="9" s="1"/>
  <c r="E30" i="9"/>
  <c r="AF19" i="9"/>
  <c r="AG19" i="9"/>
  <c r="AP20" i="9"/>
  <c r="AC20" i="9"/>
  <c r="AS20" i="9"/>
  <c r="AE20" i="9"/>
  <c r="AO20" i="9"/>
  <c r="AJ20" i="9"/>
  <c r="AH20" i="9"/>
  <c r="AN20" i="9"/>
  <c r="AD20" i="9"/>
  <c r="AR20" i="9"/>
  <c r="AM20" i="9"/>
  <c r="AQ20" i="9"/>
  <c r="AK20" i="9"/>
  <c r="AG20" i="9"/>
  <c r="AL20" i="9"/>
  <c r="AF20" i="9"/>
  <c r="AI20" i="9"/>
  <c r="E22" i="9"/>
  <c r="E23" i="9" s="1"/>
  <c r="AD70" i="9"/>
  <c r="E31" i="9" s="1"/>
  <c r="E27" i="9" s="1"/>
  <c r="I20" i="9"/>
  <c r="I15" i="9"/>
  <c r="L15" i="9" s="1"/>
  <c r="T22" i="9"/>
  <c r="S22" i="9"/>
  <c r="AG39" i="9"/>
  <c r="AM39" i="9"/>
  <c r="AI39" i="9"/>
  <c r="AO39" i="9"/>
  <c r="AR39" i="9"/>
  <c r="AP39" i="9"/>
  <c r="AK39" i="9"/>
  <c r="AN39" i="9"/>
  <c r="AS39" i="9"/>
  <c r="AC39" i="9"/>
  <c r="AJ39" i="9"/>
  <c r="AH39" i="9"/>
  <c r="AL39" i="9"/>
  <c r="AE39" i="9"/>
  <c r="AQ39" i="9"/>
  <c r="AF39" i="9"/>
  <c r="AD39" i="9"/>
  <c r="Z160" i="7"/>
  <c r="S49" i="7" s="1"/>
  <c r="AH161" i="7"/>
  <c r="AA161" i="7" s="1"/>
  <c r="AE67" i="9"/>
  <c r="B32" i="9"/>
  <c r="B26" i="9"/>
  <c r="B23" i="9"/>
  <c r="AH160" i="7"/>
  <c r="AA160" i="7" s="1"/>
  <c r="T16" i="7"/>
  <c r="V14" i="7"/>
  <c r="Z161" i="7"/>
  <c r="S45" i="7" s="1"/>
  <c r="R49" i="7" s="1"/>
  <c r="P479" i="6"/>
  <c r="P504" i="6"/>
  <c r="B27" i="9"/>
  <c r="AP131" i="7"/>
  <c r="AD75" i="9"/>
  <c r="J31" i="9" s="1"/>
  <c r="J30" i="9"/>
  <c r="R37" i="7"/>
  <c r="AP132" i="7"/>
  <c r="AG789" i="6"/>
  <c r="AH789" i="6" s="1"/>
  <c r="AH163" i="7"/>
  <c r="AA163" i="7" s="1"/>
  <c r="AP137" i="7"/>
  <c r="AD76" i="9"/>
  <c r="K31" i="9" s="1"/>
  <c r="Z162" i="7"/>
  <c r="U49" i="7" s="1"/>
  <c r="AH162" i="7"/>
  <c r="AA162" i="7" s="1"/>
  <c r="Z163" i="7"/>
  <c r="U45" i="7" s="1"/>
  <c r="T49" i="7" s="1"/>
  <c r="AP138" i="7"/>
  <c r="K30" i="9"/>
  <c r="AP126" i="7" l="1"/>
  <c r="AP125" i="7"/>
  <c r="AH58" i="7"/>
  <c r="AH159" i="7"/>
  <c r="AA159" i="7" s="1"/>
  <c r="AH57" i="7"/>
  <c r="AE158" i="7" s="1"/>
  <c r="Y158" i="7" s="1"/>
  <c r="Q48" i="7" s="1"/>
  <c r="AG58" i="7"/>
  <c r="AH158" i="7"/>
  <c r="AA158" i="7" s="1"/>
  <c r="L20" i="9"/>
  <c r="Z154" i="7"/>
  <c r="M49" i="7" s="1"/>
  <c r="AT38" i="9"/>
  <c r="A261" i="6"/>
  <c r="A34" i="7"/>
  <c r="A39" i="7"/>
  <c r="AE70" i="9"/>
  <c r="AD68" i="9"/>
  <c r="C31" i="9" s="1"/>
  <c r="C27" i="9" s="1"/>
  <c r="C30" i="9"/>
  <c r="AE71" i="9"/>
  <c r="AM69" i="9"/>
  <c r="AF69" i="9" s="1"/>
  <c r="D34" i="9" s="1"/>
  <c r="AQ69" i="9"/>
  <c r="AG69" i="9" s="1"/>
  <c r="D35" i="9" s="1"/>
  <c r="AT19" i="9"/>
  <c r="AI69" i="9"/>
  <c r="AC69" i="9" s="1"/>
  <c r="E26" i="9"/>
  <c r="E28" i="9" s="1"/>
  <c r="E32" i="9"/>
  <c r="F32" i="9"/>
  <c r="F26" i="9"/>
  <c r="F28" i="9" s="1"/>
  <c r="AR72" i="9"/>
  <c r="AQ72" i="9" s="1"/>
  <c r="AG72" i="9" s="1"/>
  <c r="G35" i="9" s="1"/>
  <c r="AJ72" i="9"/>
  <c r="AI72" i="9" s="1"/>
  <c r="AC72" i="9" s="1"/>
  <c r="AN72" i="9"/>
  <c r="AM72" i="9" s="1"/>
  <c r="AF72" i="9" s="1"/>
  <c r="G34" i="9" s="1"/>
  <c r="AB156" i="7"/>
  <c r="AD157" i="7"/>
  <c r="Y157" i="7" s="1"/>
  <c r="O44" i="7" s="1"/>
  <c r="N48" i="7" s="1"/>
  <c r="AP51" i="7"/>
  <c r="G22" i="9"/>
  <c r="G23" i="9" s="1"/>
  <c r="AD156" i="7"/>
  <c r="Y156" i="7" s="1"/>
  <c r="O48" i="7" s="1"/>
  <c r="AP50" i="7"/>
  <c r="AB157" i="7"/>
  <c r="R22" i="9"/>
  <c r="H17" i="9" s="1"/>
  <c r="S23" i="9"/>
  <c r="T23" i="9"/>
  <c r="V16" i="7"/>
  <c r="T43" i="7"/>
  <c r="V43" i="7" s="1"/>
  <c r="AB161" i="7"/>
  <c r="AB163" i="7"/>
  <c r="AB160" i="7"/>
  <c r="R41" i="7"/>
  <c r="T37" i="7"/>
  <c r="T41" i="7" s="1"/>
  <c r="T51" i="7" s="1"/>
  <c r="P480" i="6"/>
  <c r="P505" i="6"/>
  <c r="B28" i="9"/>
  <c r="J32" i="9"/>
  <c r="AE75" i="9"/>
  <c r="AB162" i="7"/>
  <c r="AE76" i="9"/>
  <c r="K32" i="9"/>
  <c r="AB159" i="7" l="1"/>
  <c r="AE159" i="7"/>
  <c r="Y159" i="7" s="1"/>
  <c r="Q44" i="7" s="1"/>
  <c r="P48" i="7" s="1"/>
  <c r="AP58" i="7"/>
  <c r="AB158" i="7"/>
  <c r="AD72" i="9"/>
  <c r="G31" i="9" s="1"/>
  <c r="G27" i="9" s="1"/>
  <c r="AP57" i="7"/>
  <c r="P47" i="7" s="1"/>
  <c r="P51" i="7" s="1"/>
  <c r="N47" i="7"/>
  <c r="Z156" i="7"/>
  <c r="O49" i="7" s="1"/>
  <c r="D30" i="9"/>
  <c r="G30" i="9"/>
  <c r="D22" i="9"/>
  <c r="AD69" i="9"/>
  <c r="D31" i="9" s="1"/>
  <c r="Z157" i="7"/>
  <c r="O45" i="7" s="1"/>
  <c r="N49" i="7" s="1"/>
  <c r="AE68" i="9"/>
  <c r="H19" i="9"/>
  <c r="H21" i="9" s="1"/>
  <c r="C32" i="9"/>
  <c r="C26" i="9"/>
  <c r="C28" i="9" s="1"/>
  <c r="R23" i="9"/>
  <c r="I17" i="9" s="1"/>
  <c r="I19" i="9" s="1"/>
  <c r="P506" i="6"/>
  <c r="P481" i="6"/>
  <c r="R51" i="7"/>
  <c r="V41" i="7"/>
  <c r="V37" i="7"/>
  <c r="Z159" i="7" l="1"/>
  <c r="Q45" i="7" s="1"/>
  <c r="P49" i="7" s="1"/>
  <c r="Z158" i="7"/>
  <c r="Q49" i="7" s="1"/>
  <c r="AE72" i="9"/>
  <c r="D27" i="9"/>
  <c r="D23" i="9"/>
  <c r="N51" i="7"/>
  <c r="V51" i="7" s="1"/>
  <c r="V47" i="7"/>
  <c r="L17" i="9"/>
  <c r="AE69" i="9"/>
  <c r="L19" i="9"/>
  <c r="D32" i="9"/>
  <c r="D26" i="9"/>
  <c r="AH46" i="9"/>
  <c r="AJ45" i="9"/>
  <c r="AK45" i="9"/>
  <c r="G26" i="9"/>
  <c r="G28" i="9" s="1"/>
  <c r="G32" i="9"/>
  <c r="AP46" i="9"/>
  <c r="AI46" i="9"/>
  <c r="AJ46" i="9"/>
  <c r="AK46" i="9"/>
  <c r="AO46" i="9"/>
  <c r="AS46" i="9"/>
  <c r="AN46" i="9"/>
  <c r="AQ46" i="9"/>
  <c r="AC46" i="9"/>
  <c r="AG46" i="9"/>
  <c r="AL46" i="9"/>
  <c r="AF46" i="9"/>
  <c r="AM46" i="9"/>
  <c r="AR46" i="9"/>
  <c r="AD46" i="9"/>
  <c r="AE46" i="9"/>
  <c r="I21" i="9"/>
  <c r="L21" i="9" s="1"/>
  <c r="P482" i="6"/>
  <c r="P507" i="6"/>
  <c r="D28" i="9" l="1"/>
  <c r="AT45" i="9"/>
  <c r="AN73" i="9"/>
  <c r="AM73" i="9" s="1"/>
  <c r="AF73" i="9" s="1"/>
  <c r="AR73" i="9"/>
  <c r="AQ73" i="9" s="1"/>
  <c r="AG73" i="9" s="1"/>
  <c r="AJ73" i="9"/>
  <c r="AI73" i="9" s="1"/>
  <c r="AC73" i="9" s="1"/>
  <c r="AK51" i="9"/>
  <c r="AL51" i="9"/>
  <c r="AF52" i="9"/>
  <c r="AM52" i="9"/>
  <c r="AJ52" i="9"/>
  <c r="AP52" i="9"/>
  <c r="AN52" i="9"/>
  <c r="AK52" i="9"/>
  <c r="AG52" i="9"/>
  <c r="AD52" i="9"/>
  <c r="AC52" i="9"/>
  <c r="AO52" i="9"/>
  <c r="AE52" i="9"/>
  <c r="AH52" i="9"/>
  <c r="AI52" i="9"/>
  <c r="AL52" i="9"/>
  <c r="AQ52" i="9"/>
  <c r="AS52" i="9"/>
  <c r="AR52" i="9"/>
  <c r="P483" i="6"/>
  <c r="P508" i="6"/>
  <c r="H30" i="9" l="1"/>
  <c r="I35" i="9"/>
  <c r="J35" i="9"/>
  <c r="J27" i="9" s="1"/>
  <c r="K35" i="9"/>
  <c r="K27" i="9" s="1"/>
  <c r="H35" i="9"/>
  <c r="H34" i="9"/>
  <c r="J34" i="9"/>
  <c r="J26" i="9" s="1"/>
  <c r="J28" i="9" s="1"/>
  <c r="I34" i="9"/>
  <c r="K34" i="9"/>
  <c r="K26" i="9" s="1"/>
  <c r="AT51" i="9"/>
  <c r="AJ74" i="9"/>
  <c r="AI74" i="9" s="1"/>
  <c r="AC74" i="9" s="1"/>
  <c r="AR74" i="9"/>
  <c r="AQ74" i="9" s="1"/>
  <c r="AG74" i="9" s="1"/>
  <c r="AN74" i="9"/>
  <c r="AM74" i="9" s="1"/>
  <c r="AF74" i="9" s="1"/>
  <c r="H22" i="9"/>
  <c r="AD73" i="9"/>
  <c r="H31" i="9" s="1"/>
  <c r="P484" i="6"/>
  <c r="P509" i="6"/>
  <c r="K28" i="9" l="1"/>
  <c r="H23" i="9"/>
  <c r="H26" i="9"/>
  <c r="I30" i="9"/>
  <c r="L30" i="9" s="1"/>
  <c r="H32" i="9"/>
  <c r="H27" i="9"/>
  <c r="I22" i="9"/>
  <c r="I23" i="9" s="1"/>
  <c r="AD74" i="9"/>
  <c r="I31" i="9" s="1"/>
  <c r="I27" i="9" s="1"/>
  <c r="AE73" i="9"/>
  <c r="P485" i="6"/>
  <c r="P510" i="6"/>
  <c r="L27" i="9" l="1"/>
  <c r="L22" i="9"/>
  <c r="L23" i="9"/>
  <c r="H28" i="9"/>
  <c r="L31" i="9"/>
  <c r="L32" i="9" s="1"/>
  <c r="AE74" i="9"/>
  <c r="I32" i="9"/>
  <c r="I26" i="9"/>
  <c r="I28" i="9" s="1"/>
  <c r="P486" i="6"/>
  <c r="P511" i="6"/>
  <c r="L26" i="9" l="1"/>
  <c r="L28" i="9" s="1"/>
  <c r="P487" i="6"/>
  <c r="P512" i="6"/>
  <c r="P488" i="6" l="1"/>
  <c r="P513" i="6"/>
  <c r="P489" i="6" l="1"/>
  <c r="P514" i="6"/>
  <c r="P490" i="6" l="1"/>
  <c r="P515" i="6"/>
  <c r="P491" i="6" l="1"/>
  <c r="P516" i="6"/>
  <c r="P492" i="6" l="1"/>
  <c r="P517" i="6"/>
  <c r="P493" i="6" l="1"/>
  <c r="P519" i="6" s="1"/>
  <c r="P5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Rick Mancinelli</author>
  </authors>
  <commentList>
    <comment ref="A14" authorId="0" shapeId="0" xr:uid="{00000000-0006-0000-0300-000001000000}">
      <text>
        <r>
          <rPr>
            <b/>
            <sz val="8"/>
            <color indexed="81"/>
            <rFont val="Tahoma"/>
            <family val="2"/>
          </rPr>
          <t>A specific name is required for this category.</t>
        </r>
      </text>
    </comment>
    <comment ref="B14" authorId="0" shapeId="0" xr:uid="{00000000-0006-0000-0300-000002000000}">
      <text>
        <r>
          <rPr>
            <b/>
            <sz val="8"/>
            <color indexed="81"/>
            <rFont val="Tahoma"/>
            <family val="2"/>
          </rPr>
          <t>A specific name is required for this category.</t>
        </r>
        <r>
          <rPr>
            <sz val="8"/>
            <color indexed="81"/>
            <rFont val="Tahoma"/>
            <family val="2"/>
          </rPr>
          <t xml:space="preserve">
</t>
        </r>
      </text>
    </comment>
    <comment ref="C14" authorId="0" shapeId="0" xr:uid="{00000000-0006-0000-0300-000003000000}">
      <text>
        <r>
          <rPr>
            <b/>
            <sz val="8"/>
            <color indexed="81"/>
            <rFont val="Tahoma"/>
            <family val="2"/>
          </rPr>
          <t>A specific name is required for this category.</t>
        </r>
        <r>
          <rPr>
            <sz val="8"/>
            <color indexed="81"/>
            <rFont val="Tahoma"/>
            <family val="2"/>
          </rPr>
          <t xml:space="preserve">
</t>
        </r>
      </text>
    </comment>
    <comment ref="D14" authorId="0" shapeId="0" xr:uid="{00000000-0006-0000-0300-000004000000}">
      <text>
        <r>
          <rPr>
            <b/>
            <sz val="8"/>
            <color indexed="81"/>
            <rFont val="Tahoma"/>
            <family val="2"/>
          </rPr>
          <t>A specific name is required for this category.</t>
        </r>
        <r>
          <rPr>
            <sz val="8"/>
            <color indexed="81"/>
            <rFont val="Tahoma"/>
            <family val="2"/>
          </rPr>
          <t xml:space="preserve">
</t>
        </r>
      </text>
    </comment>
    <comment ref="E14" authorId="0" shapeId="0" xr:uid="{00000000-0006-0000-0300-000005000000}">
      <text>
        <r>
          <rPr>
            <b/>
            <sz val="8"/>
            <color indexed="81"/>
            <rFont val="Tahoma"/>
            <family val="2"/>
          </rPr>
          <t>A specific name is required for this category.</t>
        </r>
        <r>
          <rPr>
            <sz val="8"/>
            <color indexed="81"/>
            <rFont val="Tahoma"/>
            <family val="2"/>
          </rPr>
          <t xml:space="preserve">
</t>
        </r>
      </text>
    </comment>
    <comment ref="F14" authorId="0" shapeId="0" xr:uid="{00000000-0006-0000-0300-000006000000}">
      <text>
        <r>
          <rPr>
            <b/>
            <sz val="8"/>
            <color indexed="81"/>
            <rFont val="Tahoma"/>
            <family val="2"/>
          </rPr>
          <t>A specific name is required for this category.</t>
        </r>
        <r>
          <rPr>
            <sz val="8"/>
            <color indexed="81"/>
            <rFont val="Tahoma"/>
            <family val="2"/>
          </rPr>
          <t xml:space="preserve">
</t>
        </r>
      </text>
    </comment>
    <comment ref="G14" authorId="0" shapeId="0" xr:uid="{00000000-0006-0000-0300-000007000000}">
      <text>
        <r>
          <rPr>
            <b/>
            <sz val="8"/>
            <color indexed="81"/>
            <rFont val="Tahoma"/>
            <family val="2"/>
          </rPr>
          <t>A specific name is required for this category.</t>
        </r>
        <r>
          <rPr>
            <sz val="8"/>
            <color indexed="81"/>
            <rFont val="Tahoma"/>
            <family val="2"/>
          </rPr>
          <t xml:space="preserve">
</t>
        </r>
      </text>
    </comment>
    <comment ref="H14" authorId="0" shapeId="0" xr:uid="{00000000-0006-0000-0300-000008000000}">
      <text>
        <r>
          <rPr>
            <b/>
            <sz val="8"/>
            <color indexed="81"/>
            <rFont val="Tahoma"/>
            <family val="2"/>
          </rPr>
          <t>A specific name is required for this category.</t>
        </r>
        <r>
          <rPr>
            <sz val="8"/>
            <color indexed="81"/>
            <rFont val="Tahoma"/>
            <family val="2"/>
          </rPr>
          <t xml:space="preserve">
</t>
        </r>
      </text>
    </comment>
    <comment ref="I14" authorId="0" shapeId="0" xr:uid="{00000000-0006-0000-0300-000009000000}">
      <text>
        <r>
          <rPr>
            <b/>
            <sz val="8"/>
            <color indexed="81"/>
            <rFont val="Tahoma"/>
            <family val="2"/>
          </rPr>
          <t>A specific name is required for this category.</t>
        </r>
        <r>
          <rPr>
            <sz val="8"/>
            <color indexed="81"/>
            <rFont val="Tahoma"/>
            <family val="2"/>
          </rPr>
          <t xml:space="preserve">
</t>
        </r>
      </text>
    </comment>
    <comment ref="J14" authorId="0" shapeId="0" xr:uid="{00000000-0006-0000-0300-00000A000000}">
      <text>
        <r>
          <rPr>
            <b/>
            <sz val="8"/>
            <color indexed="81"/>
            <rFont val="Tahoma"/>
            <family val="2"/>
          </rPr>
          <t>A specific name is required for this category.</t>
        </r>
        <r>
          <rPr>
            <sz val="8"/>
            <color indexed="81"/>
            <rFont val="Tahoma"/>
            <family val="2"/>
          </rPr>
          <t xml:space="preserve">
</t>
        </r>
      </text>
    </comment>
    <comment ref="K14" authorId="0" shapeId="0" xr:uid="{00000000-0006-0000-0300-00000B000000}">
      <text>
        <r>
          <rPr>
            <b/>
            <sz val="8"/>
            <color indexed="81"/>
            <rFont val="Tahoma"/>
            <family val="2"/>
          </rPr>
          <t>A specific name is required for this category.</t>
        </r>
        <r>
          <rPr>
            <sz val="8"/>
            <color indexed="81"/>
            <rFont val="Tahoma"/>
            <family val="2"/>
          </rPr>
          <t xml:space="preserve">
</t>
        </r>
      </text>
    </comment>
    <comment ref="A18" authorId="0" shapeId="0" xr:uid="{00000000-0006-0000-0300-00000C000000}">
      <text>
        <r>
          <rPr>
            <b/>
            <sz val="8"/>
            <color indexed="81"/>
            <rFont val="Tahoma"/>
            <family val="2"/>
          </rPr>
          <t>A more specific supply name can be entered into this cell if needed.</t>
        </r>
        <r>
          <rPr>
            <sz val="8"/>
            <color indexed="81"/>
            <rFont val="Tahoma"/>
            <family val="2"/>
          </rPr>
          <t xml:space="preserve">
</t>
        </r>
      </text>
    </comment>
    <comment ref="A19" authorId="0" shapeId="0" xr:uid="{00000000-0006-0000-0300-00000D000000}">
      <text>
        <r>
          <rPr>
            <b/>
            <sz val="8"/>
            <color indexed="81"/>
            <rFont val="Tahoma"/>
            <family val="2"/>
          </rPr>
          <t>A more specific supply name can be entered into this cell if needed.</t>
        </r>
      </text>
    </comment>
    <comment ref="A20" authorId="0" shapeId="0" xr:uid="{00000000-0006-0000-0300-00000E000000}">
      <text>
        <r>
          <rPr>
            <b/>
            <sz val="8"/>
            <color indexed="81"/>
            <rFont val="Tahoma"/>
            <family val="2"/>
          </rPr>
          <t xml:space="preserve">A more specific supply name can be entered into this cell if needed.
</t>
        </r>
      </text>
    </comment>
    <comment ref="A21" authorId="0" shapeId="0" xr:uid="{00000000-0006-0000-0300-00000F000000}">
      <text>
        <r>
          <rPr>
            <b/>
            <sz val="8"/>
            <color indexed="81"/>
            <rFont val="Tahoma"/>
            <family val="2"/>
          </rPr>
          <t xml:space="preserve">A more specific supply name can be entered into this cell if needed.
</t>
        </r>
      </text>
    </comment>
    <comment ref="A22" authorId="0" shapeId="0" xr:uid="{00000000-0006-0000-0300-000010000000}">
      <text>
        <r>
          <rPr>
            <b/>
            <sz val="8"/>
            <color indexed="81"/>
            <rFont val="Tahoma"/>
            <family val="2"/>
          </rPr>
          <t>A more specific supply name can be entered into this cell if needed.</t>
        </r>
      </text>
    </comment>
    <comment ref="A23" authorId="0" shapeId="0" xr:uid="{00000000-0006-0000-0300-000011000000}">
      <text>
        <r>
          <rPr>
            <b/>
            <sz val="8"/>
            <color indexed="81"/>
            <rFont val="Tahoma"/>
            <family val="2"/>
          </rPr>
          <t>A more specific supply name can be entered into this cell if needed.</t>
        </r>
      </text>
    </comment>
    <comment ref="A24" authorId="0" shapeId="0" xr:uid="{00000000-0006-0000-0300-000012000000}">
      <text>
        <r>
          <rPr>
            <b/>
            <sz val="8"/>
            <color indexed="81"/>
            <rFont val="Tahoma"/>
            <family val="2"/>
          </rPr>
          <t>A more specific supply name can be entered into this cell if needed.</t>
        </r>
      </text>
    </comment>
    <comment ref="A25" authorId="0" shapeId="0" xr:uid="{00000000-0006-0000-0300-000013000000}">
      <text>
        <r>
          <rPr>
            <b/>
            <sz val="8"/>
            <color indexed="81"/>
            <rFont val="Tahoma"/>
            <family val="2"/>
          </rPr>
          <t>A more specific supply name can be entered into this cell if needed.</t>
        </r>
      </text>
    </comment>
    <comment ref="A26" authorId="0" shapeId="0" xr:uid="{00000000-0006-0000-0300-000014000000}">
      <text>
        <r>
          <rPr>
            <b/>
            <sz val="8"/>
            <color indexed="81"/>
            <rFont val="Tahoma"/>
            <family val="2"/>
          </rPr>
          <t>A more specific supply name can be entered into this cell if needed.</t>
        </r>
      </text>
    </comment>
    <comment ref="A27" authorId="0" shapeId="0" xr:uid="{00000000-0006-0000-0300-000015000000}">
      <text>
        <r>
          <rPr>
            <b/>
            <sz val="8"/>
            <color indexed="81"/>
            <rFont val="Tahoma"/>
            <family val="2"/>
          </rPr>
          <t>A more specific supply name can be entered into this cell if needed.</t>
        </r>
      </text>
    </comment>
    <comment ref="A28" authorId="0" shapeId="0" xr:uid="{00000000-0006-0000-0300-000016000000}">
      <text>
        <r>
          <rPr>
            <b/>
            <sz val="8"/>
            <color indexed="81"/>
            <rFont val="Tahoma"/>
            <family val="2"/>
          </rPr>
          <t>A more specific supply name can be entered into this cell if needed.</t>
        </r>
      </text>
    </comment>
    <comment ref="A29" authorId="0" shapeId="0" xr:uid="{00000000-0006-0000-0300-000017000000}">
      <text>
        <r>
          <rPr>
            <b/>
            <sz val="8"/>
            <color indexed="81"/>
            <rFont val="Tahoma"/>
            <family val="2"/>
          </rPr>
          <t>A more specific supply name can be entered into this cell if needed.</t>
        </r>
      </text>
    </comment>
    <comment ref="A30" authorId="0" shapeId="0" xr:uid="{00000000-0006-0000-0300-000018000000}">
      <text>
        <r>
          <rPr>
            <b/>
            <sz val="8"/>
            <color indexed="81"/>
            <rFont val="Tahoma"/>
            <family val="2"/>
          </rPr>
          <t>A more specific supply name can be entered into this cell if needed.</t>
        </r>
      </text>
    </comment>
    <comment ref="A31" authorId="0" shapeId="0" xr:uid="{00000000-0006-0000-0300-000019000000}">
      <text>
        <r>
          <rPr>
            <b/>
            <sz val="8"/>
            <color indexed="81"/>
            <rFont val="Tahoma"/>
            <family val="2"/>
          </rPr>
          <t>A more specific supply name can be entered into this cell if needed.</t>
        </r>
      </text>
    </comment>
    <comment ref="A32" authorId="0" shapeId="0" xr:uid="{00000000-0006-0000-0300-00001A000000}">
      <text>
        <r>
          <rPr>
            <b/>
            <sz val="8"/>
            <color indexed="81"/>
            <rFont val="Tahoma"/>
            <family val="2"/>
          </rPr>
          <t>A more specific supply name can be entered into this cell if needed.</t>
        </r>
      </text>
    </comment>
    <comment ref="A33" authorId="0" shapeId="0" xr:uid="{00000000-0006-0000-0300-00001B000000}">
      <text>
        <r>
          <rPr>
            <b/>
            <sz val="8"/>
            <color indexed="81"/>
            <rFont val="Tahoma"/>
            <family val="2"/>
          </rPr>
          <t>A more specific supply name can be entered into this cell if needed.</t>
        </r>
      </text>
    </comment>
    <comment ref="A34" authorId="0" shapeId="0" xr:uid="{00000000-0006-0000-0300-00001C000000}">
      <text>
        <r>
          <rPr>
            <b/>
            <sz val="8"/>
            <color indexed="81"/>
            <rFont val="Tahoma"/>
            <family val="2"/>
          </rPr>
          <t>A more specific supply name can be entered into this cell if needed.</t>
        </r>
      </text>
    </comment>
    <comment ref="A35" authorId="0" shapeId="0" xr:uid="{00000000-0006-0000-0300-00001D000000}">
      <text>
        <r>
          <rPr>
            <b/>
            <sz val="8"/>
            <color indexed="81"/>
            <rFont val="Tahoma"/>
            <family val="2"/>
          </rPr>
          <t>A more specific supply name can be entered into this cell if needed.</t>
        </r>
      </text>
    </comment>
    <comment ref="A36" authorId="0" shapeId="0" xr:uid="{00000000-0006-0000-0300-00001E000000}">
      <text>
        <r>
          <rPr>
            <b/>
            <sz val="8"/>
            <color indexed="81"/>
            <rFont val="Tahoma"/>
            <family val="2"/>
          </rPr>
          <t>A more specific supply name can be entered into this cell if needed.</t>
        </r>
      </text>
    </comment>
    <comment ref="A37" authorId="0" shapeId="0" xr:uid="{00000000-0006-0000-0300-00001F000000}">
      <text>
        <r>
          <rPr>
            <b/>
            <sz val="8"/>
            <color indexed="81"/>
            <rFont val="Tahoma"/>
            <family val="2"/>
          </rPr>
          <t>A more specific supply name can be entered into this cell if needed.</t>
        </r>
      </text>
    </comment>
  </commentList>
</comments>
</file>

<file path=xl/sharedStrings.xml><?xml version="1.0" encoding="utf-8"?>
<sst xmlns="http://schemas.openxmlformats.org/spreadsheetml/2006/main" count="1258" uniqueCount="304">
  <si>
    <t>INSTRUCTIONS</t>
  </si>
  <si>
    <t>How to complete the Research Management Proposal Budget Template</t>
  </si>
  <si>
    <t>a. The fields are listed below:</t>
  </si>
  <si>
    <t xml:space="preserve">           i.      PI Name:</t>
  </si>
  <si>
    <t xml:space="preserve">         iii.      Department:</t>
  </si>
  <si>
    <t xml:space="preserve">         iv.      Project Title</t>
  </si>
  <si>
    <t xml:space="preserve">          v.      Project Start Date:</t>
  </si>
  <si>
    <t xml:space="preserve">         vi.      Project End Date:</t>
  </si>
  <si>
    <t xml:space="preserve">        vii.      Sponsor:</t>
  </si>
  <si>
    <t xml:space="preserve">       viii.      F&amp;A Rate: (Select from the drop down) </t>
  </si>
  <si>
    <t xml:space="preserve">         ix.      If the sponsor requires a different rate than the institutionally approved rates (e.g. foundations) select “other” and then enter the rate 
                   (e.g. 20%) in the field directly to the right of the F&amp;A Rate that will be highlighted in red and list “Type Rate Here”</t>
  </si>
  <si>
    <t xml:space="preserve">          x.      MTDC / TDC: (Select appropriate cost base via a Radio Button)</t>
  </si>
  <si>
    <t xml:space="preserve">         xi.      Annual Escalation: (Amount to increase salaries each year of the project)</t>
  </si>
  <si>
    <r>
      <t>4)</t>
    </r>
    <r>
      <rPr>
        <sz val="7"/>
        <rFont val="Times New Roman"/>
        <family val="1"/>
      </rPr>
      <t xml:space="preserve">      </t>
    </r>
    <r>
      <rPr>
        <sz val="12"/>
        <rFont val="Times New Roman"/>
        <family val="1"/>
      </rPr>
      <t>Click on the second tab “2. PERSONNEL”</t>
    </r>
  </si>
  <si>
    <r>
      <t>a.</t>
    </r>
    <r>
      <rPr>
        <sz val="7"/>
        <rFont val="Times New Roman"/>
        <family val="1"/>
      </rPr>
      <t xml:space="preserve">       </t>
    </r>
    <r>
      <rPr>
        <sz val="11"/>
        <rFont val="Times New Roman"/>
        <family val="1"/>
      </rPr>
      <t>Click on the “Click to add Personnel Lines”  at the top right of the page</t>
    </r>
  </si>
  <si>
    <r>
      <t xml:space="preserve">           i.</t>
    </r>
    <r>
      <rPr>
        <sz val="7"/>
        <rFont val="Times New Roman"/>
        <family val="1"/>
      </rPr>
      <t xml:space="preserve">      </t>
    </r>
    <r>
      <rPr>
        <sz val="11"/>
        <rFont val="Times New Roman"/>
        <family val="1"/>
      </rPr>
      <t>A pop up window will appear.  Enter the number of personnel who will be working on the project. Click OK (The sheet will add the number of lines selected. 
               Additionally you can reduce the number of lines using this button.)</t>
    </r>
  </si>
  <si>
    <r>
      <t xml:space="preserve">          ii.</t>
    </r>
    <r>
      <rPr>
        <sz val="7"/>
        <rFont val="Times New Roman"/>
        <family val="1"/>
      </rPr>
      <t xml:space="preserve">      </t>
    </r>
    <r>
      <rPr>
        <sz val="11"/>
        <rFont val="Times New Roman"/>
        <family val="1"/>
      </rPr>
      <t xml:space="preserve">Complete each field in the Personnel worksheet. </t>
    </r>
  </si>
  <si>
    <r>
      <t xml:space="preserve">                                   1.</t>
    </r>
    <r>
      <rPr>
        <b/>
        <sz val="7"/>
        <rFont val="Times New Roman"/>
        <family val="1"/>
      </rPr>
      <t xml:space="preserve">      </t>
    </r>
    <r>
      <rPr>
        <b/>
        <sz val="11"/>
        <rFont val="Times New Roman"/>
        <family val="1"/>
      </rPr>
      <t>Name</t>
    </r>
  </si>
  <si>
    <r>
      <t xml:space="preserve">                                   2.</t>
    </r>
    <r>
      <rPr>
        <b/>
        <sz val="7"/>
        <rFont val="Times New Roman"/>
        <family val="1"/>
      </rPr>
      <t xml:space="preserve">      </t>
    </r>
    <r>
      <rPr>
        <b/>
        <sz val="11"/>
        <rFont val="Times New Roman"/>
        <family val="1"/>
      </rPr>
      <t>Role</t>
    </r>
  </si>
  <si>
    <r>
      <t xml:space="preserve">                                   3.</t>
    </r>
    <r>
      <rPr>
        <b/>
        <sz val="7"/>
        <rFont val="Times New Roman"/>
        <family val="1"/>
      </rPr>
      <t xml:space="preserve">      </t>
    </r>
    <r>
      <rPr>
        <b/>
        <sz val="11"/>
        <rFont val="Times New Roman"/>
        <family val="1"/>
      </rPr>
      <t>Position (used to identify the appropriate fringe benefit rate)</t>
    </r>
  </si>
  <si>
    <r>
      <t xml:space="preserve">                                   4.</t>
    </r>
    <r>
      <rPr>
        <b/>
        <sz val="7"/>
        <rFont val="Times New Roman"/>
        <family val="1"/>
      </rPr>
      <t xml:space="preserve">      </t>
    </r>
    <r>
      <rPr>
        <b/>
        <sz val="11"/>
        <rFont val="Times New Roman"/>
        <family val="1"/>
      </rPr>
      <t>% effort</t>
    </r>
  </si>
  <si>
    <r>
      <t xml:space="preserve">                                   5.</t>
    </r>
    <r>
      <rPr>
        <b/>
        <sz val="7"/>
        <rFont val="Times New Roman"/>
        <family val="1"/>
      </rPr>
      <t xml:space="preserve">      </t>
    </r>
    <r>
      <rPr>
        <b/>
        <sz val="11"/>
        <rFont val="Times New Roman"/>
        <family val="1"/>
      </rPr>
      <t>Institutional Base Salary</t>
    </r>
  </si>
  <si>
    <r>
      <t xml:space="preserve">          iii.</t>
    </r>
    <r>
      <rPr>
        <sz val="7"/>
        <rFont val="Times New Roman"/>
        <family val="1"/>
      </rPr>
      <t xml:space="preserve">      </t>
    </r>
    <r>
      <rPr>
        <sz val="11"/>
        <rFont val="Times New Roman"/>
        <family val="1"/>
      </rPr>
      <t>You will notice that the PI of the project will pre-populate in the first name field for each budget year. Also after you enter the personnel information for year one,
                   the names with the associated data will be available in a drop down menu in the following years (Year 2, Year 3, etc…).  Additionally their salaries will be 
                   automatically escalated based on the Annual Escalation rate entered on the SUMMARY &amp; INSTRUCTION sheet. (All of this automation can be overwritten 
                   by the user by entering directly into the field.)</t>
    </r>
  </si>
  <si>
    <r>
      <t>5)</t>
    </r>
    <r>
      <rPr>
        <sz val="7"/>
        <rFont val="Times New Roman"/>
        <family val="1"/>
      </rPr>
      <t xml:space="preserve">      </t>
    </r>
    <r>
      <rPr>
        <sz val="12"/>
        <rFont val="Times New Roman"/>
        <family val="1"/>
      </rPr>
      <t>Click on the “3. NON-PERSONNEL EXPENSES”</t>
    </r>
  </si>
  <si>
    <r>
      <t>a.</t>
    </r>
    <r>
      <rPr>
        <b/>
        <sz val="7"/>
        <rFont val="Times New Roman"/>
        <family val="1"/>
      </rPr>
      <t xml:space="preserve">      </t>
    </r>
    <r>
      <rPr>
        <b/>
        <sz val="11"/>
        <rFont val="Times New Roman"/>
        <family val="1"/>
      </rPr>
      <t>Enter appropriate amounts in the fields highlighted in light blue</t>
    </r>
  </si>
  <si>
    <t xml:space="preserve"> </t>
  </si>
  <si>
    <r>
      <t>6)</t>
    </r>
    <r>
      <rPr>
        <sz val="7"/>
        <rFont val="Times New Roman"/>
        <family val="1"/>
      </rPr>
      <t xml:space="preserve">      </t>
    </r>
    <r>
      <rPr>
        <sz val="12"/>
        <rFont val="Times New Roman"/>
        <family val="1"/>
      </rPr>
      <t>Click on the “4. SUBAWARDS”</t>
    </r>
  </si>
  <si>
    <r>
      <t>a.</t>
    </r>
    <r>
      <rPr>
        <sz val="7"/>
        <rFont val="Times New Roman"/>
        <family val="1"/>
      </rPr>
      <t xml:space="preserve">       </t>
    </r>
    <r>
      <rPr>
        <sz val="11"/>
        <rFont val="Times New Roman"/>
        <family val="1"/>
      </rPr>
      <t>Click on the “Click to add Subcontracts”  at the top right of the page</t>
    </r>
  </si>
  <si>
    <r>
      <t xml:space="preserve">                       </t>
    </r>
    <r>
      <rPr>
        <sz val="11"/>
        <rFont val="Times New Roman"/>
        <family val="1"/>
      </rPr>
      <t>i.</t>
    </r>
    <r>
      <rPr>
        <sz val="7"/>
        <rFont val="Times New Roman"/>
        <family val="1"/>
      </rPr>
      <t xml:space="preserve">      </t>
    </r>
    <r>
      <rPr>
        <sz val="11"/>
        <rFont val="Times New Roman"/>
        <family val="1"/>
      </rPr>
      <t>A pop up window will appear.  Enter the number of subcontracts which will be participating. Click OK (The sheet will add the number of subs selected. 
                Additionally you can reduce the number of lines using this button.)</t>
    </r>
  </si>
  <si>
    <r>
      <t xml:space="preserve">          ii.</t>
    </r>
    <r>
      <rPr>
        <b/>
        <sz val="7"/>
        <rFont val="Times New Roman"/>
        <family val="1"/>
      </rPr>
      <t xml:space="preserve">      </t>
    </r>
    <r>
      <rPr>
        <b/>
        <sz val="11"/>
        <rFont val="Times New Roman"/>
        <family val="1"/>
      </rPr>
      <t>For each subaward complete the name of the subawardee, and the Subaward Direct Costs and Indirect Costs for each year</t>
    </r>
  </si>
  <si>
    <r>
      <t>a.</t>
    </r>
    <r>
      <rPr>
        <sz val="7"/>
        <rFont val="Times New Roman"/>
        <family val="1"/>
      </rPr>
      <t xml:space="preserve">       </t>
    </r>
    <r>
      <rPr>
        <sz val="12"/>
        <rFont val="Times New Roman"/>
        <family val="1"/>
      </rPr>
      <t>If someone would like to override the modular amounts that are automatically calculated based on the budget, select the appropriate modular amount from the 
      drop menus highlighted in light blue for each year.   If this is selected the exclusion will still be automatically populated from the template.</t>
    </r>
  </si>
  <si>
    <t>The Modular Budget Tab</t>
  </si>
  <si>
    <t xml:space="preserve">The Modular Budget tab is added to accommodate proposals for NIH Agencies that allow for streamlined "modular" budgets.  The modular mechanism does not require a detailed budget, instead costs are requested in $25k allotments up to a total of $250k in direct costs.  If your proposal is not eligible for a modular budget or if you are requesting more than $250k then this tab is irrelevant to your proposal submission.  If your proposal is eligible for a modular budget, we have designed the template to automatically feed information from the summary page and the detailed budget pages to the modular tab (more accurate budgeting for many PIs who prefer to start with a detailed budget to make sure $250k is enough money.) The modular tab also allows the PI to override any of the formulas to request what ever modular amount is needed regardless of the detailed budget. </t>
  </si>
  <si>
    <t xml:space="preserve"> If you have additional questions on the modular page feel free to contact your pre-award administrator.    The contact information is found on the Research Management website at:</t>
  </si>
  <si>
    <t xml:space="preserve">http://resadmin.partners.org/RM_Home/default.aspx </t>
  </si>
  <si>
    <t>Click Here to Return to the Modular Budget Tab</t>
  </si>
  <si>
    <t>Split Rate Calculation Example:</t>
  </si>
  <si>
    <t>YEAR 1</t>
  </si>
  <si>
    <t>----</t>
  </si>
  <si>
    <t>Name</t>
  </si>
  <si>
    <t>Role</t>
  </si>
  <si>
    <t>Position</t>
  </si>
  <si>
    <t>% Effort</t>
  </si>
  <si>
    <t>Calendar Months</t>
  </si>
  <si>
    <t>Institutional Base Salary</t>
  </si>
  <si>
    <t>Salary Requested</t>
  </si>
  <si>
    <t>Fringe Benefits</t>
  </si>
  <si>
    <t>TOTAL</t>
  </si>
  <si>
    <t>Dr. Smith</t>
  </si>
  <si>
    <t>PI</t>
  </si>
  <si>
    <t>Professional Staff</t>
  </si>
  <si>
    <t>Year 1 of this project crosses 2 Fiscal Years: FY 09 and FY 10</t>
  </si>
  <si>
    <t>9 months are in FY 09</t>
  </si>
  <si>
    <t>FY 09 Benefit Rate</t>
  </si>
  <si>
    <t>3 months are in FY 10</t>
  </si>
  <si>
    <t>FY 10 Benefit Rate</t>
  </si>
  <si>
    <t>/12</t>
  </si>
  <si>
    <t>= Salary per month</t>
  </si>
  <si>
    <t>Salary per month</t>
  </si>
  <si>
    <t>FY 09 Benefit Amount</t>
  </si>
  <si>
    <t>Number of Months in FY</t>
  </si>
  <si>
    <t>x9</t>
  </si>
  <si>
    <t>x3</t>
  </si>
  <si>
    <t>FY 10 Benefit Amount</t>
  </si>
  <si>
    <t>FY 09 Salary</t>
  </si>
  <si>
    <t>FY 10 Salary</t>
  </si>
  <si>
    <t>Benefits for Year 1</t>
  </si>
  <si>
    <t>x35%</t>
  </si>
  <si>
    <t>x36%</t>
  </si>
  <si>
    <t>Return to Personnel Tab</t>
  </si>
  <si>
    <t>Research Management</t>
  </si>
  <si>
    <t>Proposal Budget Template</t>
  </si>
  <si>
    <t>PI Name:</t>
  </si>
  <si>
    <t>MGH</t>
  </si>
  <si>
    <t>Department:</t>
  </si>
  <si>
    <t>Project Title</t>
  </si>
  <si>
    <t>Project Start Date:</t>
  </si>
  <si>
    <t>Project End Date:</t>
  </si>
  <si>
    <t>Sponsor:</t>
  </si>
  <si>
    <t>F&amp;A Rate:</t>
  </si>
  <si>
    <t>OnSite</t>
  </si>
  <si>
    <t>Year 1</t>
  </si>
  <si>
    <t>Year 2</t>
  </si>
  <si>
    <t>Year 3</t>
  </si>
  <si>
    <t>Year 4</t>
  </si>
  <si>
    <t>Year 5</t>
  </si>
  <si>
    <t>Year 6</t>
  </si>
  <si>
    <t>Year 7</t>
  </si>
  <si>
    <t>Annual Escalation:</t>
  </si>
  <si>
    <t>Fiscal Year Benefit Rate:</t>
  </si>
  <si>
    <t>Fiscal Year IDC Rate:</t>
  </si>
  <si>
    <t>SRH</t>
  </si>
  <si>
    <t>Bulfinch Temps</t>
  </si>
  <si>
    <t>SRH All Staff</t>
  </si>
  <si>
    <t>MGH Professional Staff</t>
  </si>
  <si>
    <t>Animal</t>
  </si>
  <si>
    <t>BWH</t>
  </si>
  <si>
    <t>Other</t>
  </si>
  <si>
    <t>Students</t>
  </si>
  <si>
    <t>Fellows</t>
  </si>
  <si>
    <t>Non-Professional Staff</t>
  </si>
  <si>
    <t>Select Here</t>
  </si>
  <si>
    <t>Institution</t>
  </si>
  <si>
    <t>PERSONNEL COSTS</t>
  </si>
  <si>
    <t>Click Here to go to Fringe Benefits Calculation Example</t>
  </si>
  <si>
    <t>YEAR 2</t>
  </si>
  <si>
    <t>YEAR 3</t>
  </si>
  <si>
    <t>YEAR 4</t>
  </si>
  <si>
    <t>YEAR 5</t>
  </si>
  <si>
    <t>…</t>
  </si>
  <si>
    <t>YEAR 6</t>
  </si>
  <si>
    <t>YEAR 7</t>
  </si>
  <si>
    <t>YEAR 8</t>
  </si>
  <si>
    <t>YEAR 9</t>
  </si>
  <si>
    <t>YEAR 10</t>
  </si>
  <si>
    <t>NON-PERSONNEL COSTS</t>
  </si>
  <si>
    <t>Non-Equipment -  Non IDC Item</t>
  </si>
  <si>
    <t>Travel: Domestic</t>
  </si>
  <si>
    <t>Travel: Foreign</t>
  </si>
  <si>
    <t>Participant/Trainee Support Costs:</t>
  </si>
  <si>
    <t>Materials &amp; Supplies - Line 1</t>
  </si>
  <si>
    <t>Materials &amp; Supplies - Line 2</t>
  </si>
  <si>
    <t>Materials &amp; Supplies - Line 3</t>
  </si>
  <si>
    <t>Materials &amp; Supplies - Line 4</t>
  </si>
  <si>
    <t>Materials &amp; Supplies - Line 5</t>
  </si>
  <si>
    <t>Materials &amp; Supplies - Line 6</t>
  </si>
  <si>
    <t>Materials &amp; Supplies - Line 7</t>
  </si>
  <si>
    <t>Materials &amp; Supplies - Line 8</t>
  </si>
  <si>
    <t>Materials &amp; Supplies - Line 9</t>
  </si>
  <si>
    <t>Materials &amp; Supplies - Line 10</t>
  </si>
  <si>
    <t>Other Expenses - Line 1</t>
  </si>
  <si>
    <t>Other Expenses - Line 2</t>
  </si>
  <si>
    <t>Other Expenses - Line 3</t>
  </si>
  <si>
    <t>Other Expenses - Line 4</t>
  </si>
  <si>
    <t>Other Expenses - Line 5</t>
  </si>
  <si>
    <t>Other Expenses - Line 6</t>
  </si>
  <si>
    <t>Other Expenses - Line 7</t>
  </si>
  <si>
    <t>Other Expenses - Line 8</t>
  </si>
  <si>
    <t>Other Expenses - Line 9</t>
  </si>
  <si>
    <t>Other Expenses - Line 10</t>
  </si>
  <si>
    <t>Consultant Services</t>
  </si>
  <si>
    <t>Alterations &amp; Renovations</t>
  </si>
  <si>
    <t xml:space="preserve">                     Patient Care: </t>
  </si>
  <si>
    <t xml:space="preserve">Check here if Animals are Off Site:    </t>
  </si>
  <si>
    <t>Inpatient</t>
  </si>
  <si>
    <t>Outpatient</t>
  </si>
  <si>
    <t>Consortium Costs</t>
  </si>
  <si>
    <t>SUBAWARDS</t>
  </si>
  <si>
    <t>SUBAWARD #1</t>
  </si>
  <si>
    <t>Issued to:</t>
  </si>
  <si>
    <t>Subaward Direct:</t>
  </si>
  <si>
    <t>Subaward Indirect:</t>
  </si>
  <si>
    <t>TOTAL SUBAWARD</t>
  </si>
  <si>
    <t>Partners Indirect Costs:</t>
  </si>
  <si>
    <t>TOTAL COSTS</t>
  </si>
  <si>
    <t>SUBAWARD #2</t>
  </si>
  <si>
    <t>SUBAWARD #3</t>
  </si>
  <si>
    <t>SUBAWARD #4</t>
  </si>
  <si>
    <t>SUBAWARD #5</t>
  </si>
  <si>
    <t>SUBAWARD #6</t>
  </si>
  <si>
    <t>SUBAWARD #7</t>
  </si>
  <si>
    <t>SUBAWARD #8</t>
  </si>
  <si>
    <t>SUBAWARD #9</t>
  </si>
  <si>
    <t>SUBAWARD #10</t>
  </si>
  <si>
    <t>SUBAWARD #11</t>
  </si>
  <si>
    <t>SUBAWARD #12</t>
  </si>
  <si>
    <t>SUBAWARD #13</t>
  </si>
  <si>
    <t>SUBAWARD #14</t>
  </si>
  <si>
    <t>SUBAWARD #15</t>
  </si>
  <si>
    <r>
      <t>Awarded Direct</t>
    </r>
    <r>
      <rPr>
        <sz val="8"/>
        <rFont val="Arial"/>
        <family val="2"/>
      </rPr>
      <t xml:space="preserve"> (All Contracts)</t>
    </r>
  </si>
  <si>
    <r>
      <t>Award Indirect</t>
    </r>
    <r>
      <rPr>
        <sz val="8"/>
        <rFont val="Arial"/>
        <family val="2"/>
      </rPr>
      <t xml:space="preserve"> (All Contracts)</t>
    </r>
  </si>
  <si>
    <t>TOTAL SUBAWARDS</t>
  </si>
  <si>
    <t>IDC</t>
  </si>
  <si>
    <t>MTDC</t>
  </si>
  <si>
    <t>Salary</t>
  </si>
  <si>
    <t>Fringe</t>
  </si>
  <si>
    <t>Subtotal</t>
  </si>
  <si>
    <t>Materials &amp; Supplies</t>
  </si>
  <si>
    <t>Other Expenses</t>
  </si>
  <si>
    <t>Direct 
Costs (Excluding Sub IDC)</t>
  </si>
  <si>
    <t>Total Direct Costs</t>
  </si>
  <si>
    <t>Indirect Costs</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</si>
  <si>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</si>
  <si>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</si>
  <si>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</si>
  <si>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</si>
  <si>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</si>
  <si>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</si>
  <si>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</si>
  <si>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</si>
  <si>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</si>
  <si>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</si>
  <si>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</si>
  <si>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</si>
  <si>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</si>
  <si>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</si>
  <si>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</si>
  <si>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</si>
  <si>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</si>
  <si>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</si>
  <si>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Note 19:</t>
  </si>
  <si>
    <t>Note 20:</t>
  </si>
  <si>
    <t>Note 21:</t>
  </si>
  <si>
    <t>Note 22:</t>
  </si>
  <si>
    <t>Note 23:</t>
  </si>
  <si>
    <t>Note 24:</t>
  </si>
  <si>
    <t>Note 25:</t>
  </si>
  <si>
    <t>Note 26:</t>
  </si>
  <si>
    <t>Note 27:</t>
  </si>
  <si>
    <t>Note 28:</t>
  </si>
  <si>
    <r>
      <t xml:space="preserve">                                    Modular Budget </t>
    </r>
    <r>
      <rPr>
        <sz val="8"/>
        <color indexed="12"/>
        <rFont val="Arial"/>
        <family val="2"/>
      </rPr>
      <t>(click here for the Instructions)</t>
    </r>
  </si>
  <si>
    <t xml:space="preserve">Budget Category </t>
  </si>
  <si>
    <t>Total</t>
  </si>
  <si>
    <r>
      <t xml:space="preserve">Direct Cost </t>
    </r>
    <r>
      <rPr>
        <b/>
        <i/>
        <sz val="10"/>
        <rFont val="Arial"/>
        <family val="2"/>
      </rPr>
      <t>(less consortium F&amp;A if applicable)</t>
    </r>
  </si>
  <si>
    <t>Use Drop Down Arrow to Select Specific Modular Budget</t>
  </si>
  <si>
    <t>Modular Direct</t>
  </si>
  <si>
    <t>*Subcontract Indirect Costs (All)</t>
  </si>
  <si>
    <t>Total Direct Cost</t>
  </si>
  <si>
    <t>Total Exclusions</t>
  </si>
  <si>
    <t>Total MTDC</t>
  </si>
  <si>
    <t>Total Grant Costs</t>
  </si>
  <si>
    <t>MTDC - Amount</t>
  </si>
  <si>
    <t>Indirect Costs - Amount</t>
  </si>
  <si>
    <t xml:space="preserve">Indirect Costs - Rate </t>
  </si>
  <si>
    <t>Year 8</t>
  </si>
  <si>
    <t>Year 9</t>
  </si>
  <si>
    <t>Year 10</t>
  </si>
  <si>
    <t>Equipment IDC Exempt</t>
  </si>
  <si>
    <t>S6Y1</t>
  </si>
  <si>
    <t>S6Y2</t>
  </si>
  <si>
    <t>S6Y3</t>
  </si>
  <si>
    <t>S6Y4</t>
  </si>
  <si>
    <t>S6Y5</t>
  </si>
  <si>
    <t>S6Y6</t>
  </si>
  <si>
    <t>S6Y7</t>
  </si>
  <si>
    <t>S6Y8</t>
  </si>
  <si>
    <t>S6Y9</t>
  </si>
  <si>
    <t>S6Y10</t>
  </si>
  <si>
    <t>S7Y1</t>
  </si>
  <si>
    <t>S7Y2</t>
  </si>
  <si>
    <t>S7Y3</t>
  </si>
  <si>
    <t>S7Y4</t>
  </si>
  <si>
    <t>S7Y5</t>
  </si>
  <si>
    <t>S7Y6</t>
  </si>
  <si>
    <t>S7Y7</t>
  </si>
  <si>
    <t>S7Y8</t>
  </si>
  <si>
    <t>S7Y9</t>
  </si>
  <si>
    <t>S7Y10</t>
  </si>
  <si>
    <t>s8Y1</t>
  </si>
  <si>
    <t>s8Y2</t>
  </si>
  <si>
    <t>s8Y3</t>
  </si>
  <si>
    <t>s8Y4</t>
  </si>
  <si>
    <t>s8Y5</t>
  </si>
  <si>
    <t>s8Y6</t>
  </si>
  <si>
    <t>s8Y7</t>
  </si>
  <si>
    <t>s8Y8</t>
  </si>
  <si>
    <t>s8Y9</t>
  </si>
  <si>
    <t>s8Y10</t>
  </si>
  <si>
    <t>s9Y1</t>
  </si>
  <si>
    <t>s9Y2</t>
  </si>
  <si>
    <t>s9Y3</t>
  </si>
  <si>
    <t>s9Y4</t>
  </si>
  <si>
    <t>s9Y5</t>
  </si>
  <si>
    <t>s9Y6</t>
  </si>
  <si>
    <t>s9Y7</t>
  </si>
  <si>
    <t>s9Y8</t>
  </si>
  <si>
    <t>s9Y9</t>
  </si>
  <si>
    <t>s9Y10</t>
  </si>
  <si>
    <t>2)     The template is made up of individual spreadsheets with fields highlighted in light blue that can be updated by the users and fields that automatically calculate based on information entered into the light blue fields.   All formulas are locked so the only area that a user can (should be) enter data is in the fields highlighted light blue.</t>
  </si>
  <si>
    <t>IHP</t>
  </si>
  <si>
    <t>Professional-PhDs</t>
  </si>
  <si>
    <t>Interns, Residents</t>
  </si>
  <si>
    <t>Offsite</t>
  </si>
  <si>
    <t>Professional-MDs</t>
  </si>
  <si>
    <t>McLean</t>
  </si>
  <si>
    <t>McLean All Staff</t>
  </si>
  <si>
    <t>On-Campus</t>
  </si>
  <si>
    <t>Off-Campus</t>
  </si>
  <si>
    <t>Note:</t>
  </si>
  <si>
    <t>Rates in italics are provisional or projected rates.</t>
  </si>
  <si>
    <t>Partners HealthCare System</t>
  </si>
  <si>
    <t>Table of Fringe and Indirect Cost Rates for Partners Entities</t>
  </si>
  <si>
    <t>Provided by:</t>
  </si>
  <si>
    <t>M. Waugh, Research Applications &amp; Analytics</t>
  </si>
  <si>
    <t>SERI</t>
  </si>
  <si>
    <t>MEE</t>
  </si>
  <si>
    <r>
      <t>7)</t>
    </r>
    <r>
      <rPr>
        <sz val="7"/>
        <rFont val="Times New Roman"/>
        <family val="1"/>
      </rPr>
      <t xml:space="preserve">      </t>
    </r>
    <r>
      <rPr>
        <sz val="12"/>
        <rFont val="Times New Roman"/>
        <family val="1"/>
      </rPr>
      <t>“5. CUMULATIVE BUDGET” and “Modular Budget” Sheets will be automatically populated.</t>
    </r>
  </si>
  <si>
    <r>
      <t>3)</t>
    </r>
    <r>
      <rPr>
        <sz val="7"/>
        <rFont val="Times New Roman"/>
        <family val="1"/>
      </rPr>
      <t xml:space="preserve">      </t>
    </r>
    <r>
      <rPr>
        <sz val="12"/>
        <rFont val="Times New Roman"/>
        <family val="1"/>
      </rPr>
      <t>Click on the first tab, “1. SUMMARY &amp; INSTRUCTIONS” (This is the sheet located on the far left within the workbook.)</t>
    </r>
  </si>
  <si>
    <t>Prof Staff/Non Prof</t>
  </si>
  <si>
    <t>Residents/Fellows</t>
  </si>
  <si>
    <t>Students/Temporary</t>
  </si>
  <si>
    <t>NWH</t>
  </si>
  <si>
    <t>Bulfinch Temp</t>
  </si>
  <si>
    <t>Interns/Residents</t>
  </si>
  <si>
    <t>MD/PHD</t>
  </si>
  <si>
    <t>Non-Professional</t>
  </si>
  <si>
    <t>MGB Institution:</t>
  </si>
  <si>
    <t>Complete each of the fields highlighted in light blue in the Summary and Instruction worksheet.  All of these fields drive formulas that are used in the template.  Two of the fields (MGB Institution and F&amp;A Rate) are drop down selections and must be selected from the drop down categories as these selections calculate the appropriate fringe, F&amp;A and exclusion categories for the institution.</t>
  </si>
  <si>
    <t xml:space="preserve">          ii.      MGB Institution:  (Select from the drop down)</t>
  </si>
  <si>
    <t xml:space="preserve">(The MGB Indirect Costs rates will automatically be calculated) </t>
  </si>
  <si>
    <t>1)      Confirm that you are using the most updated version of the template (found on the MGB intranet site).</t>
  </si>
  <si>
    <t>FY22-10year-10/26/2021</t>
  </si>
  <si>
    <t>Updates v2021-10-26</t>
  </si>
  <si>
    <t>Need to confirm NWH FY22 fringe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</si>
</sst>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yy"/>
    <numFmt numFmtId="165" formatCode="_(&quot;$&quot;* #,##0_);_(&quot;$&quot;* \(#,##0\);_(&quot;$&quot;* &quot;-&quot;??_);_(@_)"/>
    <numFmt numFmtId="166" formatCode="&quot;$&quot;#,##0"/>
    <numFmt numFmtId="167" formatCode="0.0%"/>
    <numFmt numFmtId="168" formatCode="m/d/yy;@"/>
    <numFmt numFmtId="169" formatCode="_(* #,##0_);_(* \(#,##0\);_(* &quot;-&quot;??_);_(@_)"/>
    <numFmt numFmtId="170" formatCode="#,##0.;\(#,##0\)"/>
  </numFmts>
  <fonts count="57">
    <font>
      <sz val="11"/>
      <color theme="1"/>
      <name val="Calibri"/>
      <family val="2"/>
      <scheme val="minor"/>
    </font>
    <font>
      <sz val="6"/>
      <name val="Arial"/>
      <family val="2"/>
    </font>
    <font>
      <b/>
      <sz val="14"/>
      <name val="Times New Roman"/>
      <family val="1"/>
    </font>
    <font>
      <sz val="12"/>
      <name val="Times New Roman"/>
      <family val="1"/>
    </font>
    <font>
      <sz val="7"/>
      <name val="Times New Roman"/>
      <family val="1"/>
    </font>
    <font>
      <sz val="11"/>
      <name val="Times New Roman"/>
      <family val="1"/>
    </font>
    <font>
      <b/>
      <sz val="11"/>
      <name val="Times New Roman"/>
      <family val="1"/>
    </font>
    <font>
      <b/>
      <sz val="12"/>
      <name val="Times New Roman"/>
      <family val="1"/>
    </font>
    <font>
      <b/>
      <sz val="7"/>
      <name val="Times New Roman"/>
      <family val="1"/>
    </font>
    <font>
      <sz val="11"/>
      <name val="Arial"/>
      <family val="2"/>
    </font>
    <font>
      <u/>
      <sz val="10"/>
      <color indexed="12"/>
      <name val="Arial"/>
      <family val="2"/>
    </font>
    <font>
      <b/>
      <u/>
      <sz val="10"/>
      <color indexed="12"/>
      <name val="Arial"/>
      <family val="2"/>
    </font>
    <font>
      <b/>
      <sz val="12"/>
      <name val="Arial"/>
      <family val="2"/>
    </font>
    <font>
      <b/>
      <sz val="10"/>
      <name val="Arial"/>
      <family val="2"/>
    </font>
    <font>
      <sz val="10"/>
      <name val="Arial"/>
      <family val="2"/>
    </font>
    <font>
      <b/>
      <sz val="10"/>
      <color indexed="8"/>
      <name val="Arial"/>
      <family val="2"/>
    </font>
    <font>
      <sz val="10"/>
      <color indexed="9"/>
      <name val="Arial"/>
      <family val="2"/>
    </font>
    <font>
      <b/>
      <sz val="10"/>
      <color indexed="9"/>
      <name val="Arial"/>
      <family val="2"/>
    </font>
    <font>
      <i/>
      <sz val="10"/>
      <color indexed="9"/>
      <name val="Arial"/>
      <family val="2"/>
    </font>
    <font>
      <sz val="10"/>
      <color indexed="44"/>
      <name val="Arial"/>
      <family val="2"/>
    </font>
    <font>
      <sz val="9"/>
      <name val="Arial"/>
      <family val="2"/>
    </font>
    <font>
      <b/>
      <sz val="9"/>
      <name val="Arial"/>
      <family val="2"/>
    </font>
    <font>
      <sz val="9"/>
      <color indexed="10"/>
      <name val="Arial"/>
      <family val="2"/>
    </font>
    <font>
      <sz val="8"/>
      <name val="Arial"/>
      <family val="2"/>
    </font>
    <font>
      <i/>
      <u/>
      <sz val="10"/>
      <name val="Arial"/>
      <family val="2"/>
    </font>
    <font>
      <sz val="10"/>
      <color indexed="10"/>
      <name val="Arial"/>
      <family val="2"/>
    </font>
    <font>
      <b/>
      <u/>
      <sz val="12"/>
      <name val="Arial"/>
      <family val="2"/>
    </font>
    <font>
      <sz val="10"/>
      <name val="Hospital"/>
    </font>
    <font>
      <i/>
      <sz val="10"/>
      <name val="Arial"/>
      <family val="2"/>
    </font>
    <font>
      <b/>
      <u/>
      <sz val="10"/>
      <name val="Arial"/>
      <family val="2"/>
    </font>
    <font>
      <b/>
      <sz val="8"/>
      <color indexed="9"/>
      <name val="Arial"/>
      <family val="2"/>
    </font>
    <font>
      <b/>
      <sz val="10"/>
      <color indexed="10"/>
      <name val="Arial"/>
      <family val="2"/>
    </font>
    <font>
      <b/>
      <sz val="8"/>
      <color indexed="81"/>
      <name val="Tahoma"/>
      <family val="2"/>
    </font>
    <font>
      <sz val="8"/>
      <color indexed="81"/>
      <name val="Tahoma"/>
      <family val="2"/>
    </font>
    <font>
      <sz val="10"/>
      <color indexed="8"/>
      <name val="Arial"/>
      <family val="2"/>
    </font>
    <font>
      <sz val="12"/>
      <name val="Arial"/>
      <family val="2"/>
    </font>
    <font>
      <sz val="12"/>
      <color indexed="12"/>
      <name val="Arial"/>
      <family val="2"/>
    </font>
    <font>
      <sz val="14"/>
      <color indexed="12"/>
      <name val="Arial"/>
      <family val="2"/>
    </font>
    <font>
      <sz val="8"/>
      <color indexed="12"/>
      <name val="Arial"/>
      <family val="2"/>
    </font>
    <font>
      <b/>
      <i/>
      <sz val="10"/>
      <name val="Arial"/>
      <family val="2"/>
    </font>
    <font>
      <b/>
      <sz val="10"/>
      <color indexed="21"/>
      <name val="Arial"/>
      <family val="2"/>
    </font>
    <font>
      <sz val="10"/>
      <name val="Geneva"/>
      <family val="2"/>
    </font>
    <font>
      <i/>
      <sz val="10"/>
      <color indexed="10"/>
      <name val="Arial"/>
      <family val="2"/>
    </font>
    <font>
      <sz val="11"/>
      <color theme="1"/>
      <name val="Calibri"/>
      <family val="2"/>
      <scheme val="minor"/>
    </font>
    <font>
      <sz val="11"/>
      <name val="Calibri"/>
      <family val="2"/>
      <scheme val="minor"/>
    </font>
    <font>
      <b/>
      <sz val="11"/>
      <name val="Calibri"/>
      <family val="2"/>
      <scheme val="minor"/>
    </font>
    <font>
      <b/>
      <sz val="10"/>
      <color theme="0" tint="-4.9989318521683403E-2"/>
      <name val="Arial"/>
      <family val="2"/>
    </font>
    <font>
      <i/>
      <sz val="10"/>
      <color rgb="FFFF0000"/>
      <name val="Arial"/>
      <family val="2"/>
    </font>
    <font>
      <sz val="10"/>
      <color rgb="FFFF0000"/>
      <name val="Arial"/>
      <family val="2"/>
    </font>
    <font>
      <sz val="8"/>
      <color theme="1"/>
      <name val="Arial"/>
      <family val="2"/>
    </font>
    <font>
      <b/>
      <sz val="10"/>
      <color theme="1"/>
      <name val="Arial"/>
      <family val="2"/>
    </font>
    <font>
      <sz val="10"/>
      <color theme="1"/>
      <name val="Arial"/>
      <family val="2"/>
    </font>
    <font>
      <sz val="8"/>
      <color rgb="FF000000"/>
      <name val="Tahoma"/>
      <family val="2"/>
    </font>
    <font>
      <u/>
      <sz val="20"/>
      <color rgb="FFFF0000"/>
      <name val="Calibri"/>
      <family val="2"/>
      <scheme val="minor"/>
    </font>
    <font>
      <sz val="9"/>
      <color rgb="FFFF0000"/>
      <name val="Arial"/>
      <family val="2"/>
    </font>
    <font>
      <b/>
      <i/>
      <u/>
      <sz val="10"/>
      <name val="Arial"/>
      <family val="2"/>
    </font>
    <font>
      <sz val="11"/>
      <color rgb="FF000000"/>
      <name val="Calibri"/>
      <family val="2"/>
    </font>
  </fonts>
  <fills count="3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6"/>
        <bgColor indexed="64"/>
      </patternFill>
    </fill>
    <fill>
      <patternFill patternType="solid">
        <fgColor indexed="48"/>
        <bgColor indexed="64"/>
      </patternFill>
    </fill>
    <fill>
      <patternFill patternType="gray125">
        <fgColor indexed="22"/>
        <bgColor indexed="9"/>
      </patternFill>
    </fill>
    <fill>
      <patternFill patternType="solid">
        <fgColor indexed="22"/>
        <bgColor indexed="64"/>
      </patternFill>
    </fill>
    <fill>
      <patternFill patternType="solid">
        <fgColor indexed="47"/>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39988402966399123"/>
        <bgColor indexed="65"/>
      </patternFill>
    </fill>
    <fill>
      <patternFill patternType="solid">
        <fgColor rgb="FF3366FF"/>
        <bgColor indexed="64"/>
      </patternFill>
    </fill>
    <fill>
      <patternFill patternType="solid">
        <fgColor rgb="FF9BC2E6"/>
        <bgColor indexed="64"/>
      </patternFill>
    </fill>
    <fill>
      <patternFill patternType="solid">
        <fgColor rgb="FFFFFFCC"/>
        <bgColor indexed="64"/>
      </patternFill>
    </fill>
    <fill>
      <patternFill patternType="solid">
        <fgColor rgb="FFFFFF00"/>
        <bgColor indexed="64"/>
      </patternFill>
    </fill>
    <fill>
      <patternFill patternType="solid">
        <fgColor rgb="FFB4C6E7"/>
        <bgColor indexed="64"/>
      </patternFill>
    </fill>
    <fill>
      <patternFill patternType="solid">
        <fgColor rgb="FFD9E1F2"/>
        <bgColor indexed="64"/>
      </patternFill>
    </fill>
  </fills>
  <borders count="7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medium">
        <color rgb="FFFFFFFF"/>
      </right>
      <top/>
      <bottom style="medium">
        <color rgb="FFFFFFFF"/>
      </bottom>
      <diagonal/>
    </border>
  </borders>
  <cellStyleXfs count="10">
    <xf numFmtId="0" fontId="0" fillId="0" borderId="0"/>
    <xf numFmtId="43" fontId="43" fillId="0" borderId="0" applyFont="0" applyFill="0" applyBorder="0" applyAlignment="0" applyProtection="0"/>
    <xf numFmtId="43" fontId="14" fillId="0" borderId="0" applyFont="0" applyFill="0" applyBorder="0" applyAlignment="0" applyProtection="0"/>
    <xf numFmtId="44" fontId="43" fillId="0" borderId="0" applyFont="0" applyFill="0" applyBorder="0" applyAlignment="0" applyProtection="0"/>
    <xf numFmtId="44" fontId="14" fillId="0" borderId="0" applyFont="0" applyFill="0" applyBorder="0" applyAlignment="0" applyProtection="0"/>
    <xf numFmtId="0" fontId="10" fillId="0" borderId="0" applyNumberFormat="0" applyFill="0" applyBorder="0" applyAlignment="0" applyProtection="0">
      <alignment vertical="top"/>
      <protection locked="0"/>
    </xf>
    <xf numFmtId="0" fontId="14" fillId="0" borderId="0"/>
    <xf numFmtId="0" fontId="41" fillId="0" borderId="0"/>
    <xf numFmtId="9" fontId="43" fillId="0" borderId="0" applyFont="0" applyFill="0" applyBorder="0" applyAlignment="0" applyProtection="0"/>
    <xf numFmtId="9" fontId="14" fillId="0" borderId="0" applyFont="0" applyFill="0" applyBorder="0" applyAlignment="0" applyProtection="0"/>
  </cellStyleXfs>
  <cellXfs count="593">
    <xf numFmtId="0" fontId="0" fillId="0" borderId="0" xfId="0"/>
    <xf numFmtId="0" fontId="0" fillId="2" borderId="0" xfId="0" applyFill="1" applyProtection="1"/>
    <xf numFmtId="0" fontId="1" fillId="2" borderId="0" xfId="0" applyFont="1" applyFill="1" applyBorder="1" applyAlignment="1" applyProtection="1">
      <alignment horizontal="right" vertical="top"/>
      <protection hidden="1"/>
    </xf>
    <xf numFmtId="0" fontId="2" fillId="2" borderId="0" xfId="0" applyFont="1" applyFill="1" applyAlignment="1" applyProtection="1">
      <alignment horizontal="justify"/>
    </xf>
    <xf numFmtId="0" fontId="3" fillId="2" borderId="0" xfId="0" applyFont="1" applyFill="1" applyAlignment="1" applyProtection="1">
      <alignment horizontal="justify"/>
    </xf>
    <xf numFmtId="0" fontId="5" fillId="2" borderId="0" xfId="0" applyFont="1" applyFill="1" applyAlignment="1" applyProtection="1">
      <alignment horizontal="justify"/>
    </xf>
    <xf numFmtId="0" fontId="6" fillId="2" borderId="0" xfId="0" applyFont="1" applyFill="1" applyAlignment="1" applyProtection="1">
      <alignment horizontal="left" vertical="top" wrapText="1"/>
    </xf>
    <xf numFmtId="0" fontId="3" fillId="2" borderId="0" xfId="0" applyFont="1" applyFill="1" applyAlignment="1" applyProtection="1">
      <alignment horizontal="justify" wrapText="1"/>
    </xf>
    <xf numFmtId="0" fontId="3" fillId="2" borderId="1" xfId="0" applyFont="1" applyFill="1" applyBorder="1" applyAlignment="1" applyProtection="1">
      <alignment horizontal="justify"/>
      <protection locked="0" hidden="1"/>
    </xf>
    <xf numFmtId="0" fontId="0" fillId="2" borderId="0" xfId="0" applyFill="1" applyBorder="1" applyProtection="1"/>
    <xf numFmtId="0" fontId="0" fillId="2" borderId="2" xfId="0" applyFill="1" applyBorder="1" applyProtection="1"/>
    <xf numFmtId="0" fontId="9" fillId="2" borderId="1" xfId="0" applyFont="1" applyFill="1" applyBorder="1" applyProtection="1"/>
    <xf numFmtId="0" fontId="9" fillId="2" borderId="0" xfId="0" applyFont="1" applyFill="1" applyBorder="1" applyProtection="1"/>
    <xf numFmtId="0" fontId="9" fillId="2" borderId="2" xfId="0" applyFont="1" applyFill="1" applyBorder="1" applyProtection="1"/>
    <xf numFmtId="0" fontId="0" fillId="2" borderId="1" xfId="0" applyFill="1" applyBorder="1" applyProtection="1"/>
    <xf numFmtId="0" fontId="10" fillId="0" borderId="0" xfId="5" applyAlignment="1" applyProtection="1"/>
    <xf numFmtId="0" fontId="0" fillId="2" borderId="3" xfId="0" applyFill="1" applyBorder="1" applyProtection="1"/>
    <xf numFmtId="0" fontId="0" fillId="2" borderId="4" xfId="0" applyFill="1" applyBorder="1" applyProtection="1"/>
    <xf numFmtId="0" fontId="12" fillId="2" borderId="0" xfId="0" applyFont="1" applyFill="1" applyProtection="1"/>
    <xf numFmtId="0" fontId="13" fillId="2" borderId="0" xfId="0" applyFont="1" applyFill="1" applyBorder="1" applyAlignment="1"/>
    <xf numFmtId="164" fontId="15" fillId="3" borderId="5" xfId="8" applyNumberFormat="1" applyFont="1" applyFill="1" applyBorder="1" applyAlignment="1"/>
    <xf numFmtId="164" fontId="15" fillId="3" borderId="6" xfId="0" applyNumberFormat="1" applyFont="1" applyFill="1" applyBorder="1" applyAlignment="1"/>
    <xf numFmtId="14" fontId="15" fillId="3" borderId="6" xfId="0" applyNumberFormat="1" applyFont="1" applyFill="1" applyBorder="1" applyAlignment="1">
      <alignment horizontal="center"/>
    </xf>
    <xf numFmtId="164" fontId="15" fillId="3" borderId="7" xfId="0" applyNumberFormat="1" applyFont="1" applyFill="1" applyBorder="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center"/>
    </xf>
    <xf numFmtId="10" fontId="15" fillId="3" borderId="8" xfId="8" applyNumberFormat="1" applyFont="1" applyFill="1" applyBorder="1" applyAlignment="1">
      <alignment horizontal="center" wrapText="1"/>
    </xf>
    <xf numFmtId="0" fontId="15" fillId="3" borderId="6" xfId="0" applyFont="1" applyFill="1" applyBorder="1" applyAlignment="1">
      <alignment horizontal="center" wrapText="1"/>
    </xf>
    <xf numFmtId="0" fontId="15" fillId="3" borderId="9" xfId="0" applyFont="1" applyFill="1" applyBorder="1" applyAlignment="1">
      <alignment horizontal="center" wrapText="1"/>
    </xf>
    <xf numFmtId="0" fontId="16" fillId="2" borderId="0" xfId="0" applyFont="1" applyFill="1" applyBorder="1" applyAlignment="1" applyProtection="1">
      <alignment wrapText="1"/>
      <protection hidden="1"/>
    </xf>
    <xf numFmtId="10" fontId="16" fillId="2" borderId="0" xfId="8" applyNumberFormat="1" applyFont="1" applyFill="1" applyBorder="1" applyAlignment="1" applyProtection="1">
      <alignment wrapText="1"/>
      <protection hidden="1"/>
    </xf>
    <xf numFmtId="0" fontId="14" fillId="4" borderId="10" xfId="0" applyFont="1" applyFill="1" applyBorder="1" applyProtection="1">
      <protection locked="0"/>
    </xf>
    <xf numFmtId="0" fontId="14" fillId="4" borderId="5" xfId="0" applyFont="1" applyFill="1" applyBorder="1" applyProtection="1">
      <protection locked="0"/>
    </xf>
    <xf numFmtId="0" fontId="14" fillId="4" borderId="5" xfId="0" applyFont="1" applyFill="1" applyBorder="1" applyAlignment="1" applyProtection="1">
      <protection locked="0" hidden="1"/>
    </xf>
    <xf numFmtId="10" fontId="14" fillId="4" borderId="11" xfId="8" applyNumberFormat="1" applyFont="1" applyFill="1" applyBorder="1" applyProtection="1">
      <protection locked="0"/>
    </xf>
    <xf numFmtId="2" fontId="14" fillId="2" borderId="10" xfId="0" applyNumberFormat="1" applyFont="1" applyFill="1" applyBorder="1" applyProtection="1">
      <protection hidden="1"/>
    </xf>
    <xf numFmtId="165" fontId="14" fillId="4" borderId="10" xfId="1" applyNumberFormat="1" applyFont="1" applyFill="1" applyBorder="1" applyProtection="1">
      <protection locked="0"/>
    </xf>
    <xf numFmtId="165" fontId="14" fillId="2" borderId="10" xfId="3" applyNumberFormat="1" applyFont="1" applyFill="1" applyBorder="1" applyProtection="1">
      <protection hidden="1"/>
    </xf>
    <xf numFmtId="165" fontId="13" fillId="5" borderId="10" xfId="3" applyNumberFormat="1" applyFont="1" applyFill="1" applyBorder="1" applyProtection="1">
      <protection hidden="1"/>
    </xf>
    <xf numFmtId="165" fontId="13" fillId="2" borderId="12" xfId="3" applyNumberFormat="1" applyFont="1" applyFill="1" applyBorder="1" applyProtection="1">
      <protection hidden="1"/>
    </xf>
    <xf numFmtId="0" fontId="13" fillId="2" borderId="0" xfId="0" applyFont="1" applyFill="1" applyProtection="1"/>
    <xf numFmtId="14" fontId="0" fillId="2" borderId="0" xfId="0" applyNumberFormat="1" applyFill="1" applyProtection="1"/>
    <xf numFmtId="0" fontId="0" fillId="2" borderId="3" xfId="0" applyFill="1" applyBorder="1" applyAlignment="1" applyProtection="1">
      <alignment horizontal="right"/>
    </xf>
    <xf numFmtId="9" fontId="43" fillId="2" borderId="3" xfId="8" applyNumberFormat="1" applyFont="1" applyFill="1" applyBorder="1" applyProtection="1"/>
    <xf numFmtId="0" fontId="0" fillId="2" borderId="0" xfId="0" applyFill="1" applyAlignment="1" applyProtection="1">
      <alignment horizontal="right"/>
    </xf>
    <xf numFmtId="9" fontId="43" fillId="2" borderId="0" xfId="8" applyNumberFormat="1" applyFont="1" applyFill="1" applyProtection="1"/>
    <xf numFmtId="166" fontId="43" fillId="2" borderId="5" xfId="3" applyNumberFormat="1" applyFont="1" applyFill="1" applyBorder="1" applyProtection="1"/>
    <xf numFmtId="0" fontId="0" fillId="2" borderId="6" xfId="0" quotePrefix="1" applyFill="1" applyBorder="1" applyProtection="1"/>
    <xf numFmtId="166" fontId="43" fillId="2" borderId="6" xfId="3" applyNumberFormat="1" applyFont="1" applyFill="1" applyBorder="1" applyProtection="1"/>
    <xf numFmtId="0" fontId="0" fillId="2" borderId="7" xfId="0" applyFill="1" applyBorder="1" applyProtection="1"/>
    <xf numFmtId="166" fontId="0" fillId="2" borderId="0" xfId="0" applyNumberFormat="1" applyFill="1" applyProtection="1"/>
    <xf numFmtId="0" fontId="0" fillId="6" borderId="13" xfId="0" applyFill="1" applyBorder="1" applyProtection="1"/>
    <xf numFmtId="0" fontId="0" fillId="6" borderId="14" xfId="0" applyFill="1" applyBorder="1" applyAlignment="1" applyProtection="1">
      <alignment horizontal="right"/>
    </xf>
    <xf numFmtId="166" fontId="43" fillId="6" borderId="15" xfId="3" applyNumberFormat="1" applyFont="1" applyFill="1" applyBorder="1" applyProtection="1"/>
    <xf numFmtId="0" fontId="0" fillId="7" borderId="13" xfId="0" applyFill="1" applyBorder="1" applyProtection="1"/>
    <xf numFmtId="0" fontId="0" fillId="7" borderId="14" xfId="0" applyFill="1" applyBorder="1" applyAlignment="1" applyProtection="1">
      <alignment horizontal="right"/>
    </xf>
    <xf numFmtId="166" fontId="43" fillId="7" borderId="15" xfId="3" applyNumberFormat="1" applyFont="1" applyFill="1" applyBorder="1" applyProtection="1"/>
    <xf numFmtId="0" fontId="0" fillId="6" borderId="1" xfId="0" applyFill="1" applyBorder="1" applyProtection="1"/>
    <xf numFmtId="0" fontId="0" fillId="6" borderId="0" xfId="0" applyFill="1" applyBorder="1" applyAlignment="1" applyProtection="1">
      <alignment horizontal="right"/>
    </xf>
    <xf numFmtId="0" fontId="0" fillId="6" borderId="4" xfId="0" quotePrefix="1" applyFill="1" applyBorder="1" applyAlignment="1" applyProtection="1">
      <alignment horizontal="right"/>
    </xf>
    <xf numFmtId="0" fontId="0" fillId="7" borderId="1" xfId="0" applyFill="1" applyBorder="1" applyProtection="1"/>
    <xf numFmtId="0" fontId="0" fillId="7" borderId="0" xfId="0" applyFill="1" applyBorder="1" applyAlignment="1" applyProtection="1">
      <alignment horizontal="right"/>
    </xf>
    <xf numFmtId="0" fontId="0" fillId="7" borderId="4" xfId="0" quotePrefix="1" applyFill="1" applyBorder="1" applyAlignment="1" applyProtection="1">
      <alignment horizontal="right"/>
    </xf>
    <xf numFmtId="166" fontId="43" fillId="7" borderId="4" xfId="3" applyNumberFormat="1" applyFont="1" applyFill="1" applyBorder="1" applyProtection="1"/>
    <xf numFmtId="166" fontId="43" fillId="6" borderId="2" xfId="3" applyNumberFormat="1" applyFont="1" applyFill="1" applyBorder="1" applyProtection="1"/>
    <xf numFmtId="166" fontId="43" fillId="7" borderId="2" xfId="3" applyNumberFormat="1" applyFont="1" applyFill="1" applyBorder="1" applyProtection="1"/>
    <xf numFmtId="0" fontId="13" fillId="5" borderId="3" xfId="0" applyFont="1" applyFill="1" applyBorder="1" applyProtection="1"/>
    <xf numFmtId="0" fontId="13" fillId="5" borderId="3" xfId="0" applyFont="1" applyFill="1" applyBorder="1" applyAlignment="1" applyProtection="1">
      <alignment horizontal="right"/>
    </xf>
    <xf numFmtId="166" fontId="13" fillId="5" borderId="4" xfId="0" applyNumberFormat="1" applyFont="1" applyFill="1" applyBorder="1" applyProtection="1"/>
    <xf numFmtId="9" fontId="43" fillId="6" borderId="4" xfId="8" applyNumberFormat="1" applyFont="1" applyFill="1" applyBorder="1" applyAlignment="1" applyProtection="1">
      <alignment horizontal="right"/>
    </xf>
    <xf numFmtId="9" fontId="43" fillId="7" borderId="4" xfId="8" applyNumberFormat="1" applyFont="1" applyFill="1" applyBorder="1" applyAlignment="1" applyProtection="1">
      <alignment horizontal="right"/>
    </xf>
    <xf numFmtId="0" fontId="0" fillId="6" borderId="16" xfId="0" applyFill="1" applyBorder="1" applyProtection="1"/>
    <xf numFmtId="0" fontId="0" fillId="6" borderId="3" xfId="0" applyFill="1" applyBorder="1" applyAlignment="1" applyProtection="1">
      <alignment horizontal="right"/>
    </xf>
    <xf numFmtId="166" fontId="43" fillId="6" borderId="4" xfId="3" applyNumberFormat="1" applyFont="1" applyFill="1" applyBorder="1" applyProtection="1"/>
    <xf numFmtId="0" fontId="0" fillId="7" borderId="16" xfId="0" applyFill="1" applyBorder="1" applyProtection="1"/>
    <xf numFmtId="0" fontId="0" fillId="7" borderId="3" xfId="0" applyFill="1" applyBorder="1" applyAlignment="1" applyProtection="1">
      <alignment horizontal="right"/>
    </xf>
    <xf numFmtId="0" fontId="11" fillId="2" borderId="0" xfId="5" applyFont="1" applyFill="1" applyAlignment="1" applyProtection="1"/>
    <xf numFmtId="0" fontId="14" fillId="2" borderId="0" xfId="0" applyFont="1" applyFill="1" applyProtection="1"/>
    <xf numFmtId="0" fontId="0" fillId="2" borderId="0" xfId="0" applyFill="1" applyProtection="1">
      <protection locked="0"/>
    </xf>
    <xf numFmtId="0" fontId="17" fillId="2" borderId="0" xfId="0" applyFont="1" applyFill="1" applyBorder="1" applyProtection="1"/>
    <xf numFmtId="0" fontId="13" fillId="3" borderId="0" xfId="0" applyFont="1" applyFill="1" applyBorder="1" applyAlignment="1" applyProtection="1">
      <alignment horizontal="center"/>
      <protection hidden="1"/>
    </xf>
    <xf numFmtId="14" fontId="18" fillId="8" borderId="0" xfId="0" applyNumberFormat="1" applyFont="1" applyFill="1" applyAlignment="1" applyProtection="1">
      <alignment horizontal="left"/>
      <protection hidden="1"/>
    </xf>
    <xf numFmtId="14" fontId="18" fillId="8" borderId="0" xfId="0" applyNumberFormat="1" applyFont="1" applyFill="1" applyProtection="1">
      <protection hidden="1"/>
    </xf>
    <xf numFmtId="167" fontId="16" fillId="2" borderId="0" xfId="8" applyNumberFormat="1" applyFont="1" applyFill="1" applyBorder="1" applyAlignment="1" applyProtection="1">
      <alignment horizontal="right"/>
      <protection hidden="1"/>
    </xf>
    <xf numFmtId="0" fontId="17" fillId="9" borderId="17" xfId="0" applyFont="1" applyFill="1" applyBorder="1" applyProtection="1"/>
    <xf numFmtId="9" fontId="0" fillId="2" borderId="0" xfId="0" applyNumberFormat="1" applyFill="1" applyBorder="1" applyAlignment="1" applyProtection="1">
      <alignment horizontal="left"/>
    </xf>
    <xf numFmtId="0" fontId="0" fillId="2" borderId="0" xfId="0" applyFill="1" applyProtection="1">
      <protection hidden="1"/>
    </xf>
    <xf numFmtId="168" fontId="0" fillId="2" borderId="0" xfId="0" applyNumberFormat="1" applyFill="1" applyProtection="1">
      <protection hidden="1"/>
    </xf>
    <xf numFmtId="167" fontId="43" fillId="2" borderId="0" xfId="8" applyNumberFormat="1" applyFont="1" applyFill="1" applyProtection="1">
      <protection hidden="1"/>
    </xf>
    <xf numFmtId="0" fontId="0" fillId="2" borderId="0" xfId="0" applyFill="1" applyBorder="1" applyAlignment="1" applyProtection="1">
      <alignment horizontal="left" vertical="top"/>
    </xf>
    <xf numFmtId="0" fontId="14" fillId="2" borderId="0" xfId="0" applyFont="1" applyFill="1" applyProtection="1">
      <protection hidden="1"/>
    </xf>
    <xf numFmtId="0" fontId="14" fillId="2" borderId="0" xfId="0" applyFont="1" applyFill="1" applyBorder="1" applyAlignment="1" applyProtection="1">
      <alignment horizontal="left" vertical="top"/>
      <protection hidden="1"/>
    </xf>
    <xf numFmtId="0" fontId="0" fillId="2" borderId="0" xfId="0" applyFill="1" applyBorder="1" applyAlignment="1" applyProtection="1">
      <alignment horizontal="left" vertical="top"/>
      <protection hidden="1"/>
    </xf>
    <xf numFmtId="0" fontId="0" fillId="2" borderId="0" xfId="0" applyFill="1" applyBorder="1" applyAlignment="1" applyProtection="1">
      <alignment vertical="top"/>
    </xf>
    <xf numFmtId="0" fontId="14" fillId="0" borderId="0" xfId="6" applyProtection="1">
      <protection hidden="1"/>
    </xf>
    <xf numFmtId="0" fontId="14" fillId="0" borderId="0" xfId="6" applyAlignment="1" applyProtection="1">
      <protection hidden="1"/>
    </xf>
    <xf numFmtId="0" fontId="14" fillId="0" borderId="0" xfId="6" applyAlignment="1"/>
    <xf numFmtId="0" fontId="14" fillId="0" borderId="0" xfId="6" applyAlignment="1">
      <alignment vertical="top"/>
    </xf>
    <xf numFmtId="0" fontId="20" fillId="0" borderId="0" xfId="6" applyFont="1" applyProtection="1">
      <protection hidden="1"/>
    </xf>
    <xf numFmtId="0" fontId="20" fillId="0" borderId="0" xfId="6" applyFont="1" applyAlignment="1" applyProtection="1">
      <alignment horizontal="right"/>
      <protection hidden="1"/>
    </xf>
    <xf numFmtId="14" fontId="21" fillId="0" borderId="0" xfId="6" applyNumberFormat="1" applyFont="1" applyAlignment="1" applyProtection="1">
      <alignment horizontal="center"/>
      <protection hidden="1"/>
    </xf>
    <xf numFmtId="14" fontId="14" fillId="0" borderId="0" xfId="6" applyNumberFormat="1" applyProtection="1">
      <protection hidden="1"/>
    </xf>
    <xf numFmtId="0" fontId="20" fillId="0" borderId="0" xfId="6" applyFont="1" applyAlignment="1" applyProtection="1">
      <alignment horizontal="center"/>
      <protection hidden="1"/>
    </xf>
    <xf numFmtId="9" fontId="21" fillId="0" borderId="0" xfId="9" applyFont="1" applyFill="1" applyAlignment="1" applyProtection="1">
      <alignment horizontal="center"/>
      <protection hidden="1"/>
    </xf>
    <xf numFmtId="0" fontId="14" fillId="0" borderId="0" xfId="6" applyAlignment="1" applyProtection="1">
      <alignment horizontal="right"/>
      <protection hidden="1"/>
    </xf>
    <xf numFmtId="0" fontId="13" fillId="0" borderId="0" xfId="6" applyFont="1" applyAlignment="1" applyProtection="1">
      <alignment horizontal="right"/>
      <protection hidden="1"/>
    </xf>
    <xf numFmtId="167" fontId="43" fillId="0" borderId="0" xfId="9" applyNumberFormat="1" applyFont="1" applyProtection="1">
      <protection hidden="1"/>
    </xf>
    <xf numFmtId="0" fontId="14" fillId="0" borderId="0" xfId="6" applyFont="1" applyProtection="1">
      <protection hidden="1"/>
    </xf>
    <xf numFmtId="0" fontId="23" fillId="0" borderId="0" xfId="6" applyFont="1" applyProtection="1">
      <protection hidden="1"/>
    </xf>
    <xf numFmtId="9" fontId="43" fillId="0" borderId="0" xfId="9" applyFont="1" applyProtection="1">
      <protection hidden="1"/>
    </xf>
    <xf numFmtId="0" fontId="14" fillId="0" borderId="0" xfId="6" quotePrefix="1" applyProtection="1">
      <protection hidden="1"/>
    </xf>
    <xf numFmtId="0" fontId="24" fillId="2" borderId="0" xfId="6" applyFont="1" applyFill="1" applyBorder="1"/>
    <xf numFmtId="0" fontId="14" fillId="2" borderId="0" xfId="6" applyFont="1" applyFill="1" applyBorder="1" applyAlignment="1">
      <alignment horizontal="left"/>
    </xf>
    <xf numFmtId="10" fontId="14" fillId="2" borderId="0" xfId="9" applyNumberFormat="1" applyFont="1" applyFill="1" applyBorder="1"/>
    <xf numFmtId="0" fontId="14" fillId="2" borderId="0" xfId="6" applyFont="1" applyFill="1" applyBorder="1"/>
    <xf numFmtId="0" fontId="1" fillId="2" borderId="0" xfId="6" applyFont="1" applyFill="1" applyBorder="1" applyAlignment="1" applyProtection="1">
      <alignment horizontal="right" vertical="top"/>
      <protection hidden="1"/>
    </xf>
    <xf numFmtId="0" fontId="1" fillId="2" borderId="0" xfId="6" applyFont="1" applyFill="1" applyAlignment="1" applyProtection="1">
      <alignment horizontal="right" vertical="top"/>
    </xf>
    <xf numFmtId="0" fontId="14" fillId="2" borderId="0" xfId="6" applyFont="1" applyFill="1" applyBorder="1" applyProtection="1">
      <protection hidden="1"/>
    </xf>
    <xf numFmtId="0" fontId="13" fillId="2" borderId="0" xfId="6" applyFont="1" applyFill="1" applyBorder="1" applyAlignment="1"/>
    <xf numFmtId="10" fontId="13" fillId="2" borderId="0" xfId="9" applyNumberFormat="1" applyFont="1" applyFill="1" applyBorder="1" applyAlignment="1">
      <alignment horizontal="center"/>
    </xf>
    <xf numFmtId="0" fontId="13" fillId="2" borderId="0" xfId="6" applyFont="1" applyFill="1" applyBorder="1" applyAlignment="1">
      <alignment horizontal="center"/>
    </xf>
    <xf numFmtId="168" fontId="14" fillId="2" borderId="0" xfId="6" applyNumberFormat="1" applyFont="1" applyFill="1" applyBorder="1" applyAlignment="1" applyProtection="1">
      <protection hidden="1"/>
    </xf>
    <xf numFmtId="0" fontId="14" fillId="2" borderId="0" xfId="6" applyFont="1" applyFill="1" applyBorder="1" applyAlignment="1"/>
    <xf numFmtId="14" fontId="14" fillId="2" borderId="0" xfId="6" applyNumberFormat="1" applyFont="1" applyFill="1" applyBorder="1"/>
    <xf numFmtId="0" fontId="14" fillId="2" borderId="0" xfId="6" applyFont="1" applyFill="1" applyBorder="1" applyAlignment="1">
      <alignment horizontal="center"/>
    </xf>
    <xf numFmtId="0" fontId="25" fillId="2" borderId="0" xfId="6" applyFont="1" applyFill="1" applyBorder="1" applyAlignment="1">
      <alignment horizontal="center"/>
    </xf>
    <xf numFmtId="0" fontId="26" fillId="0" borderId="0" xfId="6" applyFont="1" applyFill="1" applyBorder="1" applyAlignment="1" applyProtection="1">
      <alignment horizontal="left"/>
      <protection hidden="1"/>
    </xf>
    <xf numFmtId="10" fontId="25" fillId="2" borderId="3" xfId="9" applyNumberFormat="1" applyFont="1" applyFill="1" applyBorder="1" applyAlignment="1">
      <alignment horizontal="center"/>
    </xf>
    <xf numFmtId="0" fontId="25" fillId="2" borderId="3" xfId="6" applyFont="1" applyFill="1" applyBorder="1" applyAlignment="1">
      <alignment horizontal="center"/>
    </xf>
    <xf numFmtId="164" fontId="15" fillId="3" borderId="5" xfId="9" applyNumberFormat="1" applyFont="1" applyFill="1" applyBorder="1" applyAlignment="1"/>
    <xf numFmtId="164" fontId="15" fillId="3" borderId="6" xfId="6" applyNumberFormat="1" applyFont="1" applyFill="1" applyBorder="1" applyAlignment="1"/>
    <xf numFmtId="14" fontId="15" fillId="3" borderId="6" xfId="6" applyNumberFormat="1" applyFont="1" applyFill="1" applyBorder="1" applyAlignment="1">
      <alignment horizontal="center"/>
    </xf>
    <xf numFmtId="164" fontId="15" fillId="3" borderId="7" xfId="6" applyNumberFormat="1" applyFont="1" applyFill="1" applyBorder="1" applyAlignment="1">
      <alignment horizontal="center"/>
    </xf>
    <xf numFmtId="0" fontId="15" fillId="3" borderId="0" xfId="6" applyFont="1" applyFill="1" applyBorder="1" applyAlignment="1">
      <alignment horizontal="left" wrapText="1"/>
    </xf>
    <xf numFmtId="0" fontId="15" fillId="3" borderId="0" xfId="6" applyFont="1" applyFill="1" applyBorder="1" applyAlignment="1">
      <alignment horizontal="center"/>
    </xf>
    <xf numFmtId="10" fontId="15" fillId="3" borderId="8" xfId="9" applyNumberFormat="1" applyFont="1" applyFill="1" applyBorder="1" applyAlignment="1">
      <alignment horizontal="center" wrapText="1"/>
    </xf>
    <xf numFmtId="0" fontId="15" fillId="3" borderId="6" xfId="6" applyFont="1" applyFill="1" applyBorder="1" applyAlignment="1">
      <alignment horizontal="center" wrapText="1"/>
    </xf>
    <xf numFmtId="0" fontId="15" fillId="3" borderId="9" xfId="6" applyFont="1" applyFill="1" applyBorder="1" applyAlignment="1">
      <alignment horizontal="center" wrapText="1"/>
    </xf>
    <xf numFmtId="0" fontId="16" fillId="2" borderId="0" xfId="6" applyFont="1" applyFill="1" applyBorder="1" applyAlignment="1" applyProtection="1">
      <alignment wrapText="1"/>
      <protection hidden="1"/>
    </xf>
    <xf numFmtId="0" fontId="14" fillId="2" borderId="0" xfId="6" applyFont="1" applyFill="1" applyBorder="1" applyAlignment="1" applyProtection="1">
      <alignment wrapText="1"/>
      <protection hidden="1"/>
    </xf>
    <xf numFmtId="0" fontId="14" fillId="4" borderId="10" xfId="6" applyFont="1" applyFill="1" applyBorder="1" applyProtection="1">
      <protection locked="0"/>
    </xf>
    <xf numFmtId="0" fontId="14" fillId="4" borderId="5" xfId="6" applyFont="1" applyFill="1" applyBorder="1" applyProtection="1">
      <protection locked="0"/>
    </xf>
    <xf numFmtId="0" fontId="14" fillId="4" borderId="5" xfId="6" applyFont="1" applyFill="1" applyBorder="1" applyAlignment="1" applyProtection="1">
      <protection locked="0" hidden="1"/>
    </xf>
    <xf numFmtId="10" fontId="14" fillId="4" borderId="11" xfId="9" applyNumberFormat="1" applyFont="1" applyFill="1" applyBorder="1" applyProtection="1">
      <protection locked="0"/>
    </xf>
    <xf numFmtId="2" fontId="14" fillId="2" borderId="10" xfId="6" applyNumberFormat="1" applyFont="1" applyFill="1" applyBorder="1" applyProtection="1">
      <protection hidden="1"/>
    </xf>
    <xf numFmtId="165" fontId="14" fillId="4" borderId="10" xfId="2" applyNumberFormat="1" applyFont="1" applyFill="1" applyBorder="1" applyProtection="1">
      <protection locked="0"/>
    </xf>
    <xf numFmtId="165" fontId="14" fillId="2" borderId="10" xfId="4" applyNumberFormat="1" applyFont="1" applyFill="1" applyBorder="1" applyProtection="1">
      <protection hidden="1"/>
    </xf>
    <xf numFmtId="165" fontId="13" fillId="2" borderId="12" xfId="4" applyNumberFormat="1" applyFont="1" applyFill="1" applyBorder="1" applyProtection="1">
      <protection hidden="1"/>
    </xf>
    <xf numFmtId="43" fontId="14" fillId="2" borderId="0" xfId="2" applyFont="1" applyFill="1" applyBorder="1" applyProtection="1">
      <protection hidden="1"/>
    </xf>
    <xf numFmtId="10" fontId="14" fillId="4" borderId="11" xfId="9" applyNumberFormat="1" applyFont="1" applyFill="1" applyBorder="1" applyProtection="1">
      <protection locked="0" hidden="1"/>
    </xf>
    <xf numFmtId="0" fontId="13" fillId="2" borderId="0" xfId="6" applyFont="1" applyFill="1" applyBorder="1" applyAlignment="1" applyProtection="1">
      <alignment horizontal="right"/>
      <protection hidden="1"/>
    </xf>
    <xf numFmtId="10" fontId="14" fillId="2" borderId="18" xfId="9" applyNumberFormat="1" applyFont="1" applyFill="1" applyBorder="1" applyProtection="1">
      <protection hidden="1"/>
    </xf>
    <xf numFmtId="0" fontId="14" fillId="2" borderId="19" xfId="6" applyFont="1" applyFill="1" applyBorder="1" applyProtection="1">
      <protection hidden="1"/>
    </xf>
    <xf numFmtId="165" fontId="13" fillId="2" borderId="20" xfId="6" applyNumberFormat="1" applyFont="1" applyFill="1" applyBorder="1" applyProtection="1">
      <protection hidden="1"/>
    </xf>
    <xf numFmtId="165" fontId="13" fillId="2" borderId="21" xfId="6" applyNumberFormat="1" applyFont="1" applyFill="1" applyBorder="1" applyProtection="1">
      <protection hidden="1"/>
    </xf>
    <xf numFmtId="0" fontId="14" fillId="2" borderId="0" xfId="6" applyFont="1" applyFill="1" applyBorder="1" applyAlignment="1">
      <alignment wrapText="1"/>
    </xf>
    <xf numFmtId="10" fontId="14" fillId="2" borderId="0" xfId="9" applyNumberFormat="1" applyFont="1" applyFill="1" applyBorder="1" applyAlignment="1">
      <alignment wrapText="1"/>
    </xf>
    <xf numFmtId="0" fontId="14" fillId="4" borderId="10" xfId="6" applyFont="1" applyFill="1" applyBorder="1" applyProtection="1">
      <protection locked="0" hidden="1"/>
    </xf>
    <xf numFmtId="43" fontId="14" fillId="4" borderId="11" xfId="2" quotePrefix="1" applyFont="1" applyFill="1" applyBorder="1" applyProtection="1">
      <protection locked="0" hidden="1"/>
    </xf>
    <xf numFmtId="9" fontId="14" fillId="4" borderId="11" xfId="9" quotePrefix="1" applyFont="1" applyFill="1" applyBorder="1" applyProtection="1">
      <protection locked="0" hidden="1"/>
    </xf>
    <xf numFmtId="10" fontId="14" fillId="4" borderId="11" xfId="9" quotePrefix="1" applyNumberFormat="1" applyFont="1" applyFill="1" applyBorder="1" applyProtection="1">
      <protection locked="0" hidden="1"/>
    </xf>
    <xf numFmtId="165" fontId="14" fillId="4" borderId="10" xfId="2" applyNumberFormat="1" applyFont="1" applyFill="1" applyBorder="1" applyProtection="1">
      <protection locked="0" hidden="1"/>
    </xf>
    <xf numFmtId="0" fontId="14" fillId="4" borderId="11" xfId="2" quotePrefix="1" applyNumberFormat="1" applyFont="1" applyFill="1" applyBorder="1" applyProtection="1">
      <protection locked="0"/>
    </xf>
    <xf numFmtId="165" fontId="14" fillId="2" borderId="0" xfId="6" applyNumberFormat="1" applyFont="1" applyFill="1" applyBorder="1"/>
    <xf numFmtId="0" fontId="14" fillId="2" borderId="0" xfId="6" applyFont="1" applyFill="1" applyBorder="1" applyAlignment="1">
      <alignment horizontal="left" wrapText="1"/>
    </xf>
    <xf numFmtId="10" fontId="14" fillId="2" borderId="22" xfId="9" applyNumberFormat="1" applyFont="1" applyFill="1" applyBorder="1" applyAlignment="1">
      <alignment horizontal="center" wrapText="1"/>
    </xf>
    <xf numFmtId="0" fontId="14" fillId="2" borderId="0" xfId="6" applyFont="1" applyFill="1" applyBorder="1" applyAlignment="1">
      <alignment horizontal="center" wrapText="1"/>
    </xf>
    <xf numFmtId="0" fontId="13" fillId="2" borderId="23" xfId="6" applyFont="1" applyFill="1" applyBorder="1" applyAlignment="1">
      <alignment horizontal="center" wrapText="1"/>
    </xf>
    <xf numFmtId="43" fontId="14" fillId="2" borderId="0" xfId="2" applyFont="1" applyFill="1" applyBorder="1"/>
    <xf numFmtId="0" fontId="24" fillId="2" borderId="0" xfId="0" applyFont="1" applyFill="1" applyBorder="1"/>
    <xf numFmtId="0" fontId="0" fillId="2" borderId="0" xfId="0" applyFill="1"/>
    <xf numFmtId="0" fontId="27" fillId="2" borderId="0" xfId="0" applyFont="1" applyFill="1" applyProtection="1">
      <protection hidden="1"/>
    </xf>
    <xf numFmtId="0" fontId="28" fillId="2" borderId="0" xfId="0" applyFont="1" applyFill="1" applyBorder="1"/>
    <xf numFmtId="0" fontId="26" fillId="2" borderId="0"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15" fillId="3" borderId="0" xfId="0" applyFont="1" applyFill="1" applyBorder="1" applyAlignment="1" applyProtection="1">
      <alignment horizontal="center"/>
      <protection hidden="1"/>
    </xf>
    <xf numFmtId="14" fontId="28" fillId="2" borderId="0" xfId="0" applyNumberFormat="1" applyFont="1" applyFill="1" applyAlignment="1" applyProtection="1">
      <alignment horizontal="left"/>
      <protection hidden="1"/>
    </xf>
    <xf numFmtId="0" fontId="25" fillId="2" borderId="0" xfId="0" applyFont="1" applyFill="1" applyBorder="1" applyAlignment="1" applyProtection="1">
      <alignment horizontal="center"/>
      <protection hidden="1"/>
    </xf>
    <xf numFmtId="14" fontId="28" fillId="2" borderId="0" xfId="0" applyNumberFormat="1" applyFont="1" applyFill="1" applyProtection="1">
      <protection hidden="1"/>
    </xf>
    <xf numFmtId="0" fontId="13" fillId="2" borderId="0" xfId="0" applyFont="1" applyFill="1" applyBorder="1" applyAlignment="1" applyProtection="1">
      <alignment horizontal="center"/>
      <protection hidden="1"/>
    </xf>
    <xf numFmtId="0" fontId="13" fillId="2" borderId="0" xfId="0" applyFont="1" applyFill="1" applyProtection="1">
      <protection hidden="1"/>
    </xf>
    <xf numFmtId="0" fontId="0" fillId="2" borderId="0" xfId="0" applyFill="1" applyBorder="1" applyAlignment="1" applyProtection="1">
      <alignment horizontal="right"/>
      <protection hidden="1"/>
    </xf>
    <xf numFmtId="165" fontId="0" fillId="4" borderId="10" xfId="0" applyNumberFormat="1" applyFill="1" applyBorder="1" applyProtection="1">
      <protection locked="0"/>
    </xf>
    <xf numFmtId="165" fontId="13" fillId="2" borderId="10" xfId="2" applyNumberFormat="1" applyFont="1" applyFill="1" applyBorder="1" applyProtection="1">
      <protection hidden="1"/>
    </xf>
    <xf numFmtId="169" fontId="13" fillId="2" borderId="0" xfId="2" applyNumberFormat="1" applyFont="1" applyFill="1" applyProtection="1">
      <protection hidden="1"/>
    </xf>
    <xf numFmtId="0" fontId="0" fillId="4" borderId="10" xfId="0" applyFill="1" applyBorder="1" applyAlignment="1" applyProtection="1">
      <alignment horizontal="right"/>
      <protection locked="0" hidden="1"/>
    </xf>
    <xf numFmtId="168" fontId="14" fillId="2" borderId="0" xfId="0" applyNumberFormat="1" applyFont="1" applyFill="1" applyBorder="1" applyAlignment="1" applyProtection="1">
      <protection hidden="1"/>
    </xf>
    <xf numFmtId="0" fontId="14" fillId="2" borderId="0" xfId="0" applyFont="1" applyFill="1" applyBorder="1" applyProtection="1">
      <protection hidden="1"/>
    </xf>
    <xf numFmtId="0" fontId="0" fillId="2" borderId="0" xfId="0" applyFill="1" applyBorder="1" applyAlignment="1" applyProtection="1">
      <alignment horizontal="center"/>
      <protection hidden="1"/>
    </xf>
    <xf numFmtId="44" fontId="0" fillId="2" borderId="0" xfId="0" applyNumberFormat="1" applyFill="1"/>
    <xf numFmtId="169" fontId="13" fillId="2" borderId="0" xfId="2" applyNumberFormat="1" applyFont="1" applyFill="1" applyBorder="1" applyProtection="1">
      <protection hidden="1"/>
    </xf>
    <xf numFmtId="44" fontId="43" fillId="0" borderId="10" xfId="4" applyFont="1" applyFill="1" applyBorder="1" applyProtection="1">
      <protection hidden="1"/>
    </xf>
    <xf numFmtId="44" fontId="13" fillId="2" borderId="10" xfId="4" applyFont="1" applyFill="1" applyBorder="1" applyProtection="1">
      <protection hidden="1"/>
    </xf>
    <xf numFmtId="165" fontId="0" fillId="2" borderId="3" xfId="0" applyNumberFormat="1" applyFill="1" applyBorder="1" applyProtection="1">
      <protection hidden="1"/>
    </xf>
    <xf numFmtId="165" fontId="0" fillId="2" borderId="3" xfId="0" applyNumberFormat="1" applyFill="1" applyBorder="1" applyAlignment="1" applyProtection="1">
      <alignment horizontal="right"/>
      <protection hidden="1"/>
    </xf>
    <xf numFmtId="165" fontId="30" fillId="2" borderId="3" xfId="2" applyNumberFormat="1" applyFont="1" applyFill="1" applyBorder="1" applyAlignment="1" applyProtection="1">
      <alignment horizontal="right"/>
    </xf>
    <xf numFmtId="0" fontId="0" fillId="2" borderId="0" xfId="0" applyFill="1" applyBorder="1" applyAlignment="1">
      <alignment horizontal="right"/>
    </xf>
    <xf numFmtId="0" fontId="14" fillId="2" borderId="0" xfId="0" applyFont="1" applyFill="1" applyBorder="1" applyAlignment="1" applyProtection="1">
      <alignment horizontal="right"/>
      <protection hidden="1"/>
    </xf>
    <xf numFmtId="165" fontId="0" fillId="2" borderId="10" xfId="0" applyNumberFormat="1" applyFill="1" applyBorder="1" applyProtection="1">
      <protection hidden="1"/>
    </xf>
    <xf numFmtId="0" fontId="31" fillId="2" borderId="0" xfId="0" applyFont="1" applyFill="1" applyBorder="1" applyAlignment="1" applyProtection="1">
      <alignment horizontal="center"/>
      <protection hidden="1"/>
    </xf>
    <xf numFmtId="0" fontId="13" fillId="2" borderId="0" xfId="0" applyFont="1" applyFill="1" applyBorder="1" applyAlignment="1" applyProtection="1">
      <alignment horizontal="right"/>
      <protection hidden="1"/>
    </xf>
    <xf numFmtId="165" fontId="13" fillId="2" borderId="10" xfId="2" quotePrefix="1" applyNumberFormat="1" applyFont="1" applyFill="1" applyBorder="1" applyProtection="1">
      <protection hidden="1"/>
    </xf>
    <xf numFmtId="165" fontId="13" fillId="2" borderId="10" xfId="0" applyNumberFormat="1" applyFont="1" applyFill="1" applyBorder="1" applyProtection="1">
      <protection hidden="1"/>
    </xf>
    <xf numFmtId="0" fontId="43" fillId="2" borderId="0" xfId="2" applyNumberFormat="1" applyFont="1" applyFill="1"/>
    <xf numFmtId="165" fontId="14" fillId="2" borderId="0" xfId="0" applyNumberFormat="1" applyFont="1" applyFill="1"/>
    <xf numFmtId="165" fontId="0" fillId="2" borderId="0" xfId="0" applyNumberFormat="1" applyFill="1"/>
    <xf numFmtId="0" fontId="24" fillId="2" borderId="0" xfId="0" applyFont="1" applyFill="1" applyBorder="1" applyProtection="1"/>
    <xf numFmtId="0" fontId="34" fillId="2" borderId="0" xfId="0" applyFont="1" applyFill="1" applyProtection="1">
      <protection hidden="1"/>
    </xf>
    <xf numFmtId="0" fontId="0" fillId="2" borderId="0" xfId="0" applyFill="1" applyAlignment="1" applyProtection="1">
      <alignment horizontal="left"/>
    </xf>
    <xf numFmtId="0" fontId="26" fillId="0" borderId="0" xfId="0" applyFont="1" applyFill="1" applyBorder="1" applyAlignment="1" applyProtection="1">
      <alignment horizontal="left"/>
      <protection hidden="1"/>
    </xf>
    <xf numFmtId="168" fontId="34" fillId="2" borderId="0" xfId="0" applyNumberFormat="1" applyFont="1" applyFill="1" applyBorder="1" applyAlignment="1" applyProtection="1">
      <protection hidden="1"/>
    </xf>
    <xf numFmtId="0" fontId="34" fillId="2" borderId="0" xfId="0" applyFont="1" applyFill="1" applyBorder="1" applyProtection="1">
      <protection hidden="1"/>
    </xf>
    <xf numFmtId="0" fontId="15" fillId="2" borderId="24" xfId="0" applyFont="1" applyFill="1" applyBorder="1" applyAlignment="1" applyProtection="1">
      <alignment horizontal="left"/>
      <protection hidden="1"/>
    </xf>
    <xf numFmtId="0" fontId="0" fillId="2" borderId="25" xfId="0" applyFill="1" applyBorder="1" applyProtection="1">
      <protection hidden="1"/>
    </xf>
    <xf numFmtId="0" fontId="0" fillId="2" borderId="26" xfId="0" applyFill="1" applyBorder="1" applyProtection="1">
      <protection hidden="1"/>
    </xf>
    <xf numFmtId="0" fontId="13" fillId="2" borderId="27" xfId="0" applyFont="1" applyFill="1" applyBorder="1" applyAlignment="1" applyProtection="1">
      <alignment horizontal="right" vertical="center"/>
      <protection hidden="1"/>
    </xf>
    <xf numFmtId="0" fontId="0" fillId="2" borderId="27" xfId="0" applyFill="1" applyBorder="1" applyProtection="1">
      <protection hidden="1"/>
    </xf>
    <xf numFmtId="0" fontId="0" fillId="2" borderId="0" xfId="0" applyFill="1" applyBorder="1" applyProtection="1">
      <protection hidden="1"/>
    </xf>
    <xf numFmtId="0" fontId="0" fillId="2" borderId="28" xfId="0" applyFill="1" applyBorder="1" applyProtection="1">
      <protection hidden="1"/>
    </xf>
    <xf numFmtId="43" fontId="34" fillId="2" borderId="0" xfId="2" applyFont="1" applyFill="1" applyBorder="1" applyProtection="1">
      <protection hidden="1"/>
    </xf>
    <xf numFmtId="0" fontId="15" fillId="3" borderId="23" xfId="0" applyFont="1" applyFill="1" applyBorder="1" applyAlignment="1" applyProtection="1">
      <alignment horizontal="center"/>
      <protection hidden="1"/>
    </xf>
    <xf numFmtId="0" fontId="0" fillId="2" borderId="27" xfId="0" applyFill="1" applyBorder="1" applyAlignment="1" applyProtection="1">
      <alignment horizontal="right"/>
      <protection hidden="1"/>
    </xf>
    <xf numFmtId="14" fontId="28" fillId="2" borderId="0" xfId="0" applyNumberFormat="1" applyFont="1" applyFill="1" applyBorder="1" applyAlignment="1" applyProtection="1">
      <alignment horizontal="left"/>
      <protection hidden="1"/>
    </xf>
    <xf numFmtId="0" fontId="0" fillId="2" borderId="28" xfId="0" applyFill="1" applyBorder="1" applyAlignment="1" applyProtection="1">
      <alignment horizontal="center"/>
      <protection hidden="1"/>
    </xf>
    <xf numFmtId="14" fontId="28" fillId="2" borderId="0" xfId="0" applyNumberFormat="1" applyFont="1" applyFill="1" applyBorder="1" applyProtection="1">
      <protection hidden="1"/>
    </xf>
    <xf numFmtId="14" fontId="0" fillId="2" borderId="0" xfId="0" applyNumberFormat="1" applyFill="1" applyBorder="1" applyAlignment="1" applyProtection="1">
      <alignment horizontal="center"/>
      <protection hidden="1"/>
    </xf>
    <xf numFmtId="0" fontId="14" fillId="2" borderId="27" xfId="0" applyFont="1" applyFill="1" applyBorder="1" applyAlignment="1" applyProtection="1">
      <alignment horizontal="right"/>
      <protection hidden="1"/>
    </xf>
    <xf numFmtId="165" fontId="14" fillId="4" borderId="10" xfId="4" applyNumberFormat="1" applyFont="1" applyFill="1" applyBorder="1" applyProtection="1">
      <protection locked="0" hidden="1"/>
    </xf>
    <xf numFmtId="165" fontId="14" fillId="4" borderId="5" xfId="4" applyNumberFormat="1" applyFont="1" applyFill="1" applyBorder="1" applyProtection="1">
      <protection locked="0" hidden="1"/>
    </xf>
    <xf numFmtId="165" fontId="13" fillId="2" borderId="29" xfId="4" applyNumberFormat="1" applyFont="1" applyFill="1" applyBorder="1" applyProtection="1">
      <protection hidden="1"/>
    </xf>
    <xf numFmtId="168" fontId="15" fillId="2" borderId="0" xfId="0" applyNumberFormat="1" applyFont="1" applyFill="1" applyBorder="1" applyAlignment="1" applyProtection="1">
      <protection hidden="1"/>
    </xf>
    <xf numFmtId="0" fontId="15" fillId="2" borderId="27" xfId="0" applyFont="1" applyFill="1" applyBorder="1" applyProtection="1">
      <protection hidden="1"/>
    </xf>
    <xf numFmtId="0" fontId="15" fillId="2" borderId="0" xfId="0" applyFont="1" applyFill="1" applyBorder="1" applyProtection="1">
      <protection hidden="1"/>
    </xf>
    <xf numFmtId="165" fontId="14" fillId="2" borderId="10" xfId="4" quotePrefix="1" applyNumberFormat="1" applyFont="1" applyFill="1" applyBorder="1" applyProtection="1">
      <protection hidden="1"/>
    </xf>
    <xf numFmtId="165" fontId="43" fillId="2" borderId="0" xfId="4" applyNumberFormat="1" applyFont="1" applyFill="1" applyBorder="1" applyProtection="1">
      <protection hidden="1"/>
    </xf>
    <xf numFmtId="165" fontId="43" fillId="2" borderId="28" xfId="4" applyNumberFormat="1" applyFont="1" applyFill="1" applyBorder="1" applyProtection="1">
      <protection hidden="1"/>
    </xf>
    <xf numFmtId="0" fontId="15" fillId="2" borderId="30" xfId="0" applyFont="1" applyFill="1" applyBorder="1" applyProtection="1">
      <protection hidden="1"/>
    </xf>
    <xf numFmtId="165" fontId="13" fillId="2" borderId="31" xfId="4" applyNumberFormat="1" applyFont="1" applyFill="1" applyBorder="1" applyProtection="1">
      <protection hidden="1"/>
    </xf>
    <xf numFmtId="165" fontId="13" fillId="2" borderId="32" xfId="4" applyNumberFormat="1" applyFont="1" applyFill="1" applyBorder="1" applyProtection="1">
      <protection hidden="1"/>
    </xf>
    <xf numFmtId="0" fontId="13" fillId="10" borderId="24" xfId="0" applyFont="1" applyFill="1" applyBorder="1" applyAlignment="1" applyProtection="1">
      <alignment horizontal="left"/>
      <protection hidden="1"/>
    </xf>
    <xf numFmtId="0" fontId="14" fillId="10" borderId="25" xfId="0" applyFont="1" applyFill="1" applyBorder="1" applyProtection="1">
      <protection hidden="1"/>
    </xf>
    <xf numFmtId="0" fontId="14" fillId="10" borderId="26" xfId="0" applyFont="1" applyFill="1" applyBorder="1" applyProtection="1">
      <protection hidden="1"/>
    </xf>
    <xf numFmtId="0" fontId="13" fillId="10" borderId="27" xfId="0" applyFont="1" applyFill="1" applyBorder="1" applyAlignment="1" applyProtection="1">
      <alignment horizontal="right" vertical="center"/>
      <protection hidden="1"/>
    </xf>
    <xf numFmtId="0" fontId="14" fillId="10" borderId="27" xfId="0" applyFont="1" applyFill="1" applyBorder="1" applyProtection="1">
      <protection hidden="1"/>
    </xf>
    <xf numFmtId="0" fontId="14" fillId="10" borderId="0" xfId="0" applyFont="1" applyFill="1" applyBorder="1" applyProtection="1">
      <protection hidden="1"/>
    </xf>
    <xf numFmtId="0" fontId="14" fillId="10" borderId="28" xfId="0" applyFont="1" applyFill="1" applyBorder="1" applyProtection="1">
      <protection hidden="1"/>
    </xf>
    <xf numFmtId="0" fontId="13" fillId="10" borderId="0" xfId="0" applyFont="1" applyFill="1" applyBorder="1" applyAlignment="1" applyProtection="1">
      <alignment horizontal="center"/>
      <protection hidden="1"/>
    </xf>
    <xf numFmtId="0" fontId="13" fillId="10" borderId="28" xfId="0" applyFont="1" applyFill="1" applyBorder="1" applyAlignment="1" applyProtection="1">
      <alignment horizontal="center"/>
      <protection hidden="1"/>
    </xf>
    <xf numFmtId="0" fontId="14" fillId="10" borderId="27" xfId="0" applyFont="1" applyFill="1" applyBorder="1" applyAlignment="1" applyProtection="1">
      <alignment horizontal="right"/>
      <protection hidden="1"/>
    </xf>
    <xf numFmtId="14" fontId="28" fillId="10" borderId="0" xfId="0" applyNumberFormat="1" applyFont="1" applyFill="1" applyBorder="1" applyAlignment="1" applyProtection="1">
      <alignment horizontal="left"/>
      <protection hidden="1"/>
    </xf>
    <xf numFmtId="0" fontId="14" fillId="10" borderId="28" xfId="0" applyFont="1" applyFill="1" applyBorder="1" applyAlignment="1" applyProtection="1">
      <alignment horizontal="center"/>
      <protection hidden="1"/>
    </xf>
    <xf numFmtId="14" fontId="28" fillId="10" borderId="0" xfId="0" applyNumberFormat="1" applyFont="1" applyFill="1" applyBorder="1" applyProtection="1">
      <protection hidden="1"/>
    </xf>
    <xf numFmtId="14" fontId="14" fillId="10" borderId="0" xfId="0" applyNumberFormat="1" applyFont="1" applyFill="1" applyBorder="1" applyAlignment="1" applyProtection="1">
      <alignment horizontal="center"/>
      <protection hidden="1"/>
    </xf>
    <xf numFmtId="165" fontId="14" fillId="10" borderId="10" xfId="4" applyNumberFormat="1" applyFont="1" applyFill="1" applyBorder="1" applyProtection="1">
      <protection hidden="1"/>
    </xf>
    <xf numFmtId="0" fontId="13" fillId="10" borderId="27" xfId="0" applyFont="1" applyFill="1" applyBorder="1" applyProtection="1">
      <protection hidden="1"/>
    </xf>
    <xf numFmtId="165" fontId="14" fillId="10" borderId="0" xfId="4" applyNumberFormat="1" applyFont="1" applyFill="1" applyBorder="1" applyProtection="1">
      <protection hidden="1"/>
    </xf>
    <xf numFmtId="0" fontId="13" fillId="10" borderId="30" xfId="0" applyFont="1" applyFill="1" applyBorder="1" applyProtection="1">
      <protection hidden="1"/>
    </xf>
    <xf numFmtId="165" fontId="13" fillId="10" borderId="31" xfId="4" applyNumberFormat="1" applyFont="1" applyFill="1" applyBorder="1" applyProtection="1">
      <protection hidden="1"/>
    </xf>
    <xf numFmtId="43" fontId="34" fillId="2" borderId="0" xfId="2" applyFont="1" applyFill="1" applyBorder="1" applyAlignment="1" applyProtection="1">
      <protection hidden="1"/>
    </xf>
    <xf numFmtId="43" fontId="34" fillId="2" borderId="0" xfId="0" applyNumberFormat="1" applyFont="1" applyFill="1" applyProtection="1">
      <protection hidden="1"/>
    </xf>
    <xf numFmtId="0" fontId="0" fillId="0" borderId="0" xfId="0" applyFill="1" applyBorder="1" applyProtection="1">
      <protection hidden="1"/>
    </xf>
    <xf numFmtId="0" fontId="14" fillId="0" borderId="0" xfId="0" applyFont="1" applyFill="1" applyBorder="1" applyProtection="1">
      <protection hidden="1"/>
    </xf>
    <xf numFmtId="0" fontId="24" fillId="2" borderId="0" xfId="0" applyFont="1" applyFill="1" applyBorder="1" applyProtection="1">
      <protection hidden="1"/>
    </xf>
    <xf numFmtId="168" fontId="14" fillId="0" borderId="0" xfId="0" applyNumberFormat="1" applyFont="1" applyFill="1" applyBorder="1" applyAlignment="1" applyProtection="1">
      <protection hidden="1"/>
    </xf>
    <xf numFmtId="0" fontId="14" fillId="0" borderId="0" xfId="0" applyFont="1" applyFill="1" applyBorder="1" applyAlignment="1" applyProtection="1">
      <alignment wrapText="1"/>
      <protection hidden="1"/>
    </xf>
    <xf numFmtId="43" fontId="14" fillId="0" borderId="0" xfId="2" applyFont="1" applyFill="1" applyBorder="1" applyProtection="1">
      <protection hidden="1"/>
    </xf>
    <xf numFmtId="43" fontId="14" fillId="0" borderId="0" xfId="2" applyNumberFormat="1" applyFont="1" applyFill="1" applyBorder="1" applyProtection="1">
      <protection hidden="1"/>
    </xf>
    <xf numFmtId="14" fontId="28" fillId="2" borderId="33" xfId="0" applyNumberFormat="1" applyFont="1" applyFill="1" applyBorder="1" applyAlignment="1" applyProtection="1">
      <alignment horizontal="center"/>
      <protection hidden="1"/>
    </xf>
    <xf numFmtId="14" fontId="28" fillId="2" borderId="34" xfId="0" applyNumberFormat="1" applyFont="1" applyFill="1" applyBorder="1" applyAlignment="1" applyProtection="1">
      <alignment horizontal="center"/>
      <protection hidden="1"/>
    </xf>
    <xf numFmtId="0" fontId="13" fillId="3" borderId="0" xfId="0" applyFont="1" applyFill="1" applyBorder="1" applyProtection="1">
      <protection hidden="1"/>
    </xf>
    <xf numFmtId="165" fontId="43" fillId="2" borderId="35" xfId="4" applyNumberFormat="1" applyFont="1" applyFill="1" applyBorder="1" applyProtection="1">
      <protection hidden="1"/>
    </xf>
    <xf numFmtId="165" fontId="43" fillId="2" borderId="1" xfId="4" applyNumberFormat="1" applyFont="1" applyFill="1" applyBorder="1" applyProtection="1">
      <protection hidden="1"/>
    </xf>
    <xf numFmtId="165" fontId="43" fillId="2" borderId="2" xfId="4" applyNumberFormat="1" applyFont="1" applyFill="1" applyBorder="1" applyProtection="1">
      <protection hidden="1"/>
    </xf>
    <xf numFmtId="0" fontId="13" fillId="2" borderId="34" xfId="0" applyFont="1" applyFill="1" applyBorder="1" applyAlignment="1" applyProtection="1">
      <alignment horizontal="center"/>
      <protection hidden="1"/>
    </xf>
    <xf numFmtId="0" fontId="0" fillId="2" borderId="6" xfId="0" applyFill="1" applyBorder="1" applyProtection="1">
      <protection hidden="1"/>
    </xf>
    <xf numFmtId="165" fontId="43" fillId="2" borderId="36" xfId="4" applyNumberFormat="1" applyFont="1" applyFill="1" applyBorder="1" applyProtection="1">
      <protection hidden="1"/>
    </xf>
    <xf numFmtId="165" fontId="43" fillId="2" borderId="6" xfId="4" applyNumberFormat="1" applyFont="1" applyFill="1" applyBorder="1" applyProtection="1">
      <protection hidden="1"/>
    </xf>
    <xf numFmtId="165" fontId="43" fillId="2" borderId="5" xfId="4" applyNumberFormat="1" applyFont="1" applyFill="1" applyBorder="1" applyProtection="1">
      <protection hidden="1"/>
    </xf>
    <xf numFmtId="165" fontId="43" fillId="2" borderId="7" xfId="4" applyNumberFormat="1" applyFont="1" applyFill="1" applyBorder="1" applyProtection="1">
      <protection hidden="1"/>
    </xf>
    <xf numFmtId="165" fontId="43" fillId="2" borderId="37" xfId="4" applyNumberFormat="1" applyFont="1" applyFill="1" applyBorder="1" applyProtection="1">
      <protection hidden="1"/>
    </xf>
    <xf numFmtId="165" fontId="13" fillId="2" borderId="35" xfId="4" applyNumberFormat="1" applyFont="1" applyFill="1" applyBorder="1" applyProtection="1">
      <protection hidden="1"/>
    </xf>
    <xf numFmtId="165" fontId="13" fillId="2" borderId="0" xfId="4" applyNumberFormat="1" applyFont="1" applyFill="1" applyBorder="1" applyProtection="1">
      <protection hidden="1"/>
    </xf>
    <xf numFmtId="165" fontId="13" fillId="2" borderId="1" xfId="4" applyNumberFormat="1" applyFont="1" applyFill="1" applyBorder="1" applyProtection="1">
      <protection hidden="1"/>
    </xf>
    <xf numFmtId="165" fontId="13" fillId="2" borderId="2" xfId="4" applyNumberFormat="1" applyFont="1" applyFill="1" applyBorder="1" applyProtection="1">
      <protection hidden="1"/>
    </xf>
    <xf numFmtId="165" fontId="13" fillId="2" borderId="38" xfId="4" applyNumberFormat="1" applyFont="1" applyFill="1" applyBorder="1" applyProtection="1">
      <protection hidden="1"/>
    </xf>
    <xf numFmtId="165" fontId="43" fillId="2" borderId="38" xfId="4" applyNumberFormat="1" applyFont="1" applyFill="1" applyBorder="1" applyProtection="1">
      <protection hidden="1"/>
    </xf>
    <xf numFmtId="0" fontId="13" fillId="3" borderId="0" xfId="0" applyFont="1" applyFill="1" applyBorder="1" applyAlignment="1" applyProtection="1">
      <alignment horizontal="left"/>
      <protection hidden="1"/>
    </xf>
    <xf numFmtId="44" fontId="43" fillId="2" borderId="36" xfId="4" applyNumberFormat="1" applyFont="1" applyFill="1" applyBorder="1" applyProtection="1">
      <protection hidden="1"/>
    </xf>
    <xf numFmtId="44" fontId="43" fillId="2" borderId="6" xfId="4" applyNumberFormat="1" applyFont="1" applyFill="1" applyBorder="1" applyProtection="1">
      <protection hidden="1"/>
    </xf>
    <xf numFmtId="44" fontId="43" fillId="2" borderId="5" xfId="4" applyNumberFormat="1" applyFont="1" applyFill="1" applyBorder="1" applyProtection="1">
      <protection hidden="1"/>
    </xf>
    <xf numFmtId="44" fontId="43" fillId="2" borderId="7" xfId="4" applyNumberFormat="1" applyFont="1" applyFill="1" applyBorder="1" applyProtection="1">
      <protection hidden="1"/>
    </xf>
    <xf numFmtId="0" fontId="14" fillId="2" borderId="3" xfId="0" applyFont="1" applyFill="1" applyBorder="1" applyAlignment="1" applyProtection="1">
      <alignment horizontal="right"/>
      <protection hidden="1"/>
    </xf>
    <xf numFmtId="165" fontId="13" fillId="2" borderId="13" xfId="4" applyNumberFormat="1" applyFont="1" applyFill="1" applyBorder="1" applyProtection="1">
      <protection hidden="1"/>
    </xf>
    <xf numFmtId="165" fontId="13" fillId="2" borderId="39" xfId="4" applyNumberFormat="1" applyFont="1" applyFill="1" applyBorder="1" applyProtection="1">
      <protection hidden="1"/>
    </xf>
    <xf numFmtId="165" fontId="13" fillId="2" borderId="3" xfId="4" applyNumberFormat="1" applyFont="1" applyFill="1" applyBorder="1" applyProtection="1">
      <protection hidden="1"/>
    </xf>
    <xf numFmtId="165" fontId="13" fillId="2" borderId="16" xfId="4" applyNumberFormat="1" applyFont="1" applyFill="1" applyBorder="1" applyProtection="1">
      <protection hidden="1"/>
    </xf>
    <xf numFmtId="165" fontId="13" fillId="2" borderId="4" xfId="4" applyNumberFormat="1" applyFont="1" applyFill="1" applyBorder="1" applyProtection="1">
      <protection hidden="1"/>
    </xf>
    <xf numFmtId="165" fontId="13" fillId="2" borderId="40" xfId="4" applyNumberFormat="1" applyFont="1" applyFill="1" applyBorder="1" applyProtection="1">
      <protection hidden="1"/>
    </xf>
    <xf numFmtId="0" fontId="0" fillId="0" borderId="0" xfId="0" applyBorder="1" applyAlignment="1">
      <alignment horizontal="right" vertical="distributed"/>
    </xf>
    <xf numFmtId="165" fontId="43" fillId="2" borderId="39" xfId="4" applyNumberFormat="1" applyFont="1" applyFill="1" applyBorder="1" applyProtection="1">
      <protection hidden="1"/>
    </xf>
    <xf numFmtId="165" fontId="43" fillId="2" borderId="3" xfId="4" applyNumberFormat="1" applyFont="1" applyFill="1" applyBorder="1" applyProtection="1">
      <protection hidden="1"/>
    </xf>
    <xf numFmtId="165" fontId="43" fillId="2" borderId="16" xfId="4" applyNumberFormat="1" applyFont="1" applyFill="1" applyBorder="1" applyProtection="1">
      <protection hidden="1"/>
    </xf>
    <xf numFmtId="165" fontId="43" fillId="2" borderId="4" xfId="4" applyNumberFormat="1" applyFont="1" applyFill="1" applyBorder="1" applyProtection="1">
      <protection hidden="1"/>
    </xf>
    <xf numFmtId="165" fontId="43" fillId="2" borderId="40" xfId="4" applyNumberFormat="1" applyFont="1" applyFill="1" applyBorder="1" applyProtection="1">
      <protection hidden="1"/>
    </xf>
    <xf numFmtId="168" fontId="14" fillId="6" borderId="0" xfId="0" applyNumberFormat="1" applyFont="1" applyFill="1" applyBorder="1" applyAlignment="1" applyProtection="1">
      <protection hidden="1"/>
    </xf>
    <xf numFmtId="0" fontId="14" fillId="6" borderId="0" xfId="0" applyFont="1" applyFill="1" applyBorder="1" applyProtection="1">
      <protection hidden="1"/>
    </xf>
    <xf numFmtId="0" fontId="13" fillId="3" borderId="3" xfId="0" applyFont="1" applyFill="1" applyBorder="1" applyProtection="1">
      <protection hidden="1"/>
    </xf>
    <xf numFmtId="0" fontId="17" fillId="0" borderId="3" xfId="0" applyFont="1" applyFill="1" applyBorder="1" applyProtection="1">
      <protection hidden="1"/>
    </xf>
    <xf numFmtId="165" fontId="13" fillId="2" borderId="5" xfId="4" applyNumberFormat="1" applyFont="1" applyFill="1" applyBorder="1" applyProtection="1">
      <protection hidden="1"/>
    </xf>
    <xf numFmtId="0" fontId="14" fillId="6" borderId="0" xfId="0" applyFont="1" applyFill="1" applyBorder="1" applyAlignment="1" applyProtection="1">
      <alignment wrapText="1"/>
      <protection hidden="1"/>
    </xf>
    <xf numFmtId="165" fontId="14" fillId="2" borderId="36" xfId="4" applyNumberFormat="1" applyFont="1" applyFill="1" applyBorder="1" applyProtection="1">
      <protection hidden="1"/>
    </xf>
    <xf numFmtId="165" fontId="14" fillId="2" borderId="6" xfId="4" applyNumberFormat="1" applyFont="1" applyFill="1" applyBorder="1" applyProtection="1">
      <protection hidden="1"/>
    </xf>
    <xf numFmtId="165" fontId="14" fillId="2" borderId="7" xfId="4" applyNumberFormat="1" applyFont="1" applyFill="1" applyBorder="1" applyProtection="1">
      <protection hidden="1"/>
    </xf>
    <xf numFmtId="165" fontId="14" fillId="2" borderId="37" xfId="4" applyNumberFormat="1" applyFont="1" applyFill="1" applyBorder="1" applyProtection="1">
      <protection hidden="1"/>
    </xf>
    <xf numFmtId="43" fontId="14" fillId="6" borderId="0" xfId="2" applyFont="1" applyFill="1" applyBorder="1" applyProtection="1">
      <protection hidden="1"/>
    </xf>
    <xf numFmtId="0" fontId="0" fillId="11" borderId="0" xfId="0" applyFill="1" applyBorder="1" applyAlignment="1" applyProtection="1">
      <alignment horizontal="right"/>
      <protection hidden="1"/>
    </xf>
    <xf numFmtId="165" fontId="43" fillId="11" borderId="41" xfId="4" applyNumberFormat="1" applyFont="1" applyFill="1" applyBorder="1" applyProtection="1">
      <protection hidden="1"/>
    </xf>
    <xf numFmtId="165" fontId="43" fillId="11" borderId="14" xfId="4" applyNumberFormat="1" applyFont="1" applyFill="1" applyBorder="1" applyProtection="1">
      <protection hidden="1"/>
    </xf>
    <xf numFmtId="165" fontId="43" fillId="11" borderId="13" xfId="4" applyNumberFormat="1" applyFont="1" applyFill="1" applyBorder="1" applyProtection="1">
      <protection hidden="1"/>
    </xf>
    <xf numFmtId="165" fontId="43" fillId="11" borderId="15" xfId="4" applyNumberFormat="1" applyFont="1" applyFill="1" applyBorder="1" applyProtection="1">
      <protection hidden="1"/>
    </xf>
    <xf numFmtId="165" fontId="43" fillId="2" borderId="42" xfId="4" applyNumberFormat="1" applyFont="1" applyFill="1" applyBorder="1" applyProtection="1">
      <protection hidden="1"/>
    </xf>
    <xf numFmtId="165" fontId="43" fillId="11" borderId="39" xfId="4" applyNumberFormat="1" applyFont="1" applyFill="1" applyBorder="1" applyProtection="1">
      <protection hidden="1"/>
    </xf>
    <xf numFmtId="165" fontId="43" fillId="11" borderId="3" xfId="4" applyNumberFormat="1" applyFont="1" applyFill="1" applyBorder="1" applyProtection="1">
      <protection hidden="1"/>
    </xf>
    <xf numFmtId="165" fontId="43" fillId="11" borderId="16" xfId="4" applyNumberFormat="1" applyFont="1" applyFill="1" applyBorder="1" applyProtection="1">
      <protection hidden="1"/>
    </xf>
    <xf numFmtId="165" fontId="43" fillId="11" borderId="4" xfId="4" applyNumberFormat="1" applyFont="1" applyFill="1" applyBorder="1" applyProtection="1">
      <protection hidden="1"/>
    </xf>
    <xf numFmtId="167" fontId="14" fillId="11" borderId="41" xfId="9" applyNumberFormat="1" applyFont="1" applyFill="1" applyBorder="1" applyProtection="1">
      <protection hidden="1"/>
    </xf>
    <xf numFmtId="165" fontId="14" fillId="11" borderId="14" xfId="4" applyNumberFormat="1" applyFont="1" applyFill="1" applyBorder="1" applyProtection="1">
      <protection hidden="1"/>
    </xf>
    <xf numFmtId="167" fontId="14" fillId="11" borderId="13" xfId="9" applyNumberFormat="1" applyFont="1" applyFill="1" applyBorder="1" applyProtection="1">
      <protection hidden="1"/>
    </xf>
    <xf numFmtId="165" fontId="14" fillId="11" borderId="15" xfId="4" applyNumberFormat="1" applyFont="1" applyFill="1" applyBorder="1" applyProtection="1">
      <protection hidden="1"/>
    </xf>
    <xf numFmtId="167" fontId="14" fillId="11" borderId="39" xfId="9" applyNumberFormat="1" applyFont="1" applyFill="1" applyBorder="1" applyProtection="1">
      <protection hidden="1"/>
    </xf>
    <xf numFmtId="165" fontId="14" fillId="11" borderId="3" xfId="4" applyNumberFormat="1" applyFont="1" applyFill="1" applyBorder="1" applyProtection="1">
      <protection hidden="1"/>
    </xf>
    <xf numFmtId="167" fontId="14" fillId="11" borderId="16" xfId="9" applyNumberFormat="1" applyFont="1" applyFill="1" applyBorder="1" applyProtection="1">
      <protection hidden="1"/>
    </xf>
    <xf numFmtId="165" fontId="14" fillId="11" borderId="4" xfId="4" applyNumberFormat="1" applyFont="1" applyFill="1" applyBorder="1" applyProtection="1">
      <protection hidden="1"/>
    </xf>
    <xf numFmtId="0" fontId="13" fillId="3" borderId="43" xfId="0" applyFont="1" applyFill="1" applyBorder="1" applyProtection="1">
      <protection hidden="1"/>
    </xf>
    <xf numFmtId="165" fontId="13" fillId="2" borderId="44" xfId="4" applyNumberFormat="1" applyFont="1" applyFill="1" applyBorder="1" applyProtection="1">
      <protection hidden="1"/>
    </xf>
    <xf numFmtId="165" fontId="13" fillId="2" borderId="43" xfId="4" applyNumberFormat="1" applyFont="1" applyFill="1" applyBorder="1" applyProtection="1">
      <protection hidden="1"/>
    </xf>
    <xf numFmtId="165" fontId="13" fillId="2" borderId="45" xfId="4" applyNumberFormat="1" applyFont="1" applyFill="1" applyBorder="1" applyProtection="1">
      <protection hidden="1"/>
    </xf>
    <xf numFmtId="165" fontId="13" fillId="2" borderId="46" xfId="4" applyNumberFormat="1" applyFont="1" applyFill="1" applyBorder="1" applyProtection="1">
      <protection hidden="1"/>
    </xf>
    <xf numFmtId="165" fontId="13" fillId="2" borderId="47" xfId="4" applyNumberFormat="1" applyFont="1" applyFill="1" applyBorder="1" applyProtection="1">
      <protection hidden="1"/>
    </xf>
    <xf numFmtId="165" fontId="0" fillId="2" borderId="0" xfId="0" applyNumberFormat="1" applyFill="1" applyBorder="1" applyProtection="1">
      <protection hidden="1"/>
    </xf>
    <xf numFmtId="0" fontId="0" fillId="6" borderId="0" xfId="0" applyFill="1" applyBorder="1" applyProtection="1">
      <protection hidden="1"/>
    </xf>
    <xf numFmtId="169" fontId="43" fillId="0" borderId="0" xfId="2" quotePrefix="1" applyNumberFormat="1" applyFont="1" applyFill="1" applyBorder="1" applyProtection="1">
      <protection hidden="1"/>
    </xf>
    <xf numFmtId="169" fontId="43" fillId="7" borderId="0" xfId="2" quotePrefix="1" applyNumberFormat="1" applyFont="1" applyFill="1" applyBorder="1" applyProtection="1">
      <protection hidden="1"/>
    </xf>
    <xf numFmtId="169" fontId="43" fillId="3" borderId="0" xfId="2" quotePrefix="1" applyNumberFormat="1" applyFont="1" applyFill="1" applyBorder="1" applyProtection="1">
      <protection hidden="1"/>
    </xf>
    <xf numFmtId="169" fontId="43" fillId="6" borderId="0" xfId="2" quotePrefix="1" applyNumberFormat="1" applyFont="1" applyFill="1" applyBorder="1" applyProtection="1">
      <protection hidden="1"/>
    </xf>
    <xf numFmtId="169" fontId="43" fillId="5" borderId="0" xfId="2" quotePrefix="1" applyNumberFormat="1" applyFont="1" applyFill="1" applyBorder="1" applyProtection="1">
      <protection hidden="1"/>
    </xf>
    <xf numFmtId="169" fontId="43" fillId="4" borderId="0" xfId="2" quotePrefix="1" applyNumberFormat="1" applyFont="1" applyFill="1" applyBorder="1" applyProtection="1">
      <protection hidden="1"/>
    </xf>
    <xf numFmtId="0" fontId="14" fillId="2" borderId="0" xfId="6" applyFill="1"/>
    <xf numFmtId="0" fontId="35" fillId="2" borderId="0" xfId="6" applyFont="1" applyFill="1"/>
    <xf numFmtId="0" fontId="24" fillId="2" borderId="0" xfId="6" quotePrefix="1" applyFont="1" applyFill="1" applyBorder="1" applyProtection="1">
      <protection hidden="1"/>
    </xf>
    <xf numFmtId="0" fontId="35" fillId="2" borderId="0" xfId="6" applyFont="1" applyFill="1" applyAlignment="1">
      <alignment horizontal="center" vertical="center"/>
    </xf>
    <xf numFmtId="0" fontId="36" fillId="2" borderId="10" xfId="6" applyFont="1" applyFill="1" applyBorder="1" applyAlignment="1" applyProtection="1">
      <alignment wrapText="1"/>
      <protection locked="0"/>
    </xf>
    <xf numFmtId="0" fontId="35" fillId="2" borderId="0" xfId="0" applyFont="1" applyFill="1" applyAlignment="1" applyProtection="1"/>
    <xf numFmtId="0" fontId="35" fillId="2" borderId="0" xfId="0" applyFont="1" applyFill="1" applyProtection="1"/>
    <xf numFmtId="168" fontId="14" fillId="12" borderId="0" xfId="0" applyNumberFormat="1" applyFont="1" applyFill="1" applyBorder="1" applyAlignment="1" applyProtection="1">
      <protection hidden="1"/>
    </xf>
    <xf numFmtId="0" fontId="14" fillId="12" borderId="0" xfId="0" applyFont="1" applyFill="1" applyBorder="1" applyProtection="1">
      <protection hidden="1"/>
    </xf>
    <xf numFmtId="0" fontId="14" fillId="2" borderId="0" xfId="0" applyFont="1" applyFill="1" applyAlignment="1" applyProtection="1"/>
    <xf numFmtId="167" fontId="14" fillId="12" borderId="0" xfId="9" applyNumberFormat="1" applyFont="1" applyFill="1" applyBorder="1" applyAlignment="1" applyProtection="1">
      <alignment wrapText="1"/>
      <protection hidden="1"/>
    </xf>
    <xf numFmtId="0" fontId="14" fillId="12" borderId="0" xfId="0" applyFont="1" applyFill="1" applyBorder="1" applyAlignment="1" applyProtection="1">
      <alignment wrapText="1"/>
      <protection hidden="1"/>
    </xf>
    <xf numFmtId="0" fontId="0" fillId="2" borderId="0" xfId="0" applyFont="1" applyFill="1" applyBorder="1" applyAlignment="1" applyProtection="1"/>
    <xf numFmtId="43" fontId="14" fillId="12" borderId="0" xfId="2" applyFont="1" applyFill="1" applyBorder="1" applyProtection="1">
      <protection hidden="1"/>
    </xf>
    <xf numFmtId="43" fontId="14" fillId="12" borderId="0" xfId="2" applyNumberFormat="1" applyFont="1" applyFill="1" applyBorder="1" applyProtection="1">
      <protection hidden="1"/>
    </xf>
    <xf numFmtId="0" fontId="0" fillId="2" borderId="0" xfId="0" applyFont="1" applyFill="1" applyBorder="1" applyAlignment="1" applyProtection="1">
      <alignment horizontal="left"/>
    </xf>
    <xf numFmtId="0" fontId="0" fillId="2" borderId="0" xfId="0" applyNumberFormat="1" applyFont="1" applyFill="1" applyBorder="1" applyAlignment="1" applyProtection="1"/>
    <xf numFmtId="0" fontId="0" fillId="2" borderId="0" xfId="0" applyNumberFormat="1" applyFont="1" applyFill="1" applyAlignment="1" applyProtection="1"/>
    <xf numFmtId="0" fontId="13" fillId="2" borderId="0" xfId="0" applyFont="1" applyFill="1" applyBorder="1" applyProtection="1"/>
    <xf numFmtId="0" fontId="14" fillId="2" borderId="0" xfId="0" applyFont="1" applyFill="1" applyBorder="1" applyAlignment="1" applyProtection="1"/>
    <xf numFmtId="10" fontId="14" fillId="12" borderId="0" xfId="9" applyNumberFormat="1" applyFont="1" applyFill="1" applyBorder="1" applyAlignment="1" applyProtection="1">
      <alignment wrapText="1"/>
      <protection hidden="1"/>
    </xf>
    <xf numFmtId="169" fontId="43" fillId="2" borderId="0" xfId="2" applyNumberFormat="1" applyFont="1" applyFill="1" applyProtection="1">
      <protection hidden="1"/>
    </xf>
    <xf numFmtId="0" fontId="13" fillId="2" borderId="48" xfId="0" applyFont="1" applyFill="1" applyBorder="1" applyAlignment="1" applyProtection="1">
      <alignment horizontal="left" indent="2"/>
    </xf>
    <xf numFmtId="165" fontId="43" fillId="2" borderId="49" xfId="4" applyNumberFormat="1" applyFont="1" applyFill="1" applyBorder="1"/>
    <xf numFmtId="169" fontId="14" fillId="2" borderId="0" xfId="2" applyNumberFormat="1" applyFont="1" applyFill="1" applyProtection="1">
      <protection hidden="1"/>
    </xf>
    <xf numFmtId="0" fontId="28" fillId="2" borderId="50" xfId="0" applyFont="1" applyFill="1" applyBorder="1" applyAlignment="1" applyProtection="1">
      <alignment horizontal="right"/>
    </xf>
    <xf numFmtId="165" fontId="43" fillId="2" borderId="51" xfId="4" applyNumberFormat="1" applyFont="1" applyFill="1" applyBorder="1"/>
    <xf numFmtId="43" fontId="14" fillId="2" borderId="0" xfId="2" applyFont="1" applyFill="1" applyProtection="1">
      <protection hidden="1"/>
    </xf>
    <xf numFmtId="43" fontId="13" fillId="2" borderId="0" xfId="2" applyFont="1" applyFill="1" applyProtection="1">
      <protection hidden="1"/>
    </xf>
    <xf numFmtId="0" fontId="31" fillId="2" borderId="50" xfId="0" applyFont="1" applyFill="1" applyBorder="1" applyAlignment="1" applyProtection="1">
      <alignment horizontal="right" indent="2"/>
    </xf>
    <xf numFmtId="0" fontId="40" fillId="2" borderId="50" xfId="0" applyFont="1" applyFill="1" applyBorder="1" applyAlignment="1" applyProtection="1">
      <alignment horizontal="left" indent="2"/>
    </xf>
    <xf numFmtId="0" fontId="13" fillId="3" borderId="52" xfId="0" applyFont="1" applyFill="1" applyBorder="1"/>
    <xf numFmtId="165" fontId="13" fillId="2" borderId="51" xfId="4" applyNumberFormat="1" applyFont="1" applyFill="1" applyBorder="1"/>
    <xf numFmtId="0" fontId="12" fillId="2" borderId="50" xfId="7" applyFont="1" applyFill="1" applyBorder="1" applyAlignment="1" applyProtection="1">
      <alignment vertical="center"/>
    </xf>
    <xf numFmtId="9" fontId="13" fillId="2" borderId="50" xfId="7" applyNumberFormat="1" applyFont="1" applyFill="1" applyBorder="1" applyAlignment="1" applyProtection="1">
      <alignment horizontal="left" vertical="center" indent="1"/>
    </xf>
    <xf numFmtId="0" fontId="17" fillId="2" borderId="0" xfId="0" applyFont="1" applyFill="1" applyProtection="1"/>
    <xf numFmtId="0" fontId="13" fillId="3" borderId="53" xfId="0" applyFont="1" applyFill="1" applyBorder="1"/>
    <xf numFmtId="165" fontId="13" fillId="2" borderId="54" xfId="4" applyNumberFormat="1" applyFont="1" applyFill="1" applyBorder="1"/>
    <xf numFmtId="165" fontId="43" fillId="2" borderId="54" xfId="4" applyNumberFormat="1" applyFont="1" applyFill="1" applyBorder="1"/>
    <xf numFmtId="0" fontId="12" fillId="0" borderId="0" xfId="0" applyFont="1" applyProtection="1"/>
    <xf numFmtId="0" fontId="14" fillId="2" borderId="0" xfId="0" applyFont="1" applyFill="1" applyBorder="1"/>
    <xf numFmtId="169" fontId="43" fillId="2" borderId="0" xfId="2" quotePrefix="1" applyNumberFormat="1" applyFont="1" applyFill="1" applyBorder="1" applyProtection="1">
      <protection hidden="1"/>
    </xf>
    <xf numFmtId="43" fontId="14" fillId="2" borderId="0" xfId="2" applyFont="1" applyFill="1" applyProtection="1"/>
    <xf numFmtId="43" fontId="43" fillId="2" borderId="0" xfId="2" quotePrefix="1" applyFont="1" applyFill="1" applyBorder="1" applyProtection="1">
      <protection hidden="1"/>
    </xf>
    <xf numFmtId="10" fontId="43" fillId="2" borderId="0" xfId="9" quotePrefix="1" applyNumberFormat="1" applyFont="1" applyFill="1" applyBorder="1" applyProtection="1">
      <protection hidden="1"/>
    </xf>
    <xf numFmtId="165" fontId="43" fillId="2" borderId="0" xfId="4" applyNumberFormat="1" applyFont="1" applyFill="1" applyBorder="1"/>
    <xf numFmtId="168" fontId="14" fillId="2" borderId="0" xfId="0" applyNumberFormat="1" applyFont="1" applyFill="1" applyProtection="1"/>
    <xf numFmtId="10" fontId="14" fillId="2" borderId="0" xfId="9" applyNumberFormat="1" applyFont="1" applyFill="1" applyProtection="1"/>
    <xf numFmtId="0" fontId="35" fillId="0" borderId="0" xfId="0" applyFont="1" applyAlignment="1" applyProtection="1"/>
    <xf numFmtId="168" fontId="34" fillId="13" borderId="0" xfId="0" applyNumberFormat="1" applyFont="1" applyFill="1" applyBorder="1" applyAlignment="1" applyProtection="1">
      <protection hidden="1"/>
    </xf>
    <xf numFmtId="0" fontId="34" fillId="13" borderId="0" xfId="0" applyFont="1" applyFill="1" applyBorder="1" applyProtection="1">
      <protection hidden="1"/>
    </xf>
    <xf numFmtId="43" fontId="34" fillId="13" borderId="0" xfId="2" applyFont="1" applyFill="1" applyBorder="1" applyProtection="1">
      <protection hidden="1"/>
    </xf>
    <xf numFmtId="168" fontId="34" fillId="14" borderId="0" xfId="0" applyNumberFormat="1" applyFont="1" applyFill="1" applyBorder="1" applyAlignment="1" applyProtection="1">
      <protection hidden="1"/>
    </xf>
    <xf numFmtId="0" fontId="34" fillId="14" borderId="0" xfId="0" applyFont="1" applyFill="1" applyBorder="1" applyProtection="1">
      <protection hidden="1"/>
    </xf>
    <xf numFmtId="43" fontId="34" fillId="14" borderId="0" xfId="2" applyFont="1" applyFill="1" applyBorder="1" applyProtection="1">
      <protection hidden="1"/>
    </xf>
    <xf numFmtId="168" fontId="34" fillId="15" borderId="0" xfId="0" applyNumberFormat="1" applyFont="1" applyFill="1" applyBorder="1" applyAlignment="1" applyProtection="1">
      <protection hidden="1"/>
    </xf>
    <xf numFmtId="0" fontId="34" fillId="15" borderId="0" xfId="0" applyFont="1" applyFill="1" applyBorder="1" applyProtection="1">
      <protection hidden="1"/>
    </xf>
    <xf numFmtId="43" fontId="34" fillId="15" borderId="0" xfId="2" applyFont="1" applyFill="1" applyBorder="1" applyProtection="1">
      <protection hidden="1"/>
    </xf>
    <xf numFmtId="168" fontId="34" fillId="16" borderId="0" xfId="0" applyNumberFormat="1" applyFont="1" applyFill="1" applyBorder="1" applyAlignment="1" applyProtection="1">
      <protection hidden="1"/>
    </xf>
    <xf numFmtId="0" fontId="34" fillId="16" borderId="0" xfId="0" applyFont="1" applyFill="1" applyBorder="1" applyProtection="1">
      <protection hidden="1"/>
    </xf>
    <xf numFmtId="43" fontId="34" fillId="16" borderId="0" xfId="2" applyFont="1" applyFill="1" applyBorder="1" applyProtection="1">
      <protection hidden="1"/>
    </xf>
    <xf numFmtId="168" fontId="34" fillId="17" borderId="0" xfId="0" applyNumberFormat="1" applyFont="1" applyFill="1" applyBorder="1" applyAlignment="1" applyProtection="1">
      <protection hidden="1"/>
    </xf>
    <xf numFmtId="0" fontId="34" fillId="17" borderId="0" xfId="0" applyFont="1" applyFill="1" applyBorder="1" applyProtection="1">
      <protection hidden="1"/>
    </xf>
    <xf numFmtId="43" fontId="34" fillId="17" borderId="0" xfId="2" applyFont="1" applyFill="1" applyBorder="1" applyProtection="1">
      <protection hidden="1"/>
    </xf>
    <xf numFmtId="168" fontId="34" fillId="18" borderId="0" xfId="0" applyNumberFormat="1" applyFont="1" applyFill="1" applyBorder="1" applyAlignment="1" applyProtection="1">
      <protection hidden="1"/>
    </xf>
    <xf numFmtId="43" fontId="34" fillId="18" borderId="0" xfId="2" applyFont="1" applyFill="1" applyBorder="1" applyProtection="1">
      <protection hidden="1"/>
    </xf>
    <xf numFmtId="168" fontId="34" fillId="19" borderId="0" xfId="0" applyNumberFormat="1" applyFont="1" applyFill="1" applyBorder="1" applyAlignment="1" applyProtection="1">
      <protection hidden="1"/>
    </xf>
    <xf numFmtId="0" fontId="34" fillId="19" borderId="0" xfId="0" applyFont="1" applyFill="1" applyBorder="1" applyProtection="1">
      <protection hidden="1"/>
    </xf>
    <xf numFmtId="43" fontId="34" fillId="19" borderId="0" xfId="2" applyFont="1" applyFill="1" applyBorder="1" applyProtection="1">
      <protection hidden="1"/>
    </xf>
    <xf numFmtId="168" fontId="34" fillId="20" borderId="0" xfId="0" applyNumberFormat="1" applyFont="1" applyFill="1" applyBorder="1" applyAlignment="1" applyProtection="1">
      <protection hidden="1"/>
    </xf>
    <xf numFmtId="43" fontId="34" fillId="20" borderId="0" xfId="2" applyFont="1" applyFill="1" applyBorder="1" applyProtection="1">
      <protection hidden="1"/>
    </xf>
    <xf numFmtId="168" fontId="34" fillId="21" borderId="0" xfId="0" applyNumberFormat="1" applyFont="1" applyFill="1" applyBorder="1" applyAlignment="1" applyProtection="1">
      <protection hidden="1"/>
    </xf>
    <xf numFmtId="43" fontId="34" fillId="21" borderId="0" xfId="2" applyFont="1" applyFill="1" applyBorder="1" applyProtection="1">
      <protection hidden="1"/>
    </xf>
    <xf numFmtId="168" fontId="34" fillId="22" borderId="0" xfId="0" applyNumberFormat="1" applyFont="1" applyFill="1" applyBorder="1" applyAlignment="1" applyProtection="1">
      <protection hidden="1"/>
    </xf>
    <xf numFmtId="43" fontId="34" fillId="22" borderId="0" xfId="2" applyFont="1" applyFill="1" applyBorder="1" applyProtection="1">
      <protection hidden="1"/>
    </xf>
    <xf numFmtId="14" fontId="0" fillId="2" borderId="0" xfId="0" applyNumberFormat="1" applyFill="1" applyProtection="1">
      <protection hidden="1"/>
    </xf>
    <xf numFmtId="43" fontId="34" fillId="2" borderId="0" xfId="0" applyNumberFormat="1" applyFont="1" applyFill="1" applyBorder="1" applyProtection="1">
      <protection hidden="1"/>
    </xf>
    <xf numFmtId="0" fontId="34" fillId="19" borderId="0" xfId="0" quotePrefix="1" applyFont="1" applyFill="1" applyBorder="1" applyProtection="1">
      <protection hidden="1"/>
    </xf>
    <xf numFmtId="0" fontId="34" fillId="18" borderId="0" xfId="0" applyFont="1" applyFill="1" applyBorder="1" applyProtection="1">
      <protection hidden="1"/>
    </xf>
    <xf numFmtId="0" fontId="34" fillId="21" borderId="0" xfId="2" applyNumberFormat="1" applyFont="1" applyFill="1" applyBorder="1" applyProtection="1">
      <protection hidden="1"/>
    </xf>
    <xf numFmtId="0" fontId="34" fillId="20" borderId="0" xfId="2" applyNumberFormat="1" applyFont="1" applyFill="1" applyBorder="1" applyProtection="1">
      <protection hidden="1"/>
    </xf>
    <xf numFmtId="0" fontId="34" fillId="22" borderId="0" xfId="2" applyNumberFormat="1" applyFont="1" applyFill="1" applyBorder="1" applyProtection="1">
      <protection hidden="1"/>
    </xf>
    <xf numFmtId="43" fontId="34" fillId="0" borderId="0" xfId="2" applyFont="1" applyFill="1" applyBorder="1" applyProtection="1">
      <protection hidden="1"/>
    </xf>
    <xf numFmtId="14" fontId="34" fillId="2" borderId="0" xfId="0" applyNumberFormat="1" applyFont="1" applyFill="1" applyProtection="1">
      <protection hidden="1"/>
    </xf>
    <xf numFmtId="168" fontId="14" fillId="6" borderId="0" xfId="2" applyNumberFormat="1" applyFont="1" applyFill="1" applyBorder="1" applyProtection="1">
      <protection hidden="1"/>
    </xf>
    <xf numFmtId="43" fontId="14" fillId="6" borderId="0" xfId="0" applyNumberFormat="1" applyFont="1" applyFill="1" applyBorder="1" applyProtection="1">
      <protection hidden="1"/>
    </xf>
    <xf numFmtId="43" fontId="43" fillId="0" borderId="0" xfId="1" quotePrefix="1" applyFont="1" applyFill="1" applyBorder="1" applyProtection="1">
      <protection hidden="1"/>
    </xf>
    <xf numFmtId="43" fontId="14" fillId="0" borderId="0" xfId="0" applyNumberFormat="1" applyFont="1" applyFill="1" applyBorder="1" applyProtection="1">
      <protection hidden="1"/>
    </xf>
    <xf numFmtId="167" fontId="43" fillId="2" borderId="36" xfId="9" applyNumberFormat="1" applyFont="1" applyFill="1" applyBorder="1"/>
    <xf numFmtId="167" fontId="43" fillId="2" borderId="10" xfId="9" applyNumberFormat="1" applyFont="1" applyFill="1" applyBorder="1"/>
    <xf numFmtId="167" fontId="43" fillId="2" borderId="6" xfId="9" applyNumberFormat="1" applyFont="1" applyFill="1" applyBorder="1"/>
    <xf numFmtId="167" fontId="43" fillId="2" borderId="35" xfId="9" applyNumberFormat="1" applyFont="1" applyFill="1" applyBorder="1"/>
    <xf numFmtId="167" fontId="44" fillId="2" borderId="36" xfId="9" applyNumberFormat="1" applyFont="1" applyFill="1" applyBorder="1"/>
    <xf numFmtId="167" fontId="44" fillId="2" borderId="10" xfId="9" applyNumberFormat="1" applyFont="1" applyFill="1" applyBorder="1"/>
    <xf numFmtId="167" fontId="44" fillId="2" borderId="6" xfId="9" applyNumberFormat="1" applyFont="1" applyFill="1" applyBorder="1"/>
    <xf numFmtId="165" fontId="43" fillId="2" borderId="55" xfId="4" applyNumberFormat="1" applyFont="1" applyFill="1" applyBorder="1"/>
    <xf numFmtId="165" fontId="43" fillId="2" borderId="56" xfId="4" applyNumberFormat="1" applyFont="1" applyFill="1" applyBorder="1"/>
    <xf numFmtId="165" fontId="43" fillId="2" borderId="57" xfId="4" applyNumberFormat="1" applyFont="1" applyFill="1" applyBorder="1"/>
    <xf numFmtId="165" fontId="43" fillId="4" borderId="36" xfId="4" applyNumberFormat="1" applyFont="1" applyFill="1" applyBorder="1" applyProtection="1">
      <protection locked="0"/>
    </xf>
    <xf numFmtId="165" fontId="43" fillId="4" borderId="10" xfId="4" applyNumberFormat="1" applyFont="1" applyFill="1" applyBorder="1" applyProtection="1">
      <protection locked="0"/>
    </xf>
    <xf numFmtId="165" fontId="43" fillId="4" borderId="6" xfId="4" applyNumberFormat="1" applyFont="1" applyFill="1" applyBorder="1" applyProtection="1">
      <protection locked="0"/>
    </xf>
    <xf numFmtId="165" fontId="43" fillId="2" borderId="36" xfId="4" applyNumberFormat="1" applyFont="1" applyFill="1" applyBorder="1"/>
    <xf numFmtId="165" fontId="43" fillId="2" borderId="10" xfId="4" applyNumberFormat="1" applyFont="1" applyFill="1" applyBorder="1"/>
    <xf numFmtId="165" fontId="43" fillId="2" borderId="6" xfId="4" applyNumberFormat="1" applyFont="1" applyFill="1" applyBorder="1"/>
    <xf numFmtId="165" fontId="45" fillId="2" borderId="36" xfId="4" applyNumberFormat="1" applyFont="1" applyFill="1" applyBorder="1"/>
    <xf numFmtId="165" fontId="45" fillId="2" borderId="10" xfId="4" applyNumberFormat="1" applyFont="1" applyFill="1" applyBorder="1"/>
    <xf numFmtId="165" fontId="45" fillId="2" borderId="6" xfId="4" applyNumberFormat="1" applyFont="1" applyFill="1" applyBorder="1"/>
    <xf numFmtId="165" fontId="45" fillId="2" borderId="44" xfId="4" applyNumberFormat="1" applyFont="1" applyFill="1" applyBorder="1"/>
    <xf numFmtId="165" fontId="45" fillId="2" borderId="58" xfId="4" applyNumberFormat="1" applyFont="1" applyFill="1" applyBorder="1"/>
    <xf numFmtId="165" fontId="45" fillId="2" borderId="43" xfId="4" applyNumberFormat="1" applyFont="1" applyFill="1" applyBorder="1"/>
    <xf numFmtId="170" fontId="44" fillId="2" borderId="0" xfId="0" applyNumberFormat="1" applyFont="1" applyFill="1" applyAlignment="1" applyProtection="1"/>
    <xf numFmtId="0" fontId="44" fillId="2" borderId="0" xfId="0" applyFont="1" applyFill="1" applyAlignment="1" applyProtection="1"/>
    <xf numFmtId="0" fontId="44" fillId="2" borderId="0" xfId="0" applyFont="1" applyFill="1" applyBorder="1" applyAlignment="1" applyProtection="1"/>
    <xf numFmtId="165" fontId="44" fillId="2" borderId="36" xfId="4" applyNumberFormat="1" applyFont="1" applyFill="1" applyBorder="1"/>
    <xf numFmtId="165" fontId="44" fillId="2" borderId="10" xfId="4" applyNumberFormat="1" applyFont="1" applyFill="1" applyBorder="1"/>
    <xf numFmtId="165" fontId="44" fillId="2" borderId="6" xfId="4" applyNumberFormat="1" applyFont="1" applyFill="1" applyBorder="1"/>
    <xf numFmtId="165" fontId="45" fillId="2" borderId="39" xfId="4" applyNumberFormat="1" applyFont="1" applyFill="1" applyBorder="1" applyProtection="1">
      <protection hidden="1"/>
    </xf>
    <xf numFmtId="165" fontId="45" fillId="2" borderId="3" xfId="4" applyNumberFormat="1" applyFont="1" applyFill="1" applyBorder="1" applyProtection="1">
      <protection hidden="1"/>
    </xf>
    <xf numFmtId="0" fontId="44" fillId="2" borderId="41" xfId="0" applyFont="1" applyFill="1" applyBorder="1" applyAlignment="1" applyProtection="1"/>
    <xf numFmtId="43" fontId="14" fillId="12" borderId="0" xfId="0" applyNumberFormat="1" applyFont="1" applyFill="1" applyBorder="1" applyProtection="1">
      <protection hidden="1"/>
    </xf>
    <xf numFmtId="43" fontId="14" fillId="12" borderId="0" xfId="1" applyFont="1" applyFill="1" applyBorder="1" applyProtection="1">
      <protection hidden="1"/>
    </xf>
    <xf numFmtId="167" fontId="14" fillId="12" borderId="0" xfId="0" applyNumberFormat="1" applyFont="1" applyFill="1" applyBorder="1" applyProtection="1">
      <protection hidden="1"/>
    </xf>
    <xf numFmtId="165" fontId="13" fillId="10" borderId="10" xfId="4" applyNumberFormat="1" applyFont="1" applyFill="1" applyBorder="1" applyProtection="1">
      <protection hidden="1"/>
    </xf>
    <xf numFmtId="0" fontId="0" fillId="23" borderId="59" xfId="0" applyFill="1" applyBorder="1" applyProtection="1"/>
    <xf numFmtId="0" fontId="0" fillId="23" borderId="60" xfId="0" applyFill="1" applyBorder="1" applyProtection="1"/>
    <xf numFmtId="0" fontId="0" fillId="23" borderId="1" xfId="0" applyFill="1" applyBorder="1" applyAlignment="1" applyProtection="1">
      <alignment horizontal="left"/>
      <protection locked="0"/>
    </xf>
    <xf numFmtId="0" fontId="0" fillId="23" borderId="0" xfId="0" applyFill="1" applyBorder="1" applyAlignment="1" applyProtection="1">
      <alignment horizontal="left"/>
    </xf>
    <xf numFmtId="0" fontId="0" fillId="23" borderId="0" xfId="0" applyFill="1" applyBorder="1" applyProtection="1"/>
    <xf numFmtId="0" fontId="0" fillId="23" borderId="23" xfId="0" applyFill="1" applyBorder="1" applyProtection="1"/>
    <xf numFmtId="167" fontId="43" fillId="23" borderId="61" xfId="8" applyNumberFormat="1" applyFont="1" applyFill="1" applyBorder="1" applyAlignment="1" applyProtection="1">
      <alignment horizontal="left"/>
      <protection locked="0"/>
    </xf>
    <xf numFmtId="0" fontId="0" fillId="23" borderId="19" xfId="0" applyFill="1" applyBorder="1" applyAlignment="1" applyProtection="1">
      <alignment horizontal="left"/>
      <protection hidden="1"/>
    </xf>
    <xf numFmtId="9" fontId="43" fillId="23" borderId="19" xfId="8" applyFont="1" applyFill="1" applyBorder="1" applyAlignment="1" applyProtection="1">
      <alignment horizontal="left"/>
      <protection hidden="1"/>
    </xf>
    <xf numFmtId="0" fontId="0" fillId="23" borderId="19" xfId="0" applyFill="1" applyBorder="1" applyProtection="1"/>
    <xf numFmtId="0" fontId="0" fillId="23" borderId="62" xfId="0" applyFill="1" applyBorder="1" applyProtection="1"/>
    <xf numFmtId="0" fontId="46" fillId="24" borderId="63" xfId="0" applyFont="1" applyFill="1" applyBorder="1" applyProtection="1"/>
    <xf numFmtId="0" fontId="46" fillId="24" borderId="64" xfId="0" applyFont="1" applyFill="1" applyBorder="1" applyProtection="1"/>
    <xf numFmtId="0" fontId="46" fillId="24" borderId="65" xfId="0" applyFont="1" applyFill="1" applyBorder="1" applyProtection="1"/>
    <xf numFmtId="0" fontId="13" fillId="25" borderId="0" xfId="0" applyFont="1" applyFill="1" applyBorder="1" applyAlignment="1" applyProtection="1">
      <alignment horizontal="center"/>
      <protection hidden="1"/>
    </xf>
    <xf numFmtId="9" fontId="0" fillId="25" borderId="66" xfId="0" applyNumberFormat="1" applyFill="1" applyBorder="1" applyAlignment="1" applyProtection="1">
      <alignment horizontal="left"/>
      <protection locked="0"/>
    </xf>
    <xf numFmtId="14" fontId="14" fillId="25" borderId="67" xfId="0" applyNumberFormat="1" applyFont="1" applyFill="1" applyBorder="1" applyAlignment="1" applyProtection="1">
      <alignment horizontal="left" vertical="center"/>
      <protection hidden="1"/>
    </xf>
    <xf numFmtId="14" fontId="14" fillId="25" borderId="68" xfId="0" applyNumberFormat="1" applyFont="1" applyFill="1" applyBorder="1" applyAlignment="1" applyProtection="1">
      <alignment horizontal="right" vertical="center"/>
      <protection hidden="1"/>
    </xf>
    <xf numFmtId="167" fontId="14" fillId="25" borderId="69" xfId="8" applyNumberFormat="1" applyFont="1" applyFill="1" applyBorder="1" applyAlignment="1" applyProtection="1">
      <alignment horizontal="center" vertical="center"/>
      <protection hidden="1"/>
    </xf>
    <xf numFmtId="167" fontId="14" fillId="25" borderId="68" xfId="8" applyNumberFormat="1" applyFont="1" applyFill="1" applyBorder="1" applyAlignment="1" applyProtection="1">
      <alignment horizontal="center" vertical="center"/>
      <protection hidden="1"/>
    </xf>
    <xf numFmtId="0" fontId="19" fillId="25" borderId="1" xfId="0" applyFont="1" applyFill="1" applyBorder="1" applyProtection="1">
      <protection hidden="1"/>
    </xf>
    <xf numFmtId="167" fontId="19" fillId="25" borderId="69" xfId="8" applyNumberFormat="1" applyFont="1" applyFill="1" applyBorder="1" applyAlignment="1" applyProtection="1">
      <alignment horizontal="center" vertical="center"/>
      <protection hidden="1"/>
    </xf>
    <xf numFmtId="0" fontId="19" fillId="25" borderId="16" xfId="0" applyFont="1" applyFill="1" applyBorder="1" applyProtection="1">
      <protection hidden="1"/>
    </xf>
    <xf numFmtId="167" fontId="19" fillId="25" borderId="68" xfId="8" applyNumberFormat="1" applyFont="1" applyFill="1" applyBorder="1" applyAlignment="1" applyProtection="1">
      <alignment horizontal="center" vertical="center"/>
      <protection hidden="1"/>
    </xf>
    <xf numFmtId="9" fontId="22" fillId="0" borderId="0" xfId="9" applyFont="1" applyFill="1" applyAlignment="1" applyProtection="1">
      <alignment horizontal="center"/>
      <protection hidden="1"/>
    </xf>
    <xf numFmtId="0" fontId="14" fillId="0" borderId="0" xfId="6" applyFill="1" applyProtection="1">
      <protection hidden="1"/>
    </xf>
    <xf numFmtId="9" fontId="20" fillId="0" borderId="0" xfId="9" applyFont="1" applyFill="1" applyAlignment="1" applyProtection="1">
      <alignment horizontal="center"/>
      <protection hidden="1"/>
    </xf>
    <xf numFmtId="0" fontId="14" fillId="0" borderId="0" xfId="6" applyFont="1" applyFill="1" applyProtection="1">
      <protection hidden="1"/>
    </xf>
    <xf numFmtId="0" fontId="22" fillId="0" borderId="0" xfId="6" applyFont="1" applyProtection="1">
      <protection hidden="1"/>
    </xf>
    <xf numFmtId="0" fontId="14" fillId="0" borderId="0" xfId="0" applyFont="1" applyProtection="1">
      <protection hidden="1"/>
    </xf>
    <xf numFmtId="9" fontId="29" fillId="0" borderId="0" xfId="9" applyFont="1" applyFill="1" applyAlignment="1" applyProtection="1">
      <alignment horizontal="left"/>
      <protection hidden="1"/>
    </xf>
    <xf numFmtId="9" fontId="25" fillId="0" borderId="0" xfId="9" applyFont="1" applyAlignment="1" applyProtection="1">
      <alignment horizontal="center"/>
      <protection hidden="1"/>
    </xf>
    <xf numFmtId="9" fontId="42" fillId="0" borderId="0" xfId="9" applyFont="1" applyAlignment="1" applyProtection="1">
      <alignment horizontal="center"/>
      <protection hidden="1"/>
    </xf>
    <xf numFmtId="0" fontId="14" fillId="0" borderId="0" xfId="0" applyFont="1" applyAlignment="1">
      <alignment vertical="center" wrapText="1"/>
    </xf>
    <xf numFmtId="9" fontId="14" fillId="0" borderId="0" xfId="9" applyFont="1" applyFill="1" applyAlignment="1" applyProtection="1">
      <alignment horizontal="left"/>
      <protection hidden="1"/>
    </xf>
    <xf numFmtId="9" fontId="47" fillId="0" borderId="0" xfId="9" applyFont="1" applyFill="1" applyAlignment="1" applyProtection="1">
      <alignment horizontal="center"/>
      <protection hidden="1"/>
    </xf>
    <xf numFmtId="9" fontId="25" fillId="0" borderId="0" xfId="9" applyFont="1" applyFill="1" applyAlignment="1" applyProtection="1">
      <alignment horizontal="center"/>
      <protection hidden="1"/>
    </xf>
    <xf numFmtId="9" fontId="42" fillId="0" borderId="0" xfId="9" applyFont="1" applyFill="1" applyAlignment="1" applyProtection="1">
      <alignment horizontal="center"/>
      <protection hidden="1"/>
    </xf>
    <xf numFmtId="9" fontId="48" fillId="0" borderId="0" xfId="9" applyFont="1" applyFill="1" applyAlignment="1" applyProtection="1">
      <alignment horizontal="center"/>
      <protection hidden="1"/>
    </xf>
    <xf numFmtId="43" fontId="34" fillId="14" borderId="0" xfId="2" quotePrefix="1" applyFont="1" applyFill="1" applyBorder="1" applyProtection="1">
      <protection hidden="1"/>
    </xf>
    <xf numFmtId="14" fontId="14" fillId="0" borderId="0" xfId="6" applyNumberFormat="1" applyFont="1" applyFill="1" applyProtection="1">
      <protection hidden="1"/>
    </xf>
    <xf numFmtId="9" fontId="42" fillId="0" borderId="0" xfId="2" applyNumberFormat="1" applyFont="1" applyFill="1" applyAlignment="1" applyProtection="1">
      <alignment horizontal="center"/>
      <protection hidden="1"/>
    </xf>
    <xf numFmtId="9" fontId="42" fillId="26" borderId="0" xfId="9" applyFont="1" applyFill="1" applyAlignment="1" applyProtection="1">
      <alignment horizontal="center"/>
      <protection hidden="1"/>
    </xf>
    <xf numFmtId="0" fontId="49" fillId="0" borderId="0" xfId="0" applyFont="1"/>
    <xf numFmtId="0" fontId="49" fillId="0" borderId="0" xfId="0" applyFont="1" applyAlignment="1">
      <alignment horizontal="right"/>
    </xf>
    <xf numFmtId="14" fontId="49" fillId="0" borderId="0" xfId="0" applyNumberFormat="1" applyFont="1"/>
    <xf numFmtId="0" fontId="50" fillId="0" borderId="0" xfId="0" applyFont="1" applyFill="1" applyAlignment="1">
      <alignment horizontal="right"/>
    </xf>
    <xf numFmtId="0" fontId="51" fillId="0" borderId="0" xfId="0" applyFont="1" applyFill="1"/>
    <xf numFmtId="0" fontId="50" fillId="0" borderId="0" xfId="0" applyFont="1"/>
    <xf numFmtId="0" fontId="51" fillId="0" borderId="0" xfId="0" applyFont="1"/>
    <xf numFmtId="43" fontId="0" fillId="2" borderId="0" xfId="1" applyFont="1" applyFill="1" applyProtection="1"/>
    <xf numFmtId="0" fontId="53" fillId="2" borderId="0" xfId="0" applyFont="1" applyFill="1" applyProtection="1">
      <protection hidden="1"/>
    </xf>
    <xf numFmtId="0" fontId="54" fillId="0" borderId="0" xfId="6" applyFont="1" applyProtection="1">
      <protection hidden="1"/>
    </xf>
    <xf numFmtId="0" fontId="19" fillId="25" borderId="1" xfId="0" applyFont="1" applyFill="1" applyBorder="1" applyAlignment="1" applyProtection="1">
      <alignment vertical="center" wrapText="1"/>
      <protection hidden="1"/>
    </xf>
    <xf numFmtId="167" fontId="14" fillId="25" borderId="67" xfId="8" applyNumberFormat="1" applyFont="1" applyFill="1" applyBorder="1" applyAlignment="1" applyProtection="1">
      <alignment horizontal="center" vertical="center"/>
      <protection hidden="1"/>
    </xf>
    <xf numFmtId="0" fontId="29" fillId="0" borderId="0" xfId="6" applyFont="1" applyProtection="1">
      <protection hidden="1"/>
    </xf>
    <xf numFmtId="0" fontId="14" fillId="26" borderId="0" xfId="6" applyFill="1" applyProtection="1">
      <protection hidden="1"/>
    </xf>
    <xf numFmtId="165" fontId="14" fillId="2" borderId="36" xfId="4" quotePrefix="1" applyNumberFormat="1" applyFont="1" applyFill="1" applyBorder="1" applyProtection="1">
      <protection hidden="1"/>
    </xf>
    <xf numFmtId="167" fontId="42" fillId="27" borderId="0" xfId="9" applyNumberFormat="1" applyFont="1" applyFill="1" applyAlignment="1" applyProtection="1">
      <alignment horizontal="center"/>
      <protection hidden="1"/>
    </xf>
    <xf numFmtId="9" fontId="42" fillId="27" borderId="0" xfId="9" applyFont="1" applyFill="1" applyAlignment="1" applyProtection="1">
      <alignment horizontal="center"/>
      <protection hidden="1"/>
    </xf>
    <xf numFmtId="0" fontId="55" fillId="2" borderId="0" xfId="0" applyFont="1" applyFill="1" applyBorder="1" applyProtection="1">
      <protection hidden="1"/>
    </xf>
    <xf numFmtId="0" fontId="56" fillId="28" borderId="78" xfId="0" applyFont="1" applyFill="1" applyBorder="1" applyAlignment="1">
      <alignment vertical="center"/>
    </xf>
    <xf numFmtId="9" fontId="56" fillId="28" borderId="78" xfId="0" applyNumberFormat="1" applyFont="1" applyFill="1" applyBorder="1" applyAlignment="1">
      <alignment horizontal="right" vertical="center"/>
    </xf>
    <xf numFmtId="0" fontId="56" fillId="29" borderId="78" xfId="0" applyFont="1" applyFill="1" applyBorder="1" applyAlignment="1">
      <alignment vertical="center"/>
    </xf>
    <xf numFmtId="9" fontId="56" fillId="29" borderId="78" xfId="0" applyNumberFormat="1" applyFont="1" applyFill="1" applyBorder="1" applyAlignment="1">
      <alignment horizontal="right" vertical="center"/>
    </xf>
    <xf numFmtId="14" fontId="14" fillId="0" borderId="0" xfId="6" quotePrefix="1" applyNumberFormat="1" applyProtection="1">
      <protection hidden="1"/>
    </xf>
    <xf numFmtId="0" fontId="35" fillId="2" borderId="0" xfId="0" applyFont="1" applyFill="1" applyBorder="1" applyAlignment="1" applyProtection="1">
      <alignment horizontal="right" vertical="top"/>
      <protection hidden="1"/>
    </xf>
    <xf numFmtId="9" fontId="14" fillId="0" borderId="0" xfId="9" applyFont="1" applyAlignment="1" applyProtection="1">
      <alignment horizontal="center"/>
      <protection hidden="1"/>
    </xf>
    <xf numFmtId="9" fontId="14" fillId="0" borderId="0" xfId="9" applyFont="1" applyProtection="1">
      <protection hidden="1"/>
    </xf>
    <xf numFmtId="167" fontId="14" fillId="25" borderId="68" xfId="8" applyNumberFormat="1" applyFont="1" applyFill="1" applyBorder="1" applyAlignment="1" applyProtection="1">
      <alignment horizontal="left" vertical="center"/>
      <protection hidden="1"/>
    </xf>
    <xf numFmtId="9" fontId="14" fillId="0" borderId="0" xfId="9" applyFont="1" applyFill="1" applyAlignment="1" applyProtection="1">
      <alignment horizontal="center"/>
      <protection hidden="1"/>
    </xf>
    <xf numFmtId="0" fontId="14" fillId="0" borderId="0" xfId="6" applyFont="1" applyAlignment="1" applyProtection="1">
      <alignment horizontal="left"/>
      <protection hidden="1"/>
    </xf>
    <xf numFmtId="0" fontId="14" fillId="0" borderId="0" xfId="6" applyFont="1" applyAlignment="1" applyProtection="1">
      <alignment horizontal="right"/>
      <protection hidden="1"/>
    </xf>
    <xf numFmtId="167" fontId="14" fillId="25" borderId="67" xfId="8" applyNumberFormat="1" applyFont="1" applyFill="1" applyBorder="1" applyAlignment="1" applyProtection="1">
      <alignment horizontal="left" vertical="center"/>
      <protection hidden="1"/>
    </xf>
    <xf numFmtId="167" fontId="14" fillId="25" borderId="69" xfId="8" applyNumberFormat="1" applyFont="1" applyFill="1" applyBorder="1" applyAlignment="1" applyProtection="1">
      <alignment horizontal="left" vertical="center"/>
      <protection hidden="1"/>
    </xf>
    <xf numFmtId="167" fontId="14" fillId="0" borderId="0" xfId="9" applyNumberFormat="1" applyFont="1" applyFill="1" applyAlignment="1" applyProtection="1">
      <alignment horizontal="center"/>
      <protection hidden="1"/>
    </xf>
    <xf numFmtId="167" fontId="14" fillId="27" borderId="0" xfId="9" applyNumberFormat="1" applyFont="1" applyFill="1" applyAlignment="1" applyProtection="1">
      <alignment horizontal="center"/>
      <protection hidden="1"/>
    </xf>
    <xf numFmtId="0" fontId="20" fillId="0" borderId="0" xfId="6" applyFont="1" applyAlignment="1">
      <alignment vertical="top"/>
    </xf>
    <xf numFmtId="0" fontId="20" fillId="0" borderId="0" xfId="6" applyFont="1" applyAlignment="1" applyProtection="1">
      <protection hidden="1"/>
    </xf>
    <xf numFmtId="0" fontId="0" fillId="2" borderId="0" xfId="0" applyNumberFormat="1" applyFill="1" applyProtection="1"/>
    <xf numFmtId="0" fontId="3" fillId="2" borderId="0" xfId="0" applyFont="1" applyFill="1" applyAlignment="1" applyProtection="1">
      <alignment horizontal="left" vertical="top" wrapText="1"/>
    </xf>
    <xf numFmtId="0" fontId="2" fillId="2" borderId="0" xfId="0" applyFont="1" applyFill="1" applyAlignment="1" applyProtection="1">
      <alignment horizontal="center"/>
    </xf>
    <xf numFmtId="0" fontId="2" fillId="2" borderId="0" xfId="0" applyFont="1" applyFill="1" applyAlignment="1" applyProtection="1">
      <alignment horizontal="justify" vertical="top" wrapText="1"/>
    </xf>
    <xf numFmtId="0" fontId="0" fillId="0" borderId="0" xfId="0" applyAlignment="1">
      <alignment vertical="top" wrapText="1"/>
    </xf>
    <xf numFmtId="0" fontId="3" fillId="2" borderId="0" xfId="0" applyFont="1" applyFill="1" applyAlignment="1" applyProtection="1">
      <alignment horizontal="left"/>
    </xf>
    <xf numFmtId="0" fontId="7"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5" fillId="2" borderId="0" xfId="0" applyFont="1" applyFill="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10" fillId="0" borderId="0" xfId="5" applyAlignment="1" applyProtection="1"/>
    <xf numFmtId="0" fontId="7" fillId="2" borderId="13" xfId="0" applyFont="1" applyFill="1" applyBorder="1" applyAlignment="1" applyProtection="1">
      <alignment horizontal="left" vertical="top" wrapText="1"/>
    </xf>
    <xf numFmtId="0" fontId="7" fillId="2" borderId="14" xfId="0" applyFont="1" applyFill="1" applyBorder="1" applyAlignment="1" applyProtection="1">
      <alignment horizontal="left" vertical="top" wrapText="1"/>
    </xf>
    <xf numFmtId="0" fontId="7" fillId="2" borderId="15" xfId="0" applyFont="1" applyFill="1" applyBorder="1" applyAlignment="1" applyProtection="1">
      <alignment horizontal="left" vertical="top" wrapText="1"/>
    </xf>
    <xf numFmtId="9" fontId="43" fillId="23" borderId="19" xfId="8" applyFont="1" applyFill="1" applyBorder="1" applyAlignment="1" applyProtection="1">
      <alignment horizontal="left"/>
      <protection locked="0" hidden="1"/>
    </xf>
    <xf numFmtId="0" fontId="0" fillId="23" borderId="19" xfId="0" applyFill="1" applyBorder="1" applyAlignment="1" applyProtection="1">
      <alignment horizontal="left"/>
      <protection locked="0" hidden="1"/>
    </xf>
    <xf numFmtId="0" fontId="13" fillId="25" borderId="67" xfId="0" applyFont="1" applyFill="1" applyBorder="1" applyAlignment="1" applyProtection="1">
      <alignment horizontal="left" vertical="center"/>
      <protection hidden="1"/>
    </xf>
    <xf numFmtId="0" fontId="14" fillId="25" borderId="68" xfId="0" applyFont="1" applyFill="1" applyBorder="1" applyAlignment="1" applyProtection="1">
      <alignment horizontal="left" vertical="center"/>
      <protection hidden="1"/>
    </xf>
    <xf numFmtId="0" fontId="14" fillId="23" borderId="70" xfId="0" applyFont="1" applyFill="1" applyBorder="1" applyAlignment="1" applyProtection="1">
      <alignment horizontal="left"/>
      <protection locked="0"/>
    </xf>
    <xf numFmtId="0" fontId="0" fillId="23" borderId="59" xfId="0" applyFill="1" applyBorder="1" applyAlignment="1" applyProtection="1">
      <alignment horizontal="left"/>
      <protection locked="0"/>
    </xf>
    <xf numFmtId="0" fontId="0" fillId="23" borderId="0" xfId="0" applyFill="1" applyBorder="1" applyAlignment="1" applyProtection="1">
      <alignment horizontal="left"/>
      <protection locked="0"/>
    </xf>
    <xf numFmtId="14" fontId="0" fillId="23" borderId="0" xfId="0" applyNumberFormat="1" applyFill="1" applyBorder="1" applyAlignment="1" applyProtection="1">
      <alignment horizontal="left"/>
      <protection locked="0"/>
    </xf>
    <xf numFmtId="0" fontId="0" fillId="23" borderId="1" xfId="0" applyFill="1" applyBorder="1" applyAlignment="1" applyProtection="1">
      <alignment horizontal="left"/>
      <protection locked="0"/>
    </xf>
    <xf numFmtId="0" fontId="10" fillId="2" borderId="0" xfId="5" applyFill="1" applyBorder="1" applyAlignment="1" applyProtection="1">
      <alignment horizontal="center"/>
      <protection locked="0" hidden="1"/>
    </xf>
    <xf numFmtId="0" fontId="12" fillId="4" borderId="0" xfId="0" applyFont="1" applyFill="1" applyBorder="1" applyAlignment="1" applyProtection="1">
      <alignment horizontal="center" vertical="center"/>
      <protection locked="0"/>
    </xf>
    <xf numFmtId="0" fontId="12" fillId="4" borderId="28"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protection hidden="1"/>
    </xf>
    <xf numFmtId="0" fontId="12" fillId="10" borderId="28" xfId="0" applyFont="1" applyFill="1" applyBorder="1" applyAlignment="1" applyProtection="1">
      <alignment horizontal="center" vertical="center"/>
      <protection hidden="1"/>
    </xf>
    <xf numFmtId="14" fontId="28" fillId="2" borderId="1" xfId="0" applyNumberFormat="1" applyFont="1" applyFill="1" applyBorder="1" applyAlignment="1" applyProtection="1">
      <alignment horizontal="center"/>
      <protection hidden="1"/>
    </xf>
    <xf numFmtId="14" fontId="28" fillId="2" borderId="2" xfId="0" applyNumberFormat="1" applyFont="1" applyFill="1" applyBorder="1" applyAlignment="1" applyProtection="1">
      <alignment horizontal="center"/>
      <protection hidden="1"/>
    </xf>
    <xf numFmtId="0" fontId="13" fillId="2" borderId="34" xfId="0" applyFont="1" applyFill="1" applyBorder="1" applyAlignment="1" applyProtection="1">
      <alignment horizontal="left" vertical="distributed" wrapText="1"/>
      <protection hidden="1"/>
    </xf>
    <xf numFmtId="0" fontId="14" fillId="2" borderId="34" xfId="0" applyFont="1" applyFill="1" applyBorder="1" applyAlignment="1">
      <alignment horizontal="left" vertical="distributed"/>
    </xf>
    <xf numFmtId="0" fontId="13" fillId="3" borderId="75" xfId="0" applyFont="1" applyFill="1" applyBorder="1" applyAlignment="1" applyProtection="1">
      <alignment horizontal="center"/>
      <protection hidden="1"/>
    </xf>
    <xf numFmtId="0" fontId="13" fillId="3" borderId="74" xfId="0" applyFont="1" applyFill="1" applyBorder="1" applyAlignment="1" applyProtection="1">
      <alignment horizontal="center"/>
      <protection hidden="1"/>
    </xf>
    <xf numFmtId="0" fontId="13" fillId="3" borderId="73" xfId="0" applyFont="1" applyFill="1" applyBorder="1" applyAlignment="1" applyProtection="1">
      <alignment horizontal="center"/>
      <protection hidden="1"/>
    </xf>
    <xf numFmtId="14" fontId="28" fillId="2" borderId="35" xfId="0" applyNumberFormat="1" applyFont="1" applyFill="1" applyBorder="1" applyAlignment="1" applyProtection="1">
      <alignment horizontal="center"/>
      <protection hidden="1"/>
    </xf>
    <xf numFmtId="14" fontId="28" fillId="2" borderId="0" xfId="0" applyNumberFormat="1" applyFont="1" applyFill="1" applyBorder="1" applyAlignment="1" applyProtection="1">
      <alignment horizontal="center"/>
      <protection hidden="1"/>
    </xf>
    <xf numFmtId="14" fontId="28" fillId="2" borderId="76" xfId="0" applyNumberFormat="1" applyFont="1" applyFill="1" applyBorder="1" applyAlignment="1" applyProtection="1">
      <alignment horizontal="center"/>
      <protection hidden="1"/>
    </xf>
    <xf numFmtId="14" fontId="28" fillId="2" borderId="77" xfId="0" applyNumberFormat="1" applyFont="1" applyFill="1" applyBorder="1" applyAlignment="1" applyProtection="1">
      <alignment horizontal="center"/>
      <protection hidden="1"/>
    </xf>
    <xf numFmtId="14" fontId="28" fillId="2" borderId="71" xfId="0" applyNumberFormat="1" applyFont="1" applyFill="1" applyBorder="1" applyAlignment="1" applyProtection="1">
      <alignment horizontal="center"/>
      <protection hidden="1"/>
    </xf>
    <xf numFmtId="14" fontId="28" fillId="2" borderId="72" xfId="0" applyNumberFormat="1" applyFont="1" applyFill="1" applyBorder="1" applyAlignment="1" applyProtection="1">
      <alignment horizontal="center"/>
      <protection hidden="1"/>
    </xf>
    <xf numFmtId="0" fontId="37" fillId="0" borderId="0" xfId="5" applyFont="1" applyAlignment="1" applyProtection="1">
      <alignment horizontal="center"/>
    </xf>
  </cellXfs>
  <cellStyles count="10">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 name="Normal_ENTBUDGT" xfId="7" xr:uid="{00000000-0005-0000-0000-000007000000}"/>
    <cellStyle name="Percent" xfId="8" builtinId="5"/>
    <cellStyle name="Percent 2" xfId="9" xr:uid="{00000000-0005-0000-0000-000009000000}"/>
  </cellStyles>
  <dxfs count="17">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auto="1"/>
      </font>
      <fill>
        <patternFill>
          <bgColor indexed="47"/>
        </patternFill>
      </fill>
    </dxf>
    <dxf>
      <font>
        <condense val="0"/>
        <extend val="0"/>
        <color indexed="9"/>
      </font>
      <fill>
        <patternFill>
          <bgColor indexed="9"/>
        </patternFill>
      </fill>
      <border>
        <left/>
        <right/>
        <top/>
        <bottom/>
      </border>
    </dxf>
    <dxf>
      <font>
        <color theme="0"/>
      </font>
      <fill>
        <patternFill>
          <bgColor indexed="9"/>
        </patternFill>
      </fill>
      <border>
        <left/>
        <right/>
        <top/>
        <bottom/>
      </border>
    </dxf>
    <dxf>
      <font>
        <condense val="0"/>
        <extend val="0"/>
        <color indexed="9"/>
      </font>
    </dxf>
    <dxf>
      <font>
        <condense val="0"/>
        <extend val="0"/>
        <color indexed="8"/>
      </font>
    </dxf>
    <dxf>
      <font>
        <condense val="0"/>
        <extend val="0"/>
        <color auto="1"/>
      </font>
    </dxf>
    <dxf>
      <font>
        <condense val="0"/>
        <extend val="0"/>
        <color auto="1"/>
      </font>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Q$20"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O$43"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76</xdr:row>
      <xdr:rowOff>28575</xdr:rowOff>
    </xdr:from>
    <xdr:to>
      <xdr:col>9</xdr:col>
      <xdr:colOff>419100</xdr:colOff>
      <xdr:row>84</xdr:row>
      <xdr:rowOff>57150</xdr:rowOff>
    </xdr:to>
    <xdr:sp macro="" textlink="">
      <xdr:nvSpPr>
        <xdr:cNvPr id="1025" name="Freeform 10">
          <a:extLst>
            <a:ext uri="{FF2B5EF4-FFF2-40B4-BE49-F238E27FC236}">
              <a16:creationId xmlns:a16="http://schemas.microsoft.com/office/drawing/2014/main" id="{00000000-0008-0000-0000-000001040000}"/>
            </a:ext>
          </a:extLst>
        </xdr:cNvPr>
        <xdr:cNvSpPr>
          <a:spLocks/>
        </xdr:cNvSpPr>
      </xdr:nvSpPr>
      <xdr:spPr bwMode="auto">
        <a:xfrm>
          <a:off x="6419850" y="16868775"/>
          <a:ext cx="1400175" cy="1552575"/>
        </a:xfrm>
        <a:custGeom>
          <a:avLst/>
          <a:gdLst>
            <a:gd name="T0" fmla="*/ 0 w 147"/>
            <a:gd name="T1" fmla="*/ 0 h 139"/>
            <a:gd name="T2" fmla="*/ 0 w 147"/>
            <a:gd name="T3" fmla="*/ 2147483646 h 139"/>
            <a:gd name="T4" fmla="*/ 2147483646 w 147"/>
            <a:gd name="T5" fmla="*/ 2147483646 h 139"/>
            <a:gd name="T6" fmla="*/ 2147483646 w 147"/>
            <a:gd name="T7" fmla="*/ 2147483646 h 139"/>
            <a:gd name="T8" fmla="*/ 2147483646 w 147"/>
            <a:gd name="T9" fmla="*/ 2147483646 h 139"/>
            <a:gd name="T10" fmla="*/ 0 60000 65536"/>
            <a:gd name="T11" fmla="*/ 0 60000 65536"/>
            <a:gd name="T12" fmla="*/ 0 60000 65536"/>
            <a:gd name="T13" fmla="*/ 0 60000 65536"/>
            <a:gd name="T14" fmla="*/ 0 60000 65536"/>
            <a:gd name="T15" fmla="*/ 0 w 147"/>
            <a:gd name="T16" fmla="*/ 0 h 139"/>
            <a:gd name="T17" fmla="*/ 147 w 147"/>
            <a:gd name="T18" fmla="*/ 139 h 139"/>
          </a:gdLst>
          <a:ahLst/>
          <a:cxnLst>
            <a:cxn ang="T10">
              <a:pos x="T0" y="T1"/>
            </a:cxn>
            <a:cxn ang="T11">
              <a:pos x="T2" y="T3"/>
            </a:cxn>
            <a:cxn ang="T12">
              <a:pos x="T4" y="T5"/>
            </a:cxn>
            <a:cxn ang="T13">
              <a:pos x="T6" y="T7"/>
            </a:cxn>
            <a:cxn ang="T14">
              <a:pos x="T8" y="T9"/>
            </a:cxn>
          </a:cxnLst>
          <a:rect l="T15" t="T16" r="T17" b="T18"/>
          <a:pathLst>
            <a:path w="147" h="139">
              <a:moveTo>
                <a:pt x="0" y="0"/>
              </a:moveTo>
              <a:lnTo>
                <a:pt x="0" y="22"/>
              </a:lnTo>
              <a:lnTo>
                <a:pt x="147" y="22"/>
              </a:lnTo>
              <a:lnTo>
                <a:pt x="147" y="139"/>
              </a:lnTo>
              <a:lnTo>
                <a:pt x="111" y="139"/>
              </a:lnTo>
            </a:path>
          </a:pathLst>
        </a:custGeom>
        <a:noFill/>
        <a:ln w="9525" cap="flat" cmpd="sng">
          <a:solidFill>
            <a:srgbClr val="000000"/>
          </a:solidFill>
          <a:prstDash val="solid"/>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8</xdr:col>
          <xdr:colOff>152400</xdr:colOff>
          <xdr:row>13</xdr:row>
          <xdr:rowOff>25400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MTDC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13</xdr:row>
          <xdr:rowOff>63500</xdr:rowOff>
        </xdr:from>
        <xdr:to>
          <xdr:col>8</xdr:col>
          <xdr:colOff>292100</xdr:colOff>
          <xdr:row>15</xdr:row>
          <xdr:rowOff>101600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TDC</a:t>
              </a:r>
            </a:p>
          </xdr:txBody>
        </xdr:sp>
        <xdr:clientData/>
      </xdr:twoCellAnchor>
    </mc:Choice>
    <mc:Fallback/>
  </mc:AlternateContent>
  <xdr:twoCellAnchor>
    <xdr:from>
      <xdr:col>0</xdr:col>
      <xdr:colOff>137583</xdr:colOff>
      <xdr:row>0</xdr:row>
      <xdr:rowOff>148165</xdr:rowOff>
    </xdr:from>
    <xdr:to>
      <xdr:col>7</xdr:col>
      <xdr:colOff>201083</xdr:colOff>
      <xdr:row>5</xdr:row>
      <xdr:rowOff>161912</xdr:rowOff>
    </xdr:to>
    <xdr:pic>
      <xdr:nvPicPr>
        <xdr:cNvPr id="5" name="Picture 4" descr="A close up of a sign&#10;&#10;Description automatically generated">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3" y="148165"/>
          <a:ext cx="6074833" cy="9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647700</xdr:colOff>
          <xdr:row>42</xdr:row>
          <xdr:rowOff>0</xdr:rowOff>
        </xdr:from>
        <xdr:to>
          <xdr:col>12</xdr:col>
          <xdr:colOff>127000</xdr:colOff>
          <xdr:row>43</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394608</xdr:colOff>
      <xdr:row>0</xdr:row>
      <xdr:rowOff>0</xdr:rowOff>
    </xdr:from>
    <xdr:to>
      <xdr:col>7</xdr:col>
      <xdr:colOff>509512</xdr:colOff>
      <xdr:row>5</xdr:row>
      <xdr:rowOff>13747</xdr:rowOff>
    </xdr:to>
    <xdr:pic>
      <xdr:nvPicPr>
        <xdr:cNvPr id="3" name="Picture 2" descr="A close up of a sign&#10;&#10;Description automatically generated">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5" y="0"/>
          <a:ext cx="6074833" cy="9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3164417</xdr:colOff>
      <xdr:row>0</xdr:row>
      <xdr:rowOff>0</xdr:rowOff>
    </xdr:from>
    <xdr:to>
      <xdr:col>7</xdr:col>
      <xdr:colOff>836083</xdr:colOff>
      <xdr:row>5</xdr:row>
      <xdr:rowOff>3164</xdr:rowOff>
    </xdr:to>
    <xdr:pic>
      <xdr:nvPicPr>
        <xdr:cNvPr id="3" name="Picture 2" descr="A close up of a sign&#10;&#10;Description automatically generated">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4417" y="0"/>
          <a:ext cx="6074833" cy="9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466725</xdr:colOff>
      <xdr:row>0</xdr:row>
      <xdr:rowOff>0</xdr:rowOff>
    </xdr:from>
    <xdr:to>
      <xdr:col>1</xdr:col>
      <xdr:colOff>4667250</xdr:colOff>
      <xdr:row>4</xdr:row>
      <xdr:rowOff>19050</xdr:rowOff>
    </xdr:to>
    <xdr:pic>
      <xdr:nvPicPr>
        <xdr:cNvPr id="3" name="Picture 2" descr="A close up of a sign&#10;&#10;Description automatically generated">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0"/>
          <a:ext cx="4810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93"/>
  <sheetViews>
    <sheetView workbookViewId="0">
      <selection activeCell="O1" sqref="O1"/>
    </sheetView>
  </sheetViews>
  <sheetFormatPr baseColWidth="10" defaultColWidth="0" defaultRowHeight="12.75" customHeight="1" zeroHeight="1"/>
  <cols>
    <col min="1" max="1" width="25.6640625" style="1" customWidth="1"/>
    <col min="2" max="2" width="6.33203125" style="1" bestFit="1" customWidth="1"/>
    <col min="3" max="3" width="15.5" style="1" bestFit="1" customWidth="1"/>
    <col min="4" max="4" width="8.83203125" style="1" customWidth="1"/>
    <col min="5" max="5" width="12.1640625" style="1" customWidth="1"/>
    <col min="6" max="6" width="11.83203125" style="1" bestFit="1" customWidth="1"/>
    <col min="7" max="7" width="10.6640625" style="1" customWidth="1"/>
    <col min="8" max="8" width="10.1640625" style="1" bestFit="1" customWidth="1"/>
    <col min="9" max="9" width="9.6640625" style="1" bestFit="1" customWidth="1"/>
    <col min="10" max="10" width="9.1640625" style="1" customWidth="1"/>
    <col min="11" max="11" width="5.6640625" style="1" customWidth="1"/>
    <col min="12" max="13" width="7.33203125" style="1" customWidth="1"/>
    <col min="14" max="14" width="6.5" style="1" customWidth="1"/>
    <col min="15" max="15" width="9.1640625" style="1" customWidth="1"/>
    <col min="16" max="16384" width="0" style="1" hidden="1"/>
  </cols>
  <sheetData>
    <row r="1" spans="1:15" ht="15">
      <c r="O1" s="2" t="str">
        <f>Sheet1!N1</f>
        <v>FY22-10year-10/26/2021</v>
      </c>
    </row>
    <row r="2" spans="1:15" ht="18">
      <c r="A2" s="551" t="s">
        <v>0</v>
      </c>
      <c r="B2" s="551"/>
      <c r="C2" s="551"/>
      <c r="D2" s="551"/>
      <c r="E2" s="551"/>
      <c r="F2" s="551"/>
      <c r="G2" s="551"/>
      <c r="H2" s="551"/>
      <c r="I2" s="551"/>
      <c r="J2" s="551"/>
      <c r="K2" s="551"/>
      <c r="L2" s="551"/>
      <c r="M2" s="551"/>
      <c r="N2" s="551"/>
      <c r="O2" s="551"/>
    </row>
    <row r="3" spans="1:15" ht="18">
      <c r="A3" s="3"/>
    </row>
    <row r="4" spans="1:15" ht="23.25" customHeight="1">
      <c r="A4" s="552" t="s">
        <v>1</v>
      </c>
      <c r="B4" s="553"/>
      <c r="C4" s="553"/>
      <c r="D4" s="553"/>
      <c r="E4" s="553"/>
      <c r="F4" s="553"/>
      <c r="G4" s="553"/>
      <c r="H4" s="553"/>
      <c r="I4" s="553"/>
      <c r="J4" s="553"/>
      <c r="K4" s="553"/>
      <c r="L4" s="553"/>
      <c r="M4" s="553"/>
      <c r="N4" s="553"/>
      <c r="O4" s="553"/>
    </row>
    <row r="5" spans="1:15" ht="16">
      <c r="A5" s="4"/>
    </row>
    <row r="6" spans="1:15" ht="16">
      <c r="A6" s="4"/>
    </row>
    <row r="7" spans="1:15" ht="16">
      <c r="A7" s="554" t="s">
        <v>300</v>
      </c>
      <c r="B7" s="554"/>
      <c r="C7" s="554"/>
      <c r="D7" s="554"/>
      <c r="E7" s="554"/>
      <c r="F7" s="554"/>
      <c r="G7" s="554"/>
      <c r="H7" s="554"/>
      <c r="I7" s="554"/>
      <c r="J7" s="554"/>
      <c r="K7" s="554"/>
      <c r="L7" s="554"/>
      <c r="M7" s="554"/>
      <c r="N7" s="554"/>
      <c r="O7" s="554"/>
    </row>
    <row r="8" spans="1:15" ht="16">
      <c r="A8" s="4"/>
    </row>
    <row r="9" spans="1:15" ht="33" customHeight="1">
      <c r="A9" s="550" t="s">
        <v>268</v>
      </c>
      <c r="B9" s="550"/>
      <c r="C9" s="550"/>
      <c r="D9" s="550"/>
      <c r="E9" s="550"/>
      <c r="F9" s="550"/>
      <c r="G9" s="550"/>
      <c r="H9" s="550"/>
      <c r="I9" s="550"/>
      <c r="J9" s="550"/>
      <c r="K9" s="550"/>
      <c r="L9" s="550"/>
      <c r="M9" s="550"/>
      <c r="N9" s="550"/>
      <c r="O9" s="550"/>
    </row>
    <row r="10" spans="1:15" ht="16">
      <c r="A10" s="4"/>
    </row>
    <row r="11" spans="1:15" ht="15" customHeight="1">
      <c r="A11" s="550" t="s">
        <v>287</v>
      </c>
      <c r="B11" s="550"/>
      <c r="C11" s="550"/>
      <c r="D11" s="550"/>
      <c r="E11" s="550"/>
      <c r="F11" s="550"/>
      <c r="G11" s="550"/>
      <c r="H11" s="550"/>
      <c r="I11" s="550"/>
      <c r="J11" s="550"/>
      <c r="K11" s="550"/>
      <c r="L11" s="550"/>
      <c r="M11" s="550"/>
      <c r="N11" s="550"/>
      <c r="O11" s="550"/>
    </row>
    <row r="12" spans="1:15" ht="16">
      <c r="A12" s="4"/>
    </row>
    <row r="13" spans="1:15" ht="51" customHeight="1">
      <c r="A13" s="550" t="s">
        <v>297</v>
      </c>
      <c r="B13" s="550"/>
      <c r="C13" s="550"/>
      <c r="D13" s="550"/>
      <c r="E13" s="550"/>
      <c r="F13" s="550"/>
      <c r="G13" s="550"/>
      <c r="H13" s="550"/>
      <c r="I13" s="550"/>
      <c r="J13" s="550"/>
      <c r="K13" s="550"/>
      <c r="L13" s="550"/>
      <c r="M13" s="550"/>
      <c r="N13" s="550"/>
      <c r="O13" s="550"/>
    </row>
    <row r="14" spans="1:15" ht="15">
      <c r="A14" s="5"/>
    </row>
    <row r="15" spans="1:15" ht="15" customHeight="1">
      <c r="A15" s="550" t="s">
        <v>2</v>
      </c>
      <c r="B15" s="550"/>
      <c r="C15" s="550"/>
      <c r="D15" s="550"/>
      <c r="E15" s="550"/>
      <c r="F15" s="550"/>
      <c r="G15" s="550"/>
      <c r="H15" s="550"/>
      <c r="I15" s="550"/>
      <c r="J15" s="550"/>
      <c r="K15" s="550"/>
      <c r="L15" s="550"/>
      <c r="M15" s="550"/>
      <c r="N15" s="550"/>
      <c r="O15" s="550"/>
    </row>
    <row r="16" spans="1:15" ht="15">
      <c r="A16" s="5"/>
    </row>
    <row r="17" spans="1:15" ht="15">
      <c r="A17" s="556" t="s">
        <v>3</v>
      </c>
      <c r="B17" s="556"/>
      <c r="C17" s="556"/>
      <c r="D17" s="556"/>
      <c r="E17" s="556"/>
      <c r="F17" s="556"/>
      <c r="G17" s="556"/>
      <c r="H17" s="556"/>
      <c r="I17" s="556"/>
      <c r="J17" s="556"/>
      <c r="K17" s="556"/>
      <c r="L17" s="556"/>
      <c r="M17" s="556"/>
      <c r="N17" s="556"/>
    </row>
    <row r="18" spans="1:15" ht="16">
      <c r="A18" s="555" t="s">
        <v>298</v>
      </c>
      <c r="B18" s="555"/>
      <c r="C18" s="555"/>
      <c r="D18" s="555"/>
      <c r="E18" s="555"/>
      <c r="F18" s="555"/>
      <c r="G18" s="555"/>
      <c r="H18" s="555"/>
      <c r="I18" s="555"/>
      <c r="J18" s="555"/>
      <c r="K18" s="555"/>
      <c r="L18" s="555"/>
      <c r="M18" s="555"/>
      <c r="N18" s="555"/>
      <c r="O18" s="555"/>
    </row>
    <row r="19" spans="1:15" ht="15">
      <c r="A19" s="6" t="s">
        <v>4</v>
      </c>
    </row>
    <row r="20" spans="1:15" ht="15">
      <c r="A20" s="6" t="s">
        <v>5</v>
      </c>
    </row>
    <row r="21" spans="1:15" ht="16">
      <c r="A21" s="555" t="s">
        <v>6</v>
      </c>
      <c r="B21" s="555"/>
      <c r="C21" s="555"/>
      <c r="D21" s="555"/>
      <c r="E21" s="555"/>
      <c r="F21" s="555"/>
      <c r="G21" s="555"/>
      <c r="H21" s="555"/>
      <c r="I21" s="555"/>
      <c r="J21" s="555"/>
      <c r="K21" s="555"/>
      <c r="L21" s="555"/>
      <c r="M21" s="555"/>
      <c r="N21" s="555"/>
      <c r="O21" s="555"/>
    </row>
    <row r="22" spans="1:15" ht="16">
      <c r="A22" s="555" t="s">
        <v>7</v>
      </c>
      <c r="B22" s="555"/>
      <c r="C22" s="555"/>
      <c r="D22" s="555"/>
      <c r="E22" s="555"/>
      <c r="F22" s="555"/>
      <c r="G22" s="555"/>
      <c r="H22" s="555"/>
      <c r="I22" s="555"/>
      <c r="J22" s="555"/>
      <c r="K22" s="555"/>
      <c r="L22" s="555"/>
      <c r="M22" s="555"/>
      <c r="N22" s="555"/>
      <c r="O22" s="555"/>
    </row>
    <row r="23" spans="1:15" ht="15">
      <c r="A23" s="6" t="s">
        <v>8</v>
      </c>
    </row>
    <row r="24" spans="1:15" ht="16">
      <c r="A24" s="555" t="s">
        <v>9</v>
      </c>
      <c r="B24" s="555"/>
      <c r="C24" s="555"/>
      <c r="D24" s="555"/>
      <c r="E24" s="555"/>
      <c r="F24" s="555"/>
      <c r="G24" s="555"/>
      <c r="H24" s="555"/>
      <c r="I24" s="555"/>
      <c r="J24" s="555"/>
      <c r="K24" s="555"/>
      <c r="L24" s="555"/>
      <c r="M24" s="555"/>
      <c r="N24" s="555"/>
      <c r="O24" s="555"/>
    </row>
    <row r="25" spans="1:15" ht="35.25" customHeight="1">
      <c r="A25" s="555" t="s">
        <v>10</v>
      </c>
      <c r="B25" s="555"/>
      <c r="C25" s="555"/>
      <c r="D25" s="555"/>
      <c r="E25" s="555"/>
      <c r="F25" s="555"/>
      <c r="G25" s="555"/>
      <c r="H25" s="555"/>
      <c r="I25" s="555"/>
      <c r="J25" s="555"/>
      <c r="K25" s="555"/>
      <c r="L25" s="555"/>
      <c r="M25" s="555"/>
      <c r="N25" s="555"/>
      <c r="O25" s="555"/>
    </row>
    <row r="26" spans="1:15" ht="16">
      <c r="A26" s="555" t="s">
        <v>11</v>
      </c>
      <c r="B26" s="555"/>
      <c r="C26" s="555"/>
      <c r="D26" s="555"/>
      <c r="E26" s="555"/>
      <c r="F26" s="555"/>
      <c r="G26" s="555"/>
      <c r="H26" s="555"/>
      <c r="I26" s="555"/>
      <c r="J26" s="555"/>
      <c r="K26" s="555"/>
      <c r="L26" s="555"/>
      <c r="M26" s="555"/>
      <c r="N26" s="555"/>
      <c r="O26" s="555"/>
    </row>
    <row r="27" spans="1:15" ht="16">
      <c r="A27" s="555" t="s">
        <v>12</v>
      </c>
      <c r="B27" s="555"/>
      <c r="C27" s="555"/>
      <c r="D27" s="555"/>
      <c r="E27" s="555"/>
      <c r="F27" s="555"/>
      <c r="G27" s="555"/>
      <c r="H27" s="555"/>
      <c r="I27" s="555"/>
      <c r="J27" s="555"/>
      <c r="K27" s="555"/>
      <c r="L27" s="555"/>
      <c r="M27" s="555"/>
      <c r="N27" s="555"/>
      <c r="O27" s="555"/>
    </row>
    <row r="28" spans="1:15" ht="16">
      <c r="A28" s="555"/>
      <c r="B28" s="555"/>
      <c r="C28" s="555"/>
      <c r="D28" s="555"/>
      <c r="E28" s="555"/>
      <c r="F28" s="555"/>
      <c r="G28" s="555"/>
      <c r="H28" s="555"/>
      <c r="I28" s="555"/>
      <c r="J28" s="555"/>
      <c r="K28" s="555"/>
      <c r="L28" s="555"/>
      <c r="M28" s="555"/>
      <c r="N28" s="555"/>
      <c r="O28" s="555"/>
    </row>
    <row r="29" spans="1:15" ht="15">
      <c r="A29" s="557" t="s">
        <v>13</v>
      </c>
      <c r="B29" s="557"/>
      <c r="C29" s="557"/>
      <c r="D29" s="557"/>
      <c r="E29" s="557"/>
      <c r="F29" s="557"/>
      <c r="G29" s="557"/>
      <c r="H29" s="557"/>
      <c r="I29" s="557"/>
      <c r="J29" s="557"/>
      <c r="K29" s="557"/>
      <c r="L29" s="557"/>
      <c r="M29" s="557"/>
      <c r="N29" s="557"/>
    </row>
    <row r="30" spans="1:15" ht="16">
      <c r="A30" s="4"/>
    </row>
    <row r="31" spans="1:15" ht="16">
      <c r="A31" s="550" t="s">
        <v>14</v>
      </c>
      <c r="B31" s="550"/>
      <c r="C31" s="550"/>
      <c r="D31" s="550"/>
      <c r="E31" s="550"/>
      <c r="F31" s="550"/>
      <c r="G31" s="550"/>
      <c r="H31" s="550"/>
      <c r="I31" s="550"/>
      <c r="J31" s="550"/>
      <c r="K31" s="550"/>
      <c r="L31" s="550"/>
      <c r="M31" s="550"/>
      <c r="N31" s="550"/>
      <c r="O31" s="550"/>
    </row>
    <row r="32" spans="1:15" ht="16">
      <c r="A32" s="550" t="s">
        <v>15</v>
      </c>
      <c r="B32" s="550"/>
      <c r="C32" s="550"/>
      <c r="D32" s="550"/>
      <c r="E32" s="550"/>
      <c r="F32" s="550"/>
      <c r="G32" s="550"/>
      <c r="H32" s="550"/>
      <c r="I32" s="550"/>
      <c r="J32" s="550"/>
      <c r="K32" s="550"/>
      <c r="L32" s="550"/>
      <c r="M32" s="550"/>
      <c r="N32" s="550"/>
      <c r="O32" s="550"/>
    </row>
    <row r="33" spans="1:15" ht="16">
      <c r="A33" s="550" t="s">
        <v>16</v>
      </c>
      <c r="B33" s="550"/>
      <c r="C33" s="550"/>
      <c r="D33" s="550"/>
      <c r="E33" s="550"/>
      <c r="F33" s="550"/>
      <c r="G33" s="550"/>
      <c r="H33" s="550"/>
      <c r="I33" s="550"/>
      <c r="J33" s="550"/>
      <c r="K33" s="550"/>
      <c r="L33" s="550"/>
      <c r="M33" s="550"/>
      <c r="N33" s="550"/>
      <c r="O33" s="550"/>
    </row>
    <row r="34" spans="1:15" ht="16">
      <c r="A34" s="555" t="s">
        <v>17</v>
      </c>
      <c r="B34" s="555"/>
      <c r="C34" s="555"/>
      <c r="D34" s="555"/>
      <c r="E34" s="555"/>
      <c r="F34" s="555"/>
      <c r="G34" s="555"/>
      <c r="H34" s="555"/>
      <c r="I34" s="555"/>
      <c r="J34" s="555"/>
      <c r="K34" s="555"/>
      <c r="L34" s="555"/>
      <c r="M34" s="555"/>
      <c r="N34" s="555"/>
      <c r="O34" s="555"/>
    </row>
    <row r="35" spans="1:15" ht="16">
      <c r="A35" s="555" t="s">
        <v>18</v>
      </c>
      <c r="B35" s="555"/>
      <c r="C35" s="555"/>
      <c r="D35" s="555"/>
      <c r="E35" s="555"/>
      <c r="F35" s="555"/>
      <c r="G35" s="555"/>
      <c r="H35" s="555"/>
      <c r="I35" s="555"/>
      <c r="J35" s="555"/>
      <c r="K35" s="555"/>
      <c r="L35" s="555"/>
      <c r="M35" s="555"/>
      <c r="N35" s="555"/>
      <c r="O35" s="555"/>
    </row>
    <row r="36" spans="1:15" ht="16">
      <c r="A36" s="555" t="s">
        <v>19</v>
      </c>
      <c r="B36" s="555"/>
      <c r="C36" s="555"/>
      <c r="D36" s="555"/>
      <c r="E36" s="555"/>
      <c r="F36" s="555"/>
      <c r="G36" s="555"/>
      <c r="H36" s="555"/>
      <c r="I36" s="555"/>
      <c r="J36" s="555"/>
      <c r="K36" s="555"/>
      <c r="L36" s="555"/>
      <c r="M36" s="555"/>
      <c r="N36" s="555"/>
      <c r="O36" s="555"/>
    </row>
    <row r="37" spans="1:15" ht="16">
      <c r="A37" s="555" t="s">
        <v>20</v>
      </c>
      <c r="B37" s="555"/>
      <c r="C37" s="555"/>
      <c r="D37" s="555"/>
      <c r="E37" s="555"/>
      <c r="F37" s="555"/>
      <c r="G37" s="555"/>
      <c r="H37" s="555"/>
      <c r="I37" s="555"/>
      <c r="J37" s="555"/>
      <c r="K37" s="555"/>
      <c r="L37" s="555"/>
      <c r="M37" s="555"/>
      <c r="N37" s="555"/>
      <c r="O37" s="555"/>
    </row>
    <row r="38" spans="1:15" ht="16">
      <c r="A38" s="555" t="s">
        <v>21</v>
      </c>
      <c r="B38" s="555"/>
      <c r="C38" s="555"/>
      <c r="D38" s="555"/>
      <c r="E38" s="555"/>
      <c r="F38" s="555"/>
      <c r="G38" s="555"/>
      <c r="H38" s="555"/>
      <c r="I38" s="555"/>
      <c r="J38" s="555"/>
      <c r="K38" s="555"/>
      <c r="L38" s="555"/>
      <c r="M38" s="555"/>
      <c r="N38" s="555"/>
      <c r="O38" s="555"/>
    </row>
    <row r="39" spans="1:15" ht="63.75" customHeight="1">
      <c r="A39" s="550" t="s">
        <v>22</v>
      </c>
      <c r="B39" s="550"/>
      <c r="C39" s="550"/>
      <c r="D39" s="550"/>
      <c r="E39" s="550"/>
      <c r="F39" s="550"/>
      <c r="G39" s="550"/>
      <c r="H39" s="550"/>
      <c r="I39" s="550"/>
      <c r="J39" s="550"/>
      <c r="K39" s="550"/>
      <c r="L39" s="550"/>
      <c r="M39" s="550"/>
      <c r="N39" s="550"/>
      <c r="O39" s="550"/>
    </row>
    <row r="40" spans="1:15" ht="16">
      <c r="A40" s="4"/>
    </row>
    <row r="41" spans="1:15" ht="16">
      <c r="A41" s="550" t="s">
        <v>23</v>
      </c>
      <c r="B41" s="550"/>
      <c r="C41" s="550"/>
      <c r="D41" s="550"/>
      <c r="E41" s="550"/>
      <c r="F41" s="550"/>
      <c r="G41" s="550"/>
      <c r="H41" s="550"/>
      <c r="I41" s="550"/>
      <c r="J41" s="550"/>
      <c r="K41" s="550"/>
      <c r="L41" s="550"/>
      <c r="M41" s="550"/>
      <c r="N41" s="550"/>
      <c r="O41" s="550"/>
    </row>
    <row r="42" spans="1:15" ht="15">
      <c r="A42" s="5"/>
    </row>
    <row r="43" spans="1:15" ht="16">
      <c r="A43" s="550" t="s">
        <v>24</v>
      </c>
      <c r="B43" s="550"/>
      <c r="C43" s="550"/>
      <c r="D43" s="550"/>
      <c r="E43" s="550"/>
      <c r="F43" s="550"/>
      <c r="G43" s="550"/>
      <c r="H43" s="550"/>
      <c r="I43" s="550"/>
      <c r="J43" s="550"/>
      <c r="K43" s="550"/>
      <c r="L43" s="550"/>
      <c r="M43" s="550"/>
      <c r="N43" s="550"/>
      <c r="O43" s="550"/>
    </row>
    <row r="44" spans="1:15" ht="17">
      <c r="A44" s="4" t="s">
        <v>25</v>
      </c>
    </row>
    <row r="45" spans="1:15" ht="16">
      <c r="A45" s="550" t="s">
        <v>26</v>
      </c>
      <c r="B45" s="550"/>
      <c r="C45" s="550"/>
      <c r="D45" s="550"/>
      <c r="E45" s="550"/>
      <c r="F45" s="550"/>
      <c r="G45" s="550"/>
      <c r="H45" s="550"/>
      <c r="I45" s="550"/>
      <c r="J45" s="550"/>
      <c r="K45" s="550"/>
      <c r="L45" s="550"/>
      <c r="M45" s="550"/>
      <c r="N45" s="550"/>
      <c r="O45" s="550"/>
    </row>
    <row r="46" spans="1:15" ht="16">
      <c r="A46" s="4"/>
    </row>
    <row r="47" spans="1:15" ht="16">
      <c r="A47" s="550" t="s">
        <v>27</v>
      </c>
      <c r="B47" s="550"/>
      <c r="C47" s="550"/>
      <c r="D47" s="550"/>
      <c r="E47" s="550"/>
      <c r="F47" s="550"/>
      <c r="G47" s="550"/>
      <c r="H47" s="550"/>
      <c r="I47" s="550"/>
      <c r="J47" s="550"/>
      <c r="K47" s="550"/>
      <c r="L47" s="550"/>
      <c r="M47" s="550"/>
      <c r="N47" s="550"/>
      <c r="O47" s="550"/>
    </row>
    <row r="48" spans="1:15" ht="15.75" customHeight="1">
      <c r="A48" s="550" t="s">
        <v>28</v>
      </c>
      <c r="B48" s="550"/>
      <c r="C48" s="550"/>
      <c r="D48" s="550"/>
      <c r="E48" s="550"/>
      <c r="F48" s="550"/>
      <c r="G48" s="550"/>
      <c r="H48" s="550"/>
      <c r="I48" s="550"/>
      <c r="J48" s="550"/>
      <c r="K48" s="550"/>
      <c r="L48" s="550"/>
      <c r="M48" s="550"/>
      <c r="N48" s="550"/>
      <c r="O48" s="550"/>
    </row>
    <row r="49" spans="1:15" ht="15.75" customHeight="1">
      <c r="A49" s="550" t="s">
        <v>29</v>
      </c>
      <c r="B49" s="550"/>
      <c r="C49" s="550"/>
      <c r="D49" s="550"/>
      <c r="E49" s="550"/>
      <c r="F49" s="550"/>
      <c r="G49" s="550"/>
      <c r="H49" s="550"/>
      <c r="I49" s="550"/>
      <c r="J49" s="550"/>
      <c r="K49" s="550"/>
      <c r="L49" s="550"/>
      <c r="M49" s="550"/>
      <c r="N49" s="550"/>
      <c r="O49" s="550"/>
    </row>
    <row r="50" spans="1:15" ht="15">
      <c r="A50" s="5"/>
    </row>
    <row r="51" spans="1:15" ht="16">
      <c r="A51" s="550" t="s">
        <v>299</v>
      </c>
      <c r="B51" s="550"/>
      <c r="C51" s="550"/>
      <c r="D51" s="550"/>
      <c r="E51" s="550"/>
      <c r="F51" s="550"/>
      <c r="G51" s="550"/>
      <c r="H51" s="550"/>
      <c r="I51" s="550"/>
      <c r="J51" s="550"/>
      <c r="K51" s="550"/>
      <c r="L51" s="550"/>
      <c r="M51" s="550"/>
      <c r="N51" s="550"/>
      <c r="O51" s="550"/>
    </row>
    <row r="52" spans="1:15" ht="16">
      <c r="A52" s="4"/>
    </row>
    <row r="53" spans="1:15" ht="16">
      <c r="A53" s="550" t="s">
        <v>286</v>
      </c>
      <c r="B53" s="550"/>
      <c r="C53" s="550"/>
      <c r="D53" s="550"/>
      <c r="E53" s="550"/>
      <c r="F53" s="550"/>
      <c r="G53" s="550"/>
      <c r="H53" s="550"/>
      <c r="I53" s="550"/>
      <c r="J53" s="550"/>
      <c r="K53" s="550"/>
      <c r="L53" s="550"/>
      <c r="M53" s="550"/>
      <c r="N53" s="550"/>
      <c r="O53" s="550"/>
    </row>
    <row r="54" spans="1:15" ht="36" customHeight="1">
      <c r="A54" s="550" t="s">
        <v>30</v>
      </c>
      <c r="B54" s="550"/>
      <c r="C54" s="550"/>
      <c r="D54" s="550"/>
      <c r="E54" s="550"/>
      <c r="F54" s="550"/>
      <c r="G54" s="550"/>
      <c r="H54" s="550"/>
      <c r="I54" s="550"/>
      <c r="J54" s="550"/>
      <c r="K54" s="550"/>
      <c r="L54" s="550"/>
      <c r="M54" s="550"/>
      <c r="N54" s="550"/>
      <c r="O54" s="550"/>
    </row>
    <row r="55" spans="1:15" ht="16">
      <c r="A55" s="7"/>
    </row>
    <row r="56" spans="1:15" ht="16">
      <c r="A56" s="562" t="s">
        <v>31</v>
      </c>
      <c r="B56" s="563"/>
      <c r="C56" s="563"/>
      <c r="D56" s="563"/>
      <c r="E56" s="563"/>
      <c r="F56" s="563"/>
      <c r="G56" s="563"/>
      <c r="H56" s="563"/>
      <c r="I56" s="563"/>
      <c r="J56" s="563"/>
      <c r="K56" s="563"/>
      <c r="L56" s="563"/>
      <c r="M56" s="563"/>
      <c r="N56" s="563"/>
      <c r="O56" s="564"/>
    </row>
    <row r="57" spans="1:15" ht="16">
      <c r="A57" s="8"/>
      <c r="B57" s="9"/>
      <c r="C57" s="9"/>
      <c r="D57" s="9"/>
      <c r="E57" s="9"/>
      <c r="F57" s="9"/>
      <c r="G57" s="9"/>
      <c r="H57" s="9"/>
      <c r="I57" s="9"/>
      <c r="J57" s="9"/>
      <c r="K57" s="9"/>
      <c r="L57" s="9"/>
      <c r="M57" s="9"/>
      <c r="N57" s="9"/>
      <c r="O57" s="10"/>
    </row>
    <row r="58" spans="1:15" ht="12.75" customHeight="1">
      <c r="A58" s="558" t="s">
        <v>32</v>
      </c>
      <c r="B58" s="559"/>
      <c r="C58" s="559"/>
      <c r="D58" s="559"/>
      <c r="E58" s="559"/>
      <c r="F58" s="559"/>
      <c r="G58" s="559"/>
      <c r="H58" s="559"/>
      <c r="I58" s="559"/>
      <c r="J58" s="559"/>
      <c r="K58" s="559"/>
      <c r="L58" s="559"/>
      <c r="M58" s="559"/>
      <c r="N58" s="559"/>
      <c r="O58" s="560"/>
    </row>
    <row r="59" spans="1:15" ht="12.75" customHeight="1">
      <c r="A59" s="558"/>
      <c r="B59" s="559"/>
      <c r="C59" s="559"/>
      <c r="D59" s="559"/>
      <c r="E59" s="559"/>
      <c r="F59" s="559"/>
      <c r="G59" s="559"/>
      <c r="H59" s="559"/>
      <c r="I59" s="559"/>
      <c r="J59" s="559"/>
      <c r="K59" s="559"/>
      <c r="L59" s="559"/>
      <c r="M59" s="559"/>
      <c r="N59" s="559"/>
      <c r="O59" s="560"/>
    </row>
    <row r="60" spans="1:15" ht="12.75" customHeight="1">
      <c r="A60" s="558"/>
      <c r="B60" s="559"/>
      <c r="C60" s="559"/>
      <c r="D60" s="559"/>
      <c r="E60" s="559"/>
      <c r="F60" s="559"/>
      <c r="G60" s="559"/>
      <c r="H60" s="559"/>
      <c r="I60" s="559"/>
      <c r="J60" s="559"/>
      <c r="K60" s="559"/>
      <c r="L60" s="559"/>
      <c r="M60" s="559"/>
      <c r="N60" s="559"/>
      <c r="O60" s="560"/>
    </row>
    <row r="61" spans="1:15" ht="12.75" customHeight="1">
      <c r="A61" s="558"/>
      <c r="B61" s="559"/>
      <c r="C61" s="559"/>
      <c r="D61" s="559"/>
      <c r="E61" s="559"/>
      <c r="F61" s="559"/>
      <c r="G61" s="559"/>
      <c r="H61" s="559"/>
      <c r="I61" s="559"/>
      <c r="J61" s="559"/>
      <c r="K61" s="559"/>
      <c r="L61" s="559"/>
      <c r="M61" s="559"/>
      <c r="N61" s="559"/>
      <c r="O61" s="560"/>
    </row>
    <row r="62" spans="1:15" ht="12.75" customHeight="1">
      <c r="A62" s="558"/>
      <c r="B62" s="559"/>
      <c r="C62" s="559"/>
      <c r="D62" s="559"/>
      <c r="E62" s="559"/>
      <c r="F62" s="559"/>
      <c r="G62" s="559"/>
      <c r="H62" s="559"/>
      <c r="I62" s="559"/>
      <c r="J62" s="559"/>
      <c r="K62" s="559"/>
      <c r="L62" s="559"/>
      <c r="M62" s="559"/>
      <c r="N62" s="559"/>
      <c r="O62" s="560"/>
    </row>
    <row r="63" spans="1:15" ht="12.75" customHeight="1">
      <c r="A63" s="558"/>
      <c r="B63" s="559"/>
      <c r="C63" s="559"/>
      <c r="D63" s="559"/>
      <c r="E63" s="559"/>
      <c r="F63" s="559"/>
      <c r="G63" s="559"/>
      <c r="H63" s="559"/>
      <c r="I63" s="559"/>
      <c r="J63" s="559"/>
      <c r="K63" s="559"/>
      <c r="L63" s="559"/>
      <c r="M63" s="559"/>
      <c r="N63" s="559"/>
      <c r="O63" s="560"/>
    </row>
    <row r="64" spans="1:15" ht="15">
      <c r="A64" s="11"/>
      <c r="B64" s="12"/>
      <c r="C64" s="12"/>
      <c r="D64" s="12"/>
      <c r="E64" s="12"/>
      <c r="F64" s="12"/>
      <c r="G64" s="12"/>
      <c r="H64" s="12"/>
      <c r="I64" s="12"/>
      <c r="J64" s="12"/>
      <c r="K64" s="12"/>
      <c r="L64" s="12"/>
      <c r="M64" s="12"/>
      <c r="N64" s="12"/>
      <c r="O64" s="13"/>
    </row>
    <row r="65" spans="1:15" ht="15">
      <c r="A65" s="14" t="s">
        <v>33</v>
      </c>
      <c r="B65" s="9"/>
      <c r="C65" s="9"/>
      <c r="D65" s="9"/>
      <c r="E65" s="9"/>
      <c r="F65" s="9"/>
      <c r="G65" s="9"/>
      <c r="H65" s="9"/>
      <c r="I65" s="9"/>
      <c r="J65" s="9"/>
      <c r="K65" s="9"/>
      <c r="L65" s="9"/>
      <c r="M65" s="9"/>
      <c r="N65" s="9"/>
      <c r="O65" s="10"/>
    </row>
    <row r="66" spans="1:15" ht="15">
      <c r="A66" s="15" t="s">
        <v>34</v>
      </c>
      <c r="B66" s="9"/>
      <c r="C66" s="9"/>
      <c r="D66" s="9"/>
      <c r="E66" s="9"/>
      <c r="F66" s="9"/>
      <c r="G66" s="9"/>
      <c r="H66" s="9"/>
      <c r="I66" s="9"/>
      <c r="J66" s="9"/>
      <c r="K66" s="9"/>
      <c r="L66" s="9"/>
      <c r="M66" s="9"/>
      <c r="N66" s="9"/>
      <c r="O66" s="10"/>
    </row>
    <row r="67" spans="1:15" ht="15">
      <c r="A67" s="14"/>
      <c r="B67" s="9"/>
      <c r="C67" s="9"/>
      <c r="D67" s="9"/>
      <c r="E67" s="9"/>
      <c r="F67" s="9"/>
      <c r="G67" s="9"/>
      <c r="H67" s="9"/>
      <c r="I67" s="9"/>
      <c r="J67" s="9"/>
      <c r="K67" s="9"/>
      <c r="L67" s="9"/>
      <c r="M67" s="9"/>
      <c r="N67" s="9"/>
      <c r="O67" s="10"/>
    </row>
    <row r="68" spans="1:15" ht="15">
      <c r="A68" s="561" t="s">
        <v>35</v>
      </c>
      <c r="B68" s="561"/>
      <c r="C68" s="561"/>
      <c r="D68" s="16"/>
      <c r="E68" s="16"/>
      <c r="F68" s="16"/>
      <c r="G68" s="16"/>
      <c r="H68" s="16"/>
      <c r="I68" s="16"/>
      <c r="J68" s="16"/>
      <c r="K68" s="16"/>
      <c r="L68" s="16"/>
      <c r="M68" s="16"/>
      <c r="N68" s="16"/>
      <c r="O68" s="17"/>
    </row>
    <row r="69" spans="1:15" ht="15"/>
    <row r="70" spans="1:15" ht="15"/>
    <row r="71" spans="1:15" ht="16">
      <c r="A71" s="18" t="s">
        <v>36</v>
      </c>
    </row>
    <row r="72" spans="1:15" ht="15"/>
    <row r="73" spans="1:15" ht="15">
      <c r="A73" s="19" t="s">
        <v>37</v>
      </c>
      <c r="B73" s="19"/>
      <c r="C73" s="19"/>
      <c r="D73" s="20"/>
      <c r="E73" s="21"/>
      <c r="F73" s="22">
        <v>39814</v>
      </c>
      <c r="G73" s="22" t="s">
        <v>38</v>
      </c>
      <c r="H73" s="22">
        <v>40178</v>
      </c>
      <c r="I73" s="23"/>
    </row>
    <row r="74" spans="1:15" ht="29">
      <c r="A74" s="24" t="s">
        <v>39</v>
      </c>
      <c r="B74" s="25" t="s">
        <v>40</v>
      </c>
      <c r="C74" s="25" t="s">
        <v>41</v>
      </c>
      <c r="D74" s="26" t="s">
        <v>42</v>
      </c>
      <c r="E74" s="27" t="s">
        <v>43</v>
      </c>
      <c r="F74" s="27" t="s">
        <v>44</v>
      </c>
      <c r="G74" s="27" t="s">
        <v>45</v>
      </c>
      <c r="H74" s="27" t="s">
        <v>46</v>
      </c>
      <c r="I74" s="28" t="s">
        <v>47</v>
      </c>
    </row>
    <row r="75" spans="1:15" ht="15">
      <c r="A75" s="29"/>
      <c r="B75" s="29"/>
      <c r="C75" s="29"/>
      <c r="D75" s="30"/>
      <c r="E75" s="29"/>
      <c r="F75" s="29"/>
      <c r="G75" s="29"/>
      <c r="H75" s="29"/>
      <c r="I75" s="29"/>
    </row>
    <row r="76" spans="1:15" ht="15">
      <c r="A76" s="31" t="s">
        <v>48</v>
      </c>
      <c r="B76" s="32" t="s">
        <v>49</v>
      </c>
      <c r="C76" s="33" t="s">
        <v>50</v>
      </c>
      <c r="D76" s="34">
        <v>1</v>
      </c>
      <c r="E76" s="35">
        <v>12</v>
      </c>
      <c r="F76" s="36">
        <v>100000</v>
      </c>
      <c r="G76" s="37">
        <v>100000</v>
      </c>
      <c r="H76" s="38">
        <v>35250</v>
      </c>
      <c r="I76" s="39">
        <v>135250</v>
      </c>
    </row>
    <row r="77" spans="1:15" ht="15"/>
    <row r="78" spans="1:15" ht="15">
      <c r="A78" s="40" t="s">
        <v>51</v>
      </c>
      <c r="G78" s="41"/>
      <c r="H78" s="41"/>
    </row>
    <row r="79" spans="1:15" ht="15">
      <c r="A79" s="42" t="s">
        <v>52</v>
      </c>
      <c r="B79" s="16"/>
      <c r="C79" s="42" t="s">
        <v>53</v>
      </c>
      <c r="D79" s="43">
        <v>0.35</v>
      </c>
      <c r="G79" s="41"/>
      <c r="H79" s="41"/>
    </row>
    <row r="80" spans="1:15" ht="15">
      <c r="A80" s="44" t="s">
        <v>54</v>
      </c>
      <c r="C80" s="44" t="s">
        <v>55</v>
      </c>
      <c r="D80" s="45">
        <v>0.36</v>
      </c>
    </row>
    <row r="81" spans="1:10" ht="15">
      <c r="A81" s="46">
        <v>100000</v>
      </c>
      <c r="B81" s="47" t="s">
        <v>56</v>
      </c>
      <c r="C81" s="48">
        <v>8333.3333333333339</v>
      </c>
      <c r="D81" s="47" t="s">
        <v>57</v>
      </c>
      <c r="E81" s="49"/>
      <c r="J81" s="41"/>
    </row>
    <row r="82" spans="1:10" ht="15">
      <c r="C82" s="50"/>
      <c r="G82" s="41"/>
      <c r="H82" s="41"/>
    </row>
    <row r="83" spans="1:10" ht="15">
      <c r="A83" s="51"/>
      <c r="B83" s="52" t="s">
        <v>58</v>
      </c>
      <c r="C83" s="53">
        <v>8333.3333333333339</v>
      </c>
      <c r="D83" s="54"/>
      <c r="E83" s="55" t="s">
        <v>58</v>
      </c>
      <c r="F83" s="56">
        <v>8333.3333333333339</v>
      </c>
      <c r="G83" s="52"/>
      <c r="H83" s="52" t="s">
        <v>59</v>
      </c>
      <c r="I83" s="53">
        <v>26250</v>
      </c>
    </row>
    <row r="84" spans="1:10" ht="15">
      <c r="A84" s="57"/>
      <c r="B84" s="58" t="s">
        <v>60</v>
      </c>
      <c r="C84" s="59" t="s">
        <v>61</v>
      </c>
      <c r="D84" s="60"/>
      <c r="E84" s="61" t="s">
        <v>60</v>
      </c>
      <c r="F84" s="62" t="s">
        <v>62</v>
      </c>
      <c r="G84" s="61"/>
      <c r="H84" s="61" t="s">
        <v>63</v>
      </c>
      <c r="I84" s="63">
        <v>9000</v>
      </c>
    </row>
    <row r="85" spans="1:10" ht="15">
      <c r="A85" s="57"/>
      <c r="B85" s="58" t="s">
        <v>64</v>
      </c>
      <c r="C85" s="64">
        <v>75000</v>
      </c>
      <c r="D85" s="60"/>
      <c r="E85" s="61" t="s">
        <v>65</v>
      </c>
      <c r="F85" s="65">
        <v>25000</v>
      </c>
      <c r="G85" s="66"/>
      <c r="H85" s="67" t="s">
        <v>66</v>
      </c>
      <c r="I85" s="68">
        <v>35250</v>
      </c>
    </row>
    <row r="86" spans="1:10" ht="15">
      <c r="A86" s="57"/>
      <c r="B86" s="58" t="s">
        <v>53</v>
      </c>
      <c r="C86" s="69" t="s">
        <v>67</v>
      </c>
      <c r="D86" s="60"/>
      <c r="E86" s="61" t="s">
        <v>55</v>
      </c>
      <c r="F86" s="70" t="s">
        <v>68</v>
      </c>
    </row>
    <row r="87" spans="1:10" ht="15">
      <c r="A87" s="71"/>
      <c r="B87" s="72" t="s">
        <v>59</v>
      </c>
      <c r="C87" s="73">
        <v>26250</v>
      </c>
      <c r="D87" s="74"/>
      <c r="E87" s="75" t="s">
        <v>63</v>
      </c>
      <c r="F87" s="63">
        <v>9000</v>
      </c>
    </row>
    <row r="88" spans="1:10" ht="15"/>
    <row r="89" spans="1:10" ht="15">
      <c r="A89" s="76" t="s">
        <v>69</v>
      </c>
    </row>
    <row r="90" spans="1:10" ht="15"/>
    <row r="91" spans="1:10" ht="12.75" customHeight="1"/>
    <row r="92" spans="1:10" ht="12.75" customHeight="1"/>
    <row r="93" spans="1:10" ht="12.75" customHeight="1"/>
  </sheetData>
  <sheetProtection algorithmName="SHA-512" hashValue="Du7K+U5aD4IVG/YwkQas5ziIhFZIKbwrDy8u03bB6erw15lnVMp8cuAGqmR0IjC3Wf5tdMbpjYc2Mhv9weH1Vg==" saltValue="cqtHzhYLWIo5tXhakTofTQ==" spinCount="100000" sheet="1" objects="1" scenarios="1"/>
  <mergeCells count="38">
    <mergeCell ref="A39:O39"/>
    <mergeCell ref="A41:O41"/>
    <mergeCell ref="A54:O54"/>
    <mergeCell ref="A43:O43"/>
    <mergeCell ref="A56:O56"/>
    <mergeCell ref="A58:O63"/>
    <mergeCell ref="A68:C68"/>
    <mergeCell ref="A45:O45"/>
    <mergeCell ref="A47:O47"/>
    <mergeCell ref="A48:O48"/>
    <mergeCell ref="A49:O49"/>
    <mergeCell ref="A51:O51"/>
    <mergeCell ref="A53:O53"/>
    <mergeCell ref="A35:O35"/>
    <mergeCell ref="A36:O36"/>
    <mergeCell ref="A37:O37"/>
    <mergeCell ref="A38:O38"/>
    <mergeCell ref="A21:O21"/>
    <mergeCell ref="A22:O22"/>
    <mergeCell ref="A24:O24"/>
    <mergeCell ref="A25:O25"/>
    <mergeCell ref="A26:O26"/>
    <mergeCell ref="A27:O27"/>
    <mergeCell ref="A29:N29"/>
    <mergeCell ref="A31:O31"/>
    <mergeCell ref="A32:O32"/>
    <mergeCell ref="A33:O33"/>
    <mergeCell ref="A34:O34"/>
    <mergeCell ref="A9:O9"/>
    <mergeCell ref="A2:O2"/>
    <mergeCell ref="A4:O4"/>
    <mergeCell ref="A7:O7"/>
    <mergeCell ref="A28:O28"/>
    <mergeCell ref="A11:O11"/>
    <mergeCell ref="A13:O13"/>
    <mergeCell ref="A15:O15"/>
    <mergeCell ref="A17:N17"/>
    <mergeCell ref="A18:O18"/>
  </mergeCells>
  <hyperlinks>
    <hyperlink ref="A89" location="'2. PERSONNEL'!F10" display="Return to Personnel Tab" xr:uid="{00000000-0004-0000-0000-000000000000}"/>
    <hyperlink ref="A68:C68" location="'7. Modular Budget'!B16" display="Click Here to Return to the Modular Budget Tab"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U56"/>
  <sheetViews>
    <sheetView tabSelected="1" topLeftCell="A10" zoomScale="90" zoomScaleNormal="90" workbookViewId="0">
      <selection activeCell="N18" sqref="N18"/>
    </sheetView>
  </sheetViews>
  <sheetFormatPr baseColWidth="10" defaultColWidth="0" defaultRowHeight="12" customHeight="1" zeroHeight="1"/>
  <cols>
    <col min="1" max="1" width="3.33203125" style="1" customWidth="1"/>
    <col min="2" max="2" width="22.5" style="1" customWidth="1"/>
    <col min="3" max="14" width="12.83203125" style="1" customWidth="1"/>
    <col min="15" max="15" width="12.6640625" style="1" customWidth="1"/>
    <col min="16" max="16" width="3.33203125" style="1" customWidth="1"/>
    <col min="17" max="20" width="9.1640625" style="1" hidden="1" customWidth="1"/>
    <col min="21" max="21" width="29.33203125" style="1" hidden="1" customWidth="1"/>
    <col min="22" max="16384" width="9.1640625" style="1" hidden="1"/>
  </cols>
  <sheetData>
    <row r="1" spans="2:21" ht="16">
      <c r="P1" s="536" t="str">
        <f>+INSTRUCTIONS!$O$1</f>
        <v>FY22-10year-10/26/2021</v>
      </c>
    </row>
    <row r="2" spans="2:21" ht="15">
      <c r="K2" s="520"/>
    </row>
    <row r="3" spans="2:21" ht="15">
      <c r="K3" s="520"/>
    </row>
    <row r="4" spans="2:21" ht="15">
      <c r="K4" s="520"/>
    </row>
    <row r="5" spans="2:21" ht="15"/>
    <row r="6" spans="2:21" ht="15"/>
    <row r="7" spans="2:21" ht="15"/>
    <row r="8" spans="2:21" ht="16">
      <c r="B8" s="18" t="s">
        <v>70</v>
      </c>
      <c r="J8" s="549"/>
    </row>
    <row r="9" spans="2:21" ht="23.25" customHeight="1">
      <c r="B9" s="521" t="str">
        <f ca="1">IF(TODAY()&gt;=44835,"This Template is based on last year rates","")</f>
        <v/>
      </c>
      <c r="F9" s="520"/>
      <c r="J9" s="520"/>
    </row>
    <row r="10" spans="2:21" ht="16">
      <c r="B10" s="18" t="s">
        <v>71</v>
      </c>
      <c r="G10" s="77"/>
    </row>
    <row r="11" spans="2:21" ht="15"/>
    <row r="12" spans="2:21" ht="16" thickBot="1"/>
    <row r="13" spans="2:21" ht="15">
      <c r="B13" s="481" t="s">
        <v>72</v>
      </c>
      <c r="C13" s="569"/>
      <c r="D13" s="570"/>
      <c r="E13" s="570"/>
      <c r="F13" s="570"/>
      <c r="G13" s="570"/>
      <c r="H13" s="470"/>
      <c r="I13" s="470"/>
      <c r="J13" s="470"/>
      <c r="K13" s="470"/>
      <c r="L13" s="471"/>
      <c r="U13" s="9"/>
    </row>
    <row r="14" spans="2:21" ht="15">
      <c r="B14" s="482" t="s">
        <v>296</v>
      </c>
      <c r="C14" s="472" t="s">
        <v>73</v>
      </c>
      <c r="D14" s="473"/>
      <c r="E14" s="473"/>
      <c r="F14" s="473"/>
      <c r="G14" s="473"/>
      <c r="H14" s="474"/>
      <c r="I14" s="474"/>
      <c r="J14" s="474"/>
      <c r="K14" s="474"/>
      <c r="L14" s="475"/>
      <c r="U14" s="9"/>
    </row>
    <row r="15" spans="2:21" ht="15">
      <c r="B15" s="482" t="s">
        <v>74</v>
      </c>
      <c r="C15" s="571"/>
      <c r="D15" s="571"/>
      <c r="E15" s="571"/>
      <c r="F15" s="571"/>
      <c r="G15" s="571"/>
      <c r="H15" s="474"/>
      <c r="I15" s="474"/>
      <c r="J15" s="474"/>
      <c r="K15" s="474"/>
      <c r="L15" s="475"/>
      <c r="U15" s="9"/>
    </row>
    <row r="16" spans="2:21" ht="15">
      <c r="B16" s="482" t="s">
        <v>75</v>
      </c>
      <c r="C16" s="571"/>
      <c r="D16" s="571"/>
      <c r="E16" s="571"/>
      <c r="F16" s="571"/>
      <c r="G16" s="571"/>
      <c r="H16" s="474"/>
      <c r="I16" s="474"/>
      <c r="J16" s="474"/>
      <c r="K16" s="474"/>
      <c r="L16" s="475"/>
      <c r="U16" s="9"/>
    </row>
    <row r="17" spans="1:21" ht="15">
      <c r="B17" s="482" t="s">
        <v>76</v>
      </c>
      <c r="C17" s="572"/>
      <c r="D17" s="572"/>
      <c r="E17" s="572"/>
      <c r="F17" s="572"/>
      <c r="G17" s="572"/>
      <c r="H17" s="474"/>
      <c r="I17" s="474"/>
      <c r="J17" s="474"/>
      <c r="K17" s="474"/>
      <c r="L17" s="475"/>
      <c r="U17" s="9"/>
    </row>
    <row r="18" spans="1:21" ht="15">
      <c r="B18" s="482" t="s">
        <v>77</v>
      </c>
      <c r="C18" s="572"/>
      <c r="D18" s="572"/>
      <c r="E18" s="572"/>
      <c r="F18" s="572"/>
      <c r="G18" s="572"/>
      <c r="H18" s="474"/>
      <c r="I18" s="474"/>
      <c r="J18" s="474"/>
      <c r="K18" s="474"/>
      <c r="L18" s="475"/>
      <c r="U18" s="9"/>
    </row>
    <row r="19" spans="1:21" ht="15">
      <c r="B19" s="482" t="s">
        <v>78</v>
      </c>
      <c r="C19" s="573"/>
      <c r="D19" s="571"/>
      <c r="E19" s="571"/>
      <c r="F19" s="571"/>
      <c r="G19" s="571"/>
      <c r="H19" s="474"/>
      <c r="I19" s="474"/>
      <c r="J19" s="474"/>
      <c r="K19" s="474"/>
      <c r="L19" s="475"/>
      <c r="U19" s="9"/>
    </row>
    <row r="20" spans="1:21" ht="16" thickBot="1">
      <c r="B20" s="483" t="s">
        <v>79</v>
      </c>
      <c r="C20" s="476" t="s">
        <v>80</v>
      </c>
      <c r="D20" s="565" t="str">
        <f>IF(C20="Other","        Type Rate Here"," ")</f>
        <v xml:space="preserve"> </v>
      </c>
      <c r="E20" s="566"/>
      <c r="F20" s="477"/>
      <c r="G20" s="478"/>
      <c r="H20" s="479"/>
      <c r="I20" s="479"/>
      <c r="J20" s="479"/>
      <c r="K20" s="479"/>
      <c r="L20" s="480"/>
      <c r="Q20" s="78">
        <v>1</v>
      </c>
      <c r="U20" s="9"/>
    </row>
    <row r="21" spans="1:21" ht="15">
      <c r="B21" s="79"/>
      <c r="C21" s="484" t="s">
        <v>81</v>
      </c>
      <c r="D21" s="484" t="s">
        <v>82</v>
      </c>
      <c r="E21" s="484" t="s">
        <v>83</v>
      </c>
      <c r="F21" s="484" t="s">
        <v>84</v>
      </c>
      <c r="G21" s="484" t="s">
        <v>85</v>
      </c>
      <c r="H21" s="484" t="s">
        <v>86</v>
      </c>
      <c r="I21" s="484" t="s">
        <v>87</v>
      </c>
      <c r="J21" s="484" t="s">
        <v>224</v>
      </c>
      <c r="K21" s="484" t="s">
        <v>225</v>
      </c>
      <c r="L21" s="484" t="s">
        <v>226</v>
      </c>
      <c r="U21" s="9"/>
    </row>
    <row r="22" spans="1:21" ht="15">
      <c r="B22" s="79"/>
      <c r="C22" s="81">
        <f>+'1. SUMMARY'!C17</f>
        <v>0</v>
      </c>
      <c r="D22" s="81" t="str">
        <f>IF(+C23+1&gt;'1. SUMMARY'!$C$18,"No "&amp;D21,+C23+1)</f>
        <v>No Year 2</v>
      </c>
      <c r="E22" s="81" t="str">
        <f>IF(D22="No "&amp;D21,"No "&amp;E21,IF(+D23+1&gt;'1. SUMMARY'!$C$18,"No "&amp;E21,+D23+1))</f>
        <v>No Year 3</v>
      </c>
      <c r="F22" s="81" t="str">
        <f>IF(E22="No "&amp;E21,"No "&amp;F21,IF(+E23+1&gt;'1. SUMMARY'!$C$18,"No "&amp;F21,+E23+1))</f>
        <v>No Year 4</v>
      </c>
      <c r="G22" s="81" t="str">
        <f>IF(F22="No "&amp;F21,"No "&amp;G21,IF(+F23+1&gt;'1. SUMMARY'!$C$18,"No "&amp;G21,+F23+1))</f>
        <v>No Year 5</v>
      </c>
      <c r="H22" s="81" t="str">
        <f>IF(G22="No "&amp;G21,"No "&amp;H21,IF(+G23+1&gt;'1. SUMMARY'!$C$18,"No "&amp;H21,+G23+1))</f>
        <v>No Year 6</v>
      </c>
      <c r="I22" s="81" t="str">
        <f>IF(H22="No "&amp;H21,"No "&amp;I21,IF(+H23+1&gt;'1. SUMMARY'!$C$18,"No "&amp;I21,+H23+1))</f>
        <v>No Year 7</v>
      </c>
      <c r="J22" s="81" t="str">
        <f>IF(I22="No "&amp;I21,"No "&amp;J21,IF(+I23+1&gt;'1. SUMMARY'!$C$18,"No "&amp;J21,+I23+1))</f>
        <v>No Year 8</v>
      </c>
      <c r="K22" s="81" t="str">
        <f>IF(J22="No "&amp;J21,"No "&amp;K21,IF(+J23+1&gt;'1. SUMMARY'!$C$18,"No "&amp;K21,+J23+1))</f>
        <v>No Year 9</v>
      </c>
      <c r="L22" s="81" t="str">
        <f>IF(K22="No "&amp;K21,"No "&amp;L21,IF(+K23+1&gt;'1. SUMMARY'!$C$18,"No "&amp;L21,+K23+1))</f>
        <v>No Year 10</v>
      </c>
      <c r="U22" s="9"/>
    </row>
    <row r="23" spans="1:21" ht="15">
      <c r="B23" s="79"/>
      <c r="C23" s="82">
        <f>IF((DATE(YEAR(C22), MONTH(C22)+12, DAY(C22)-1))&lt;=('1. SUMMARY'!$C$18),DATE(YEAR(C22), MONTH(C22)+12, DAY(C22)-1),'1. SUMMARY'!$C$18)</f>
        <v>0</v>
      </c>
      <c r="D23" s="82" t="str">
        <f>IF(D22="No "&amp;D21,"No "&amp;D21,IF(C23='1. SUMMARY'!C18,"a",IF((DATE(YEAR(D22),MONTH(D22)+12,DAY(D22)-1))&lt;=('1. SUMMARY'!$C$18),DATE(YEAR(D22),MONTH(D22)+12,DAY(D22)-1),'1. SUMMARY'!$C$18)))</f>
        <v>No Year 2</v>
      </c>
      <c r="E23" s="82" t="str">
        <f>IF(E22="No "&amp;E21,"No "&amp;E21,IF(D23='1. SUMMARY'!F48,"a",IF((DATE(YEAR(E22),MONTH(E22)+12,DAY(E22)-1))&lt;=('1. SUMMARY'!$C$18),DATE(YEAR(E22),MONTH(E22)+12,DAY(E22)-1),'1. SUMMARY'!$C$18)))</f>
        <v>No Year 3</v>
      </c>
      <c r="F23" s="82" t="str">
        <f>IF(F22="No "&amp;F21,"No "&amp;F21,IF(E23='1. SUMMARY'!G48,"a",IF((DATE(YEAR(F22),MONTH(F22)+12,DAY(F22)-1))&lt;=('1. SUMMARY'!$C$18),DATE(YEAR(F22),MONTH(F22)+12,DAY(F22)-1),'1. SUMMARY'!$C$18)))</f>
        <v>No Year 4</v>
      </c>
      <c r="G23" s="82" t="str">
        <f>IF(G22="No "&amp;G21,"No "&amp;G21,IF(F23='1. SUMMARY'!H48,"a",IF((DATE(YEAR(G22),MONTH(G22)+12,DAY(G22)-1))&lt;=('1. SUMMARY'!$C$18),DATE(YEAR(G22),MONTH(G22)+12,DAY(G22)-1),'1. SUMMARY'!$C$18)))</f>
        <v>No Year 5</v>
      </c>
      <c r="H23" s="82" t="str">
        <f>IF(H22="No "&amp;H21,"No "&amp;H21,IF(G23='1. SUMMARY'!N48,"a",IF((DATE(YEAR(H22),MONTH(H22)+12,DAY(H22)-1))&lt;=('1. SUMMARY'!$C$18),DATE(YEAR(H22),MONTH(H22)+12,DAY(H22)-1),'1. SUMMARY'!$C$18)))</f>
        <v>No Year 6</v>
      </c>
      <c r="I23" s="82" t="str">
        <f>IF(I22="No "&amp;I21,"No "&amp;I21,IF(H23='1. SUMMARY'!O48,"a",IF((DATE(YEAR(I22),MONTH(I22)+12,DAY(I22)-1))&lt;=('1. SUMMARY'!$C$18),DATE(YEAR(I22),MONTH(I22)+12,DAY(I22)-1),'1. SUMMARY'!$C$18)))</f>
        <v>No Year 7</v>
      </c>
      <c r="J23" s="82" t="str">
        <f>IF(J22="No "&amp;J21,"No "&amp;J21,IF(I23='1. SUMMARY'!P46,"a",IF((DATE(YEAR(J22),MONTH(J22)+12,DAY(J22)-1))&lt;=('1. SUMMARY'!$C$18),DATE(YEAR(J22),MONTH(J22)+12,DAY(J22)-1),'1. SUMMARY'!$C$18)))</f>
        <v>No Year 8</v>
      </c>
      <c r="K23" s="82" t="str">
        <f>IF(K22="No "&amp;K21,"No "&amp;K21,IF(J23='1. SUMMARY'!Q46,"a",IF((DATE(YEAR(K22),MONTH(K22)+12,DAY(K22)-1))&lt;=('1. SUMMARY'!$C$18),DATE(YEAR(K22),MONTH(K22)+12,DAY(K22)-1),'1. SUMMARY'!$C$18)))</f>
        <v>No Year 9</v>
      </c>
      <c r="L23" s="82" t="str">
        <f>IF(L22="No "&amp;L21,"No "&amp;L21,IF(K23='1. SUMMARY'!R46,"a",IF((DATE(YEAR(L22),MONTH(L22)+12,DAY(L22)-1))&lt;=('1. SUMMARY'!$C$18),DATE(YEAR(L22),MONTH(L22)+12,DAY(L22)-1),'1. SUMMARY'!$C$18)))</f>
        <v>No Year 10</v>
      </c>
      <c r="U23" s="9"/>
    </row>
    <row r="24" spans="1:21" ht="15">
      <c r="B24" s="79"/>
      <c r="C24" s="83"/>
      <c r="D24" s="83"/>
      <c r="E24" s="83"/>
      <c r="F24" s="83"/>
      <c r="G24" s="83"/>
      <c r="U24" s="9"/>
    </row>
    <row r="25" spans="1:21" ht="16" thickBot="1">
      <c r="B25" s="9"/>
      <c r="C25" s="9"/>
      <c r="D25" s="9"/>
    </row>
    <row r="26" spans="1:21" ht="16" thickBot="1">
      <c r="B26" s="84" t="s">
        <v>88</v>
      </c>
      <c r="C26" s="485">
        <v>0</v>
      </c>
      <c r="D26" s="85"/>
    </row>
    <row r="27" spans="1:21" ht="15">
      <c r="B27" s="9"/>
      <c r="C27" s="85"/>
      <c r="D27" s="85"/>
    </row>
    <row r="28" spans="1:21" ht="15">
      <c r="A28" s="86"/>
      <c r="B28" s="567" t="s">
        <v>89</v>
      </c>
      <c r="C28" s="486">
        <f>+Sheet1!T22</f>
        <v>44105</v>
      </c>
      <c r="D28" s="486">
        <f>+Sheet1!U22</f>
        <v>44470</v>
      </c>
      <c r="E28" s="486">
        <f>+Sheet1!V22</f>
        <v>44835</v>
      </c>
      <c r="F28" s="486">
        <f>+Sheet1!W22</f>
        <v>45200</v>
      </c>
      <c r="G28" s="486">
        <f>+Sheet1!X22</f>
        <v>45566</v>
      </c>
      <c r="H28" s="486">
        <f>+Sheet1!Y22</f>
        <v>45931</v>
      </c>
      <c r="I28" s="486">
        <f>+Sheet1!Z22</f>
        <v>46296</v>
      </c>
      <c r="J28" s="486">
        <f>+Sheet1!AA22</f>
        <v>46661</v>
      </c>
      <c r="K28" s="486">
        <f>+Sheet1!AB22</f>
        <v>47027</v>
      </c>
      <c r="L28" s="486">
        <f>+Sheet1!AC22</f>
        <v>47392</v>
      </c>
      <c r="M28" s="486">
        <f>+Sheet1!AD22</f>
        <v>47757</v>
      </c>
      <c r="N28" s="486">
        <f>+Sheet1!AE22</f>
        <v>48122</v>
      </c>
      <c r="O28" s="486">
        <f>+Sheet1!AF22</f>
        <v>48488</v>
      </c>
      <c r="P28" s="86"/>
    </row>
    <row r="29" spans="1:21" ht="15">
      <c r="A29" s="86"/>
      <c r="B29" s="568"/>
      <c r="C29" s="487">
        <f>+Sheet1!T23</f>
        <v>44469</v>
      </c>
      <c r="D29" s="487">
        <f>+Sheet1!U23</f>
        <v>44834</v>
      </c>
      <c r="E29" s="487">
        <f>+Sheet1!V23</f>
        <v>45199</v>
      </c>
      <c r="F29" s="487">
        <f>+Sheet1!W23</f>
        <v>45565</v>
      </c>
      <c r="G29" s="487">
        <f>+Sheet1!X23</f>
        <v>45930</v>
      </c>
      <c r="H29" s="487">
        <f>+Sheet1!Y23</f>
        <v>46295</v>
      </c>
      <c r="I29" s="487">
        <f>+Sheet1!Z23</f>
        <v>46660</v>
      </c>
      <c r="J29" s="487">
        <f>+Sheet1!AA23</f>
        <v>47026</v>
      </c>
      <c r="K29" s="487">
        <f>+Sheet1!AB23</f>
        <v>47391</v>
      </c>
      <c r="L29" s="487">
        <f>+Sheet1!AC23</f>
        <v>47756</v>
      </c>
      <c r="M29" s="487">
        <f>+Sheet1!AD23</f>
        <v>48121</v>
      </c>
      <c r="N29" s="487">
        <f>+Sheet1!AE23</f>
        <v>48487</v>
      </c>
      <c r="O29" s="487">
        <f>+Sheet1!AF23</f>
        <v>48852</v>
      </c>
      <c r="P29" s="86"/>
    </row>
    <row r="30" spans="1:21" ht="15">
      <c r="A30" s="86"/>
      <c r="B30" s="543" t="str">
        <f>IF(Hospital="Select Here","",+Sheet1!S10)</f>
        <v>Professional Staff</v>
      </c>
      <c r="C30" s="524">
        <f>IF(Hospital="Select Here","",+Sheet1!T10)</f>
        <v>0.32</v>
      </c>
      <c r="D30" s="524">
        <f>IF(Hospital="Select Here","",+Sheet1!U10)</f>
        <v>0.32</v>
      </c>
      <c r="E30" s="524">
        <f>IF(Hospital="Select Here","",+Sheet1!V10)</f>
        <v>0.32</v>
      </c>
      <c r="F30" s="524">
        <f>IF(Hospital="Select Here","",+Sheet1!W10)</f>
        <v>0.32</v>
      </c>
      <c r="G30" s="524">
        <f>IF(Hospital="Select Here","",+Sheet1!X10)</f>
        <v>0.32</v>
      </c>
      <c r="H30" s="524">
        <f>IF(Hospital="Select Here","",+Sheet1!Y10)</f>
        <v>0.32</v>
      </c>
      <c r="I30" s="524">
        <f>IF(Hospital="Select Here","",+Sheet1!Z10)</f>
        <v>0.32</v>
      </c>
      <c r="J30" s="524">
        <f>IF(Hospital="Select Here","",+Sheet1!AA10)</f>
        <v>0.32</v>
      </c>
      <c r="K30" s="524">
        <f>IF(Hospital="Select Here","",+Sheet1!AB10)</f>
        <v>0.32</v>
      </c>
      <c r="L30" s="524">
        <f>IF(Hospital="Select Here","",+Sheet1!AC10)</f>
        <v>0.32</v>
      </c>
      <c r="M30" s="524">
        <f>IF(Hospital="Select Here","",+Sheet1!AD10)</f>
        <v>0.32</v>
      </c>
      <c r="N30" s="524">
        <f>IF(Hospital="Select Here","",+Sheet1!AE10)</f>
        <v>0.32</v>
      </c>
      <c r="O30" s="524">
        <f>IF(Hospital="Select Here","",+Sheet1!AF10)</f>
        <v>0.32</v>
      </c>
      <c r="P30" s="86"/>
    </row>
    <row r="31" spans="1:21" ht="15">
      <c r="A31" s="86"/>
      <c r="B31" s="544" t="str">
        <f>IF(Hospital="Select Here","",+Sheet1!S11)</f>
        <v>Non-Professional Staff</v>
      </c>
      <c r="C31" s="488">
        <f>IF(Hospital="Select Here","",+Sheet1!T11)</f>
        <v>0.34</v>
      </c>
      <c r="D31" s="488">
        <f>IF(Hospital="Select Here","",+Sheet1!U11)</f>
        <v>0.35</v>
      </c>
      <c r="E31" s="488">
        <f>IF(Hospital="Select Here","",+Sheet1!V11)</f>
        <v>0.35</v>
      </c>
      <c r="F31" s="488">
        <f>IF(Hospital="Select Here","",+Sheet1!W11)</f>
        <v>0.35</v>
      </c>
      <c r="G31" s="488">
        <f>IF(Hospital="Select Here","",+Sheet1!X11)</f>
        <v>0.35</v>
      </c>
      <c r="H31" s="488">
        <f>IF(Hospital="Select Here","",+Sheet1!Y11)</f>
        <v>0.35</v>
      </c>
      <c r="I31" s="488">
        <f>IF(Hospital="Select Here","",+Sheet1!Z11)</f>
        <v>0.35</v>
      </c>
      <c r="J31" s="488">
        <f>IF(Hospital="Select Here","",+Sheet1!AA11)</f>
        <v>0.35</v>
      </c>
      <c r="K31" s="488">
        <f>IF(Hospital="Select Here","",+Sheet1!AB11)</f>
        <v>0.35</v>
      </c>
      <c r="L31" s="488">
        <f>IF(Hospital="Select Here","",+Sheet1!AC11)</f>
        <v>0.35</v>
      </c>
      <c r="M31" s="488">
        <f>IF(Hospital="Select Here","",+Sheet1!AD11)</f>
        <v>0.35</v>
      </c>
      <c r="N31" s="488">
        <f>IF(Hospital="Select Here","",+Sheet1!AE11)</f>
        <v>0.35</v>
      </c>
      <c r="O31" s="488">
        <f>IF(Hospital="Select Here","",+Sheet1!AF11)</f>
        <v>0.35</v>
      </c>
      <c r="P31" s="86"/>
    </row>
    <row r="32" spans="1:21" ht="15">
      <c r="A32" s="86"/>
      <c r="B32" s="544" t="str">
        <f>IF(Hospital="Select Here","",+Sheet1!S12)</f>
        <v>Bulfinch Temps</v>
      </c>
      <c r="C32" s="488">
        <f>IF(Hospital="Select Here","",+Sheet1!T12)</f>
        <v>0.12</v>
      </c>
      <c r="D32" s="488">
        <f>IF(Hospital="Select Here","",+Sheet1!U12)</f>
        <v>0.12</v>
      </c>
      <c r="E32" s="488">
        <f>IF(Hospital="Select Here","",+Sheet1!V12)</f>
        <v>0.12</v>
      </c>
      <c r="F32" s="488">
        <f>IF(Hospital="Select Here","",+Sheet1!W12)</f>
        <v>0.12</v>
      </c>
      <c r="G32" s="488">
        <f>IF(Hospital="Select Here","",+Sheet1!X12)</f>
        <v>0.12</v>
      </c>
      <c r="H32" s="488">
        <f>IF(Hospital="Select Here","",+Sheet1!Y12)</f>
        <v>0.12</v>
      </c>
      <c r="I32" s="488">
        <f>IF(Hospital="Select Here","",+Sheet1!Z12)</f>
        <v>0.12</v>
      </c>
      <c r="J32" s="488">
        <f>IF(Hospital="Select Here","",+Sheet1!AA12)</f>
        <v>0.12</v>
      </c>
      <c r="K32" s="488">
        <f>IF(Hospital="Select Here","",+Sheet1!AB12)</f>
        <v>0.12</v>
      </c>
      <c r="L32" s="488">
        <f>IF(Hospital="Select Here","",+Sheet1!AC12)</f>
        <v>0.12</v>
      </c>
      <c r="M32" s="488">
        <f>IF(Hospital="Select Here","",+Sheet1!AD12)</f>
        <v>0.12</v>
      </c>
      <c r="N32" s="488">
        <f>IF(Hospital="Select Here","",+Sheet1!AE12)</f>
        <v>0.12</v>
      </c>
      <c r="O32" s="488">
        <f>IF(Hospital="Select Here","",+Sheet1!AF12)</f>
        <v>0.12</v>
      </c>
      <c r="P32" s="86"/>
    </row>
    <row r="33" spans="1:17" ht="15">
      <c r="A33" s="86"/>
      <c r="B33" s="544" t="str">
        <f>IF(Hospital="Select Here","",+Sheet1!S13)</f>
        <v xml:space="preserve"> </v>
      </c>
      <c r="C33" s="488" t="str">
        <f>IF(Hospital="Select Here","",+Sheet1!T13)</f>
        <v xml:space="preserve"> </v>
      </c>
      <c r="D33" s="488" t="str">
        <f>IF(Hospital="Select Here","",+Sheet1!U13)</f>
        <v xml:space="preserve"> </v>
      </c>
      <c r="E33" s="488" t="str">
        <f>IF(Hospital="Select Here","",+Sheet1!V13)</f>
        <v xml:space="preserve"> </v>
      </c>
      <c r="F33" s="488" t="str">
        <f>IF(Hospital="Select Here","",+Sheet1!W13)</f>
        <v xml:space="preserve"> </v>
      </c>
      <c r="G33" s="488" t="str">
        <f>IF(Hospital="Select Here","",+Sheet1!X13)</f>
        <v xml:space="preserve"> </v>
      </c>
      <c r="H33" s="488" t="str">
        <f>IF(Hospital="Select Here","",+Sheet1!Y13)</f>
        <v xml:space="preserve"> </v>
      </c>
      <c r="I33" s="488" t="str">
        <f>IF(Hospital="Select Here","",+Sheet1!Z13)</f>
        <v xml:space="preserve"> </v>
      </c>
      <c r="J33" s="488" t="str">
        <f>IF(Hospital="Select Here","",+Sheet1!AA13)</f>
        <v xml:space="preserve"> </v>
      </c>
      <c r="K33" s="488" t="str">
        <f>IF(Hospital="Select Here","",+Sheet1!AB13)</f>
        <v xml:space="preserve"> </v>
      </c>
      <c r="L33" s="488" t="str">
        <f>IF(Hospital="Select Here","",+Sheet1!AC13)</f>
        <v xml:space="preserve"> </v>
      </c>
      <c r="M33" s="488" t="str">
        <f>IF(Hospital="Select Here","",+Sheet1!AD13)</f>
        <v xml:space="preserve"> </v>
      </c>
      <c r="N33" s="488" t="str">
        <f>IF(Hospital="Select Here","",+Sheet1!AE13)</f>
        <v xml:space="preserve"> </v>
      </c>
      <c r="O33" s="488" t="str">
        <f>IF(Hospital="Select Here","",+Sheet1!AF13)</f>
        <v xml:space="preserve"> </v>
      </c>
      <c r="P33" s="86"/>
    </row>
    <row r="34" spans="1:17" ht="15">
      <c r="A34" s="86"/>
      <c r="B34" s="544" t="str">
        <f>IF(Hospital="Select Here","",+Sheet1!S14)</f>
        <v xml:space="preserve"> </v>
      </c>
      <c r="C34" s="488" t="str">
        <f>IF(Hospital="Select Here","",+Sheet1!T14)</f>
        <v xml:space="preserve"> </v>
      </c>
      <c r="D34" s="488" t="str">
        <f>IF(Hospital="Select Here","",+Sheet1!U14)</f>
        <v xml:space="preserve"> </v>
      </c>
      <c r="E34" s="488" t="str">
        <f>IF(Hospital="Select Here","",+Sheet1!V14)</f>
        <v xml:space="preserve"> </v>
      </c>
      <c r="F34" s="488" t="str">
        <f>IF(Hospital="Select Here","",+Sheet1!W14)</f>
        <v xml:space="preserve"> </v>
      </c>
      <c r="G34" s="488" t="str">
        <f>IF(Hospital="Select Here","",+Sheet1!X14)</f>
        <v xml:space="preserve"> </v>
      </c>
      <c r="H34" s="488" t="str">
        <f>IF(Hospital="Select Here","",+Sheet1!Y14)</f>
        <v xml:space="preserve"> </v>
      </c>
      <c r="I34" s="488" t="str">
        <f>IF(Hospital="Select Here","",+Sheet1!Z14)</f>
        <v xml:space="preserve"> </v>
      </c>
      <c r="J34" s="488" t="str">
        <f>IF(Hospital="Select Here","",+Sheet1!AA14)</f>
        <v xml:space="preserve"> </v>
      </c>
      <c r="K34" s="488" t="str">
        <f>IF(Hospital="Select Here","",+Sheet1!AB14)</f>
        <v xml:space="preserve"> </v>
      </c>
      <c r="L34" s="488" t="str">
        <f>IF(Hospital="Select Here","",+Sheet1!AC14)</f>
        <v xml:space="preserve"> </v>
      </c>
      <c r="M34" s="488" t="str">
        <f>IF(Hospital="Select Here","",+Sheet1!AD14)</f>
        <v xml:space="preserve"> </v>
      </c>
      <c r="N34" s="488" t="str">
        <f>IF(Hospital="Select Here","",+Sheet1!AE14)</f>
        <v xml:space="preserve"> </v>
      </c>
      <c r="O34" s="488" t="str">
        <f>IF(Hospital="Select Here","",+Sheet1!AF14)</f>
        <v xml:space="preserve"> </v>
      </c>
      <c r="P34" s="86"/>
    </row>
    <row r="35" spans="1:17" ht="15">
      <c r="A35" s="86"/>
      <c r="B35" s="539" t="str">
        <f>IF(Hospital="Select Here","",+Sheet1!S15)</f>
        <v xml:space="preserve"> </v>
      </c>
      <c r="C35" s="489" t="str">
        <f>IF(Hospital="Select Here","",+Sheet1!T15)</f>
        <v xml:space="preserve"> </v>
      </c>
      <c r="D35" s="489" t="str">
        <f>IF(Hospital="Select Here","",+Sheet1!U15)</f>
        <v xml:space="preserve"> </v>
      </c>
      <c r="E35" s="489" t="str">
        <f>IF(Hospital="Select Here","",+Sheet1!V15)</f>
        <v xml:space="preserve"> </v>
      </c>
      <c r="F35" s="489" t="str">
        <f>IF(Hospital="Select Here","",+Sheet1!W15)</f>
        <v xml:space="preserve"> </v>
      </c>
      <c r="G35" s="489" t="str">
        <f>IF(Hospital="Select Here","",+Sheet1!X15)</f>
        <v xml:space="preserve"> </v>
      </c>
      <c r="H35" s="489" t="str">
        <f>IF(Hospital="Select Here","",+Sheet1!Y15)</f>
        <v xml:space="preserve"> </v>
      </c>
      <c r="I35" s="489" t="str">
        <f>IF(Hospital="Select Here","",+Sheet1!Z15)</f>
        <v xml:space="preserve"> </v>
      </c>
      <c r="J35" s="489" t="str">
        <f>IF(Hospital="Select Here","",+Sheet1!AA15)</f>
        <v xml:space="preserve"> </v>
      </c>
      <c r="K35" s="489" t="str">
        <f>IF(Hospital="Select Here","",+Sheet1!AB15)</f>
        <v xml:space="preserve"> </v>
      </c>
      <c r="L35" s="489" t="str">
        <f>IF(Hospital="Select Here","",+Sheet1!AC15)</f>
        <v xml:space="preserve"> </v>
      </c>
      <c r="M35" s="489" t="str">
        <f>IF(Hospital="Select Here","",+Sheet1!AD15)</f>
        <v xml:space="preserve"> </v>
      </c>
      <c r="N35" s="489" t="str">
        <f>IF(Hospital="Select Here","",+Sheet1!AE15)</f>
        <v xml:space="preserve"> </v>
      </c>
      <c r="O35" s="489" t="str">
        <f>IF(Hospital="Select Here","",+Sheet1!AF15)</f>
        <v xml:space="preserve"> </v>
      </c>
      <c r="P35" s="87"/>
    </row>
    <row r="36" spans="1:17" ht="15">
      <c r="A36" s="86"/>
      <c r="B36" s="86"/>
      <c r="C36" s="86"/>
      <c r="D36" s="86"/>
      <c r="E36" s="86"/>
      <c r="F36" s="86"/>
      <c r="G36" s="86"/>
      <c r="H36" s="86"/>
      <c r="I36" s="86"/>
      <c r="J36" s="86"/>
      <c r="K36" s="86"/>
      <c r="L36" s="86"/>
      <c r="M36" s="86"/>
      <c r="N36" s="86"/>
      <c r="O36" s="86"/>
      <c r="P36" s="87"/>
    </row>
    <row r="37" spans="1:17" ht="15">
      <c r="A37" s="86"/>
      <c r="B37" s="567" t="s">
        <v>90</v>
      </c>
      <c r="C37" s="486">
        <f>+Sheet1!T22</f>
        <v>44105</v>
      </c>
      <c r="D37" s="486">
        <f>+Sheet1!U22</f>
        <v>44470</v>
      </c>
      <c r="E37" s="486">
        <f>+Sheet1!V22</f>
        <v>44835</v>
      </c>
      <c r="F37" s="486">
        <f>+Sheet1!W22</f>
        <v>45200</v>
      </c>
      <c r="G37" s="486">
        <f>+Sheet1!X22</f>
        <v>45566</v>
      </c>
      <c r="H37" s="486">
        <f>+Sheet1!Y22</f>
        <v>45931</v>
      </c>
      <c r="I37" s="486">
        <f>+Sheet1!Z22</f>
        <v>46296</v>
      </c>
      <c r="J37" s="486">
        <f>+Sheet1!AA22</f>
        <v>46661</v>
      </c>
      <c r="K37" s="486">
        <f>+Sheet1!AB22</f>
        <v>47027</v>
      </c>
      <c r="L37" s="486">
        <f>+Sheet1!AC22</f>
        <v>47392</v>
      </c>
      <c r="M37" s="486">
        <f>+Sheet1!AD22</f>
        <v>47757</v>
      </c>
      <c r="N37" s="486">
        <f>+Sheet1!AE22</f>
        <v>48122</v>
      </c>
      <c r="O37" s="486">
        <f>+Sheet1!AF22</f>
        <v>48488</v>
      </c>
      <c r="P37" s="88"/>
    </row>
    <row r="38" spans="1:17" ht="24.75" customHeight="1">
      <c r="A38" s="86"/>
      <c r="B38" s="568"/>
      <c r="C38" s="487">
        <f>+Sheet1!T23</f>
        <v>44469</v>
      </c>
      <c r="D38" s="487">
        <f>+Sheet1!U23</f>
        <v>44834</v>
      </c>
      <c r="E38" s="487">
        <f>+Sheet1!V23</f>
        <v>45199</v>
      </c>
      <c r="F38" s="487">
        <f>+Sheet1!W23</f>
        <v>45565</v>
      </c>
      <c r="G38" s="487">
        <f>+Sheet1!X23</f>
        <v>45930</v>
      </c>
      <c r="H38" s="487">
        <f>+Sheet1!Y23</f>
        <v>46295</v>
      </c>
      <c r="I38" s="487">
        <f>+Sheet1!Z23</f>
        <v>46660</v>
      </c>
      <c r="J38" s="487">
        <f>+Sheet1!AA23</f>
        <v>47026</v>
      </c>
      <c r="K38" s="487">
        <f>+Sheet1!AB23</f>
        <v>47391</v>
      </c>
      <c r="L38" s="487">
        <f>+Sheet1!AC23</f>
        <v>47756</v>
      </c>
      <c r="M38" s="487">
        <f>+Sheet1!AD23</f>
        <v>48121</v>
      </c>
      <c r="N38" s="487">
        <f>+Sheet1!AE23</f>
        <v>48487</v>
      </c>
      <c r="O38" s="487">
        <f>+Sheet1!AF23</f>
        <v>48852</v>
      </c>
      <c r="P38" s="88"/>
    </row>
    <row r="39" spans="1:17" ht="15">
      <c r="A39" s="86"/>
      <c r="B39" s="490" t="str">
        <f>+Sheet1!S24</f>
        <v>OnSite</v>
      </c>
      <c r="C39" s="491">
        <f>+Sheet1!T24</f>
        <v>0.68</v>
      </c>
      <c r="D39" s="491">
        <f>+Sheet1!U24</f>
        <v>0.68</v>
      </c>
      <c r="E39" s="491">
        <f>+Sheet1!V24</f>
        <v>0.68</v>
      </c>
      <c r="F39" s="491">
        <f>+Sheet1!W24</f>
        <v>0.68</v>
      </c>
      <c r="G39" s="491">
        <f>+Sheet1!X24</f>
        <v>0.68</v>
      </c>
      <c r="H39" s="491">
        <f>+Sheet1!Y24</f>
        <v>0.68</v>
      </c>
      <c r="I39" s="491">
        <f>+Sheet1!Z24</f>
        <v>0.68</v>
      </c>
      <c r="J39" s="491">
        <f>+Sheet1!AA24</f>
        <v>0.68</v>
      </c>
      <c r="K39" s="491">
        <f>+Sheet1!AB24</f>
        <v>0.68</v>
      </c>
      <c r="L39" s="491">
        <f>+Sheet1!AC24</f>
        <v>0.68</v>
      </c>
      <c r="M39" s="491">
        <f>+Sheet1!AD24</f>
        <v>0.68</v>
      </c>
      <c r="N39" s="491">
        <f>+Sheet1!AE24</f>
        <v>0.68</v>
      </c>
      <c r="O39" s="491">
        <f>+Sheet1!AF24</f>
        <v>0.68</v>
      </c>
      <c r="P39" s="86"/>
      <c r="Q39" s="89"/>
    </row>
    <row r="40" spans="1:17" ht="15">
      <c r="A40" s="86"/>
      <c r="B40" s="523" t="str">
        <f>+Sheet1!S25</f>
        <v>Offsite</v>
      </c>
      <c r="C40" s="491">
        <f>+Sheet1!T25</f>
        <v>0.34</v>
      </c>
      <c r="D40" s="491">
        <f>+Sheet1!U25</f>
        <v>0.34</v>
      </c>
      <c r="E40" s="491">
        <f>+Sheet1!V25</f>
        <v>0.34</v>
      </c>
      <c r="F40" s="491">
        <f>+Sheet1!W25</f>
        <v>0.34</v>
      </c>
      <c r="G40" s="491">
        <f>+Sheet1!X25</f>
        <v>0.34</v>
      </c>
      <c r="H40" s="491">
        <f>+Sheet1!Y25</f>
        <v>0.34</v>
      </c>
      <c r="I40" s="491">
        <f>+Sheet1!Z25</f>
        <v>0.34</v>
      </c>
      <c r="J40" s="491">
        <f>+Sheet1!AA25</f>
        <v>0.34</v>
      </c>
      <c r="K40" s="491">
        <f>+Sheet1!AB25</f>
        <v>0.34</v>
      </c>
      <c r="L40" s="491">
        <f>+Sheet1!AC25</f>
        <v>0.34</v>
      </c>
      <c r="M40" s="491">
        <f>+Sheet1!AD25</f>
        <v>0.34</v>
      </c>
      <c r="N40" s="491">
        <f>+Sheet1!AE25</f>
        <v>0.34</v>
      </c>
      <c r="O40" s="491">
        <f>+Sheet1!AF25</f>
        <v>0.34</v>
      </c>
      <c r="P40" s="92"/>
      <c r="Q40" s="89"/>
    </row>
    <row r="41" spans="1:17" ht="15">
      <c r="B41" s="492" t="str">
        <f>+Sheet1!S26</f>
        <v>Other</v>
      </c>
      <c r="C41" s="493" t="str">
        <f>+Sheet1!T26</f>
        <v xml:space="preserve"> </v>
      </c>
      <c r="D41" s="493" t="str">
        <f>+Sheet1!U26</f>
        <v xml:space="preserve"> </v>
      </c>
      <c r="E41" s="493" t="str">
        <f>+Sheet1!V26</f>
        <v xml:space="preserve"> </v>
      </c>
      <c r="F41" s="493" t="str">
        <f>+Sheet1!W26</f>
        <v xml:space="preserve"> </v>
      </c>
      <c r="G41" s="493" t="str">
        <f>+Sheet1!X26</f>
        <v xml:space="preserve"> </v>
      </c>
      <c r="H41" s="493" t="str">
        <f>+Sheet1!Y26</f>
        <v xml:space="preserve"> </v>
      </c>
      <c r="I41" s="493" t="str">
        <f>+Sheet1!Z26</f>
        <v xml:space="preserve"> </v>
      </c>
      <c r="J41" s="493" t="str">
        <f>+Sheet1!AA26</f>
        <v xml:space="preserve"> </v>
      </c>
      <c r="K41" s="493" t="str">
        <f>+Sheet1!AB26</f>
        <v xml:space="preserve"> </v>
      </c>
      <c r="L41" s="493" t="str">
        <f>+Sheet1!AC26</f>
        <v xml:space="preserve"> </v>
      </c>
      <c r="M41" s="493" t="str">
        <f>+Sheet1!AD26</f>
        <v xml:space="preserve"> </v>
      </c>
      <c r="N41" s="493" t="str">
        <f>+Sheet1!AE26</f>
        <v xml:space="preserve"> </v>
      </c>
      <c r="O41" s="493" t="str">
        <f>+Sheet1!AF26</f>
        <v xml:space="preserve"> </v>
      </c>
      <c r="P41" s="89"/>
      <c r="Q41" s="89"/>
    </row>
    <row r="42" spans="1:17" ht="15">
      <c r="B42" s="90"/>
      <c r="C42" s="90"/>
      <c r="D42" s="90"/>
      <c r="E42" s="90"/>
      <c r="F42" s="90"/>
      <c r="G42" s="90"/>
      <c r="H42" s="90"/>
      <c r="I42" s="90"/>
      <c r="J42" s="90"/>
      <c r="K42" s="90"/>
      <c r="L42" s="90"/>
      <c r="M42" s="90"/>
      <c r="N42" s="91"/>
      <c r="O42" s="91"/>
      <c r="P42" s="89"/>
      <c r="Q42" s="89"/>
    </row>
    <row r="43" spans="1:17" ht="15">
      <c r="B43" s="93"/>
      <c r="C43" s="89"/>
      <c r="D43" s="89"/>
      <c r="E43" s="89"/>
      <c r="F43" s="89"/>
      <c r="G43" s="89"/>
      <c r="H43" s="89"/>
      <c r="I43" s="89"/>
      <c r="J43" s="89"/>
      <c r="K43" s="89"/>
      <c r="L43" s="89"/>
      <c r="M43" s="89"/>
      <c r="N43" s="89"/>
      <c r="O43" s="89"/>
      <c r="P43" s="89"/>
      <c r="Q43" s="89"/>
    </row>
    <row r="44" spans="1:17" ht="15">
      <c r="B44" s="93"/>
      <c r="C44" s="89"/>
      <c r="D44" s="89"/>
      <c r="E44" s="89"/>
      <c r="F44" s="89"/>
      <c r="G44" s="89"/>
      <c r="H44" s="89"/>
      <c r="I44" s="89"/>
      <c r="J44" s="89"/>
      <c r="K44" s="89"/>
      <c r="L44" s="89"/>
      <c r="M44" s="89"/>
      <c r="N44" s="89"/>
      <c r="O44" s="89"/>
      <c r="P44" s="89"/>
      <c r="Q44" s="89"/>
    </row>
    <row r="45" spans="1:17" ht="15">
      <c r="B45" s="89"/>
      <c r="C45" s="89"/>
      <c r="D45" s="89"/>
      <c r="E45" s="89"/>
      <c r="F45" s="89"/>
      <c r="G45" s="89"/>
      <c r="H45" s="89"/>
      <c r="I45" s="89"/>
      <c r="J45" s="89"/>
      <c r="K45" s="89"/>
      <c r="L45" s="89"/>
      <c r="M45" s="89"/>
      <c r="N45" s="89"/>
      <c r="O45" s="89"/>
      <c r="P45" s="89"/>
      <c r="Q45" s="89"/>
    </row>
    <row r="46" spans="1:17" ht="15">
      <c r="B46" s="89"/>
      <c r="C46" s="89"/>
      <c r="D46" s="89"/>
      <c r="E46" s="89"/>
      <c r="F46" s="89"/>
      <c r="G46" s="89"/>
      <c r="H46" s="89"/>
      <c r="I46" s="89"/>
      <c r="J46" s="89"/>
      <c r="K46" s="89"/>
      <c r="L46" s="89"/>
      <c r="M46" s="89"/>
      <c r="N46" s="89"/>
      <c r="O46" s="89"/>
      <c r="P46" s="89"/>
      <c r="Q46" s="89"/>
    </row>
    <row r="47" spans="1:17" ht="15">
      <c r="B47" s="89"/>
      <c r="C47" s="89"/>
      <c r="D47" s="89"/>
      <c r="E47" s="89"/>
      <c r="F47" s="89"/>
      <c r="G47" s="89"/>
      <c r="H47" s="89"/>
      <c r="I47" s="89"/>
      <c r="J47" s="89"/>
      <c r="K47" s="89"/>
      <c r="L47" s="89"/>
      <c r="M47" s="89"/>
      <c r="N47" s="89"/>
      <c r="O47" s="89"/>
      <c r="P47" s="89"/>
      <c r="Q47" s="89"/>
    </row>
    <row r="48" spans="1:17" ht="15">
      <c r="B48" s="89"/>
      <c r="C48" s="89"/>
      <c r="D48" s="89"/>
      <c r="E48" s="89"/>
      <c r="F48" s="89"/>
      <c r="G48" s="89"/>
      <c r="H48" s="89"/>
      <c r="I48" s="89"/>
      <c r="J48" s="89"/>
      <c r="K48" s="89"/>
      <c r="L48" s="89"/>
      <c r="M48" s="89"/>
      <c r="N48" s="89"/>
      <c r="O48" s="89"/>
      <c r="P48" s="89"/>
      <c r="Q48" s="89"/>
    </row>
    <row r="49" spans="2:17" ht="15" hidden="1">
      <c r="B49" s="89"/>
      <c r="C49" s="89"/>
      <c r="D49" s="89"/>
      <c r="E49" s="89"/>
      <c r="F49" s="89"/>
      <c r="G49" s="89"/>
      <c r="H49" s="89"/>
      <c r="I49" s="89"/>
      <c r="J49" s="89"/>
      <c r="K49" s="89"/>
      <c r="L49" s="89"/>
      <c r="M49" s="89"/>
      <c r="N49" s="89"/>
      <c r="O49" s="89"/>
      <c r="P49" s="89"/>
      <c r="Q49" s="89"/>
    </row>
    <row r="50" spans="2:17" ht="15" hidden="1">
      <c r="B50" s="89"/>
      <c r="C50" s="89"/>
      <c r="D50" s="89"/>
      <c r="E50" s="89"/>
      <c r="F50" s="89"/>
      <c r="G50" s="89"/>
      <c r="H50" s="89"/>
      <c r="I50" s="89"/>
      <c r="J50" s="89"/>
      <c r="K50" s="89"/>
      <c r="L50" s="89"/>
      <c r="M50" s="89"/>
      <c r="N50" s="89"/>
      <c r="O50" s="89"/>
      <c r="P50" s="89"/>
      <c r="Q50" s="89"/>
    </row>
    <row r="51" spans="2:17" ht="15" hidden="1">
      <c r="B51" s="89"/>
      <c r="C51" s="89"/>
      <c r="D51" s="89"/>
      <c r="E51" s="89"/>
      <c r="F51" s="89"/>
      <c r="G51" s="89"/>
      <c r="H51" s="89"/>
      <c r="I51" s="89"/>
      <c r="J51" s="89"/>
      <c r="K51" s="89"/>
      <c r="L51" s="89"/>
      <c r="M51" s="89"/>
      <c r="N51" s="89"/>
      <c r="O51" s="89"/>
      <c r="P51" s="89"/>
      <c r="Q51" s="89"/>
    </row>
    <row r="52" spans="2:17" ht="15" hidden="1">
      <c r="B52" s="89"/>
      <c r="C52" s="89"/>
      <c r="D52" s="89"/>
      <c r="E52" s="89"/>
      <c r="F52" s="89"/>
      <c r="G52" s="89"/>
      <c r="H52" s="89"/>
      <c r="I52" s="89"/>
      <c r="J52" s="89"/>
      <c r="K52" s="89"/>
      <c r="L52" s="89"/>
      <c r="M52" s="89"/>
      <c r="N52" s="89"/>
      <c r="O52" s="89"/>
      <c r="P52" s="89"/>
      <c r="Q52" s="89"/>
    </row>
    <row r="53" spans="2:17" ht="15" hidden="1">
      <c r="B53" s="89"/>
      <c r="C53" s="89"/>
      <c r="D53" s="89"/>
      <c r="E53" s="89"/>
      <c r="F53" s="89"/>
      <c r="G53" s="89"/>
      <c r="H53" s="89"/>
      <c r="I53" s="89"/>
      <c r="J53" s="89"/>
      <c r="K53" s="89"/>
      <c r="L53" s="89"/>
      <c r="M53" s="89"/>
      <c r="N53" s="89"/>
      <c r="O53" s="89"/>
      <c r="P53" s="89"/>
      <c r="Q53" s="89"/>
    </row>
    <row r="54" spans="2:17" ht="15" hidden="1">
      <c r="B54" s="89"/>
      <c r="C54" s="89"/>
      <c r="D54" s="89"/>
      <c r="E54" s="89"/>
      <c r="F54" s="89"/>
      <c r="G54" s="89"/>
      <c r="H54" s="89"/>
      <c r="I54" s="89"/>
      <c r="J54" s="89"/>
      <c r="K54" s="89"/>
      <c r="L54" s="89"/>
      <c r="M54" s="89"/>
      <c r="N54" s="89"/>
      <c r="O54" s="89"/>
      <c r="P54" s="89"/>
      <c r="Q54" s="89"/>
    </row>
    <row r="55" spans="2:17" ht="12.75" hidden="1" customHeight="1">
      <c r="B55" s="89"/>
      <c r="C55" s="89"/>
      <c r="D55" s="89"/>
      <c r="E55" s="89"/>
      <c r="F55" s="89"/>
      <c r="G55" s="89"/>
      <c r="H55" s="89"/>
      <c r="I55" s="89"/>
      <c r="J55" s="89"/>
      <c r="K55" s="89"/>
      <c r="L55" s="89"/>
      <c r="M55" s="89"/>
      <c r="N55" s="89"/>
      <c r="O55" s="89"/>
    </row>
    <row r="56" spans="2:17" ht="12" hidden="1" customHeight="1">
      <c r="B56" s="89"/>
      <c r="C56" s="89"/>
      <c r="D56" s="89"/>
      <c r="E56" s="89"/>
      <c r="F56" s="89"/>
      <c r="G56" s="89"/>
      <c r="H56" s="89"/>
      <c r="I56" s="89"/>
      <c r="J56" s="89"/>
      <c r="K56" s="89"/>
      <c r="L56" s="89"/>
      <c r="M56" s="89"/>
      <c r="N56" s="89"/>
      <c r="O56" s="89"/>
    </row>
  </sheetData>
  <sheetProtection algorithmName="SHA-512" hashValue="sOuCbdWzAFVKR9VrpCzqJNgvRJ3kYmStYmn05dPMrx2sxGz+bF/1wZ/Do9y2TfkjFwLgqsRRWmEJBC56R9G5Vg==" saltValue="pjgq+ud9knGQxAkBzsSKCw==" spinCount="100000" sheet="1" objects="1" scenarios="1"/>
  <mergeCells count="9">
    <mergeCell ref="D20:E20"/>
    <mergeCell ref="B28:B29"/>
    <mergeCell ref="B37:B38"/>
    <mergeCell ref="C13:G13"/>
    <mergeCell ref="C15:G15"/>
    <mergeCell ref="C16:G16"/>
    <mergeCell ref="C17:G17"/>
    <mergeCell ref="C18:G18"/>
    <mergeCell ref="C19:G19"/>
  </mergeCells>
  <conditionalFormatting sqref="G20 D20">
    <cfRule type="cellIs" dxfId="16" priority="1" stopIfTrue="1" operator="equal">
      <formula>"        Type Rate Here"</formula>
    </cfRule>
  </conditionalFormatting>
  <conditionalFormatting sqref="B39:O39 B30:O35">
    <cfRule type="expression" dxfId="15" priority="2" stopIfTrue="1">
      <formula>$C$20="OnSite"</formula>
    </cfRule>
  </conditionalFormatting>
  <conditionalFormatting sqref="B40:O40">
    <cfRule type="expression" dxfId="14" priority="3" stopIfTrue="1">
      <formula>$C$20="Offsite"</formula>
    </cfRule>
  </conditionalFormatting>
  <conditionalFormatting sqref="B41:O41">
    <cfRule type="expression" dxfId="13" priority="4" stopIfTrue="1">
      <formula>$C$20="Other"</formula>
    </cfRule>
  </conditionalFormatting>
  <dataValidations count="3">
    <dataValidation type="list" allowBlank="1" showInputMessage="1" showErrorMessage="1" error="Please Click the Drop Down Arrow and make your selection from list provided." promptTitle="Use Drop Down Arrow" prompt="Please Click the Drop Down Arrow and make your selection from list provided." sqref="C20" xr:uid="{00000000-0002-0000-0100-000000000000}">
      <formula1>rate1</formula1>
    </dataValidation>
    <dataValidation allowBlank="1" error="Over 8_x000a_" prompt="_x000a_" sqref="C16" xr:uid="{00000000-0002-0000-0100-000001000000}"/>
    <dataValidation type="list" allowBlank="1" showInputMessage="1" showErrorMessage="1" errorTitle="Use Drop Down Arrow" error="Please Click the Drop Down Arrow and make you selection from list provided." promptTitle="Use Drop Down Arrow" prompt="Please Click the Drop Down Arrow and make your selection from list provided." sqref="C14" xr:uid="{00000000-0002-0000-0100-000002000000}">
      <formula1>Institution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7</xdr:col>
                    <xdr:colOff>190500</xdr:colOff>
                    <xdr:row>12</xdr:row>
                    <xdr:rowOff>0</xdr:rowOff>
                  </from>
                  <to>
                    <xdr:col>8</xdr:col>
                    <xdr:colOff>152400</xdr:colOff>
                    <xdr:row>13</xdr:row>
                    <xdr:rowOff>25400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7</xdr:col>
                    <xdr:colOff>203200</xdr:colOff>
                    <xdr:row>13</xdr:row>
                    <xdr:rowOff>63500</xdr:rowOff>
                  </from>
                  <to>
                    <xdr:col>8</xdr:col>
                    <xdr:colOff>292100</xdr:colOff>
                    <xdr:row>15</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1"/>
    <pageSetUpPr fitToPage="1"/>
  </sheetPr>
  <dimension ref="A1:AP323"/>
  <sheetViews>
    <sheetView zoomScaleNormal="100" workbookViewId="0">
      <pane ySplit="5" topLeftCell="A6" activePane="bottomLeft" state="frozen"/>
      <selection activeCell="A12" sqref="A12:O12"/>
      <selection pane="bottomLeft" activeCell="C10" sqref="C10"/>
    </sheetView>
  </sheetViews>
  <sheetFormatPr baseColWidth="10" defaultColWidth="12.5" defaultRowHeight="13"/>
  <cols>
    <col min="1" max="1" width="29.33203125" style="114" customWidth="1"/>
    <col min="2" max="2" width="16" style="114" customWidth="1"/>
    <col min="3" max="3" width="19.5" style="122" bestFit="1" customWidth="1"/>
    <col min="4" max="4" width="8.5" style="113" customWidth="1"/>
    <col min="5" max="5" width="10.1640625" style="114" customWidth="1"/>
    <col min="6" max="8" width="12.6640625" style="114" customWidth="1"/>
    <col min="9" max="9" width="14.1640625" style="114" customWidth="1"/>
    <col min="10" max="10" width="7.5" style="114" customWidth="1"/>
    <col min="11" max="30" width="11.83203125" style="114" hidden="1" customWidth="1"/>
    <col min="31" max="34" width="3.6640625" style="114" hidden="1" customWidth="1"/>
    <col min="35" max="35" width="13.83203125" style="114" hidden="1" customWidth="1"/>
    <col min="36" max="36" width="3.6640625" style="114" hidden="1" customWidth="1"/>
    <col min="37" max="37" width="7" style="114" hidden="1" customWidth="1"/>
    <col min="38" max="38" width="11.5" style="114" hidden="1" customWidth="1"/>
    <col min="39" max="39" width="10.5" style="114" hidden="1" customWidth="1"/>
    <col min="40" max="40" width="9.5" style="114" hidden="1" customWidth="1"/>
    <col min="41" max="41" width="9.83203125" style="114" hidden="1" customWidth="1"/>
    <col min="42" max="42" width="9.5" style="114" hidden="1" customWidth="1"/>
    <col min="43" max="16384" width="12.5" style="114"/>
  </cols>
  <sheetData>
    <row r="1" spans="1:35">
      <c r="A1" s="111" t="str">
        <f>"PI: "&amp;'1. SUMMARY'!$C$13</f>
        <v xml:space="preserve">PI: </v>
      </c>
      <c r="B1" s="111"/>
      <c r="C1" s="112"/>
      <c r="J1" s="115" t="str">
        <f>INSTRUCTIONS!$O$1</f>
        <v>FY22-10year-10/26/2021</v>
      </c>
      <c r="K1" s="116"/>
      <c r="M1" s="117"/>
      <c r="N1" s="117"/>
      <c r="O1" s="117"/>
      <c r="P1" s="117"/>
      <c r="Q1" s="117"/>
      <c r="R1" s="117"/>
      <c r="S1" s="117"/>
      <c r="T1" s="117"/>
      <c r="U1" s="117"/>
      <c r="V1" s="117"/>
      <c r="W1" s="117"/>
      <c r="X1" s="117"/>
      <c r="Y1" s="117"/>
      <c r="Z1" s="117"/>
      <c r="AA1" s="117"/>
      <c r="AB1" s="117"/>
      <c r="AC1" s="117"/>
      <c r="AD1" s="117"/>
    </row>
    <row r="2" spans="1:35">
      <c r="A2" s="111" t="str">
        <f>"Sponsor: "&amp;'1. SUMMARY'!C19</f>
        <v xml:space="preserve">Sponsor: </v>
      </c>
      <c r="B2" s="111"/>
      <c r="C2" s="118"/>
      <c r="D2" s="119"/>
      <c r="E2" s="120"/>
      <c r="F2" s="120"/>
      <c r="G2" s="120"/>
      <c r="H2" s="120"/>
      <c r="I2" s="120"/>
      <c r="M2" s="121">
        <f>+Sheet1!$T$8</f>
        <v>44105</v>
      </c>
      <c r="N2" s="121">
        <f>+Sheet1!$U$8</f>
        <v>44470</v>
      </c>
      <c r="O2" s="121">
        <f>+Sheet1!$V$8</f>
        <v>44835</v>
      </c>
      <c r="P2" s="121">
        <f>+Sheet1!$W$8</f>
        <v>45200</v>
      </c>
      <c r="Q2" s="121">
        <f>+Sheet1!$X$8</f>
        <v>45566</v>
      </c>
      <c r="R2" s="121">
        <f>+Sheet1!$Y$8</f>
        <v>45931</v>
      </c>
      <c r="S2" s="121">
        <f>+Sheet1!$Z$8</f>
        <v>46296</v>
      </c>
      <c r="T2" s="121">
        <f>+Sheet1!$AA$8</f>
        <v>46661</v>
      </c>
      <c r="U2" s="121">
        <f>+Sheet1!$AB$8</f>
        <v>47027</v>
      </c>
      <c r="V2" s="121">
        <f>+Sheet1!$AC$8</f>
        <v>47392</v>
      </c>
      <c r="W2" s="121">
        <f>+Sheet1!AD$8</f>
        <v>47757</v>
      </c>
      <c r="X2" s="121">
        <f>+Sheet1!AE$8</f>
        <v>48122</v>
      </c>
      <c r="Y2" s="121">
        <f>+Sheet1!AF$8</f>
        <v>48488</v>
      </c>
      <c r="Z2" s="121">
        <f>+Sheet1!AG$8</f>
        <v>48853</v>
      </c>
      <c r="AA2" s="121">
        <f>+Sheet1!AH$8</f>
        <v>49218</v>
      </c>
      <c r="AB2" s="121">
        <f>+Sheet1!AI$8</f>
        <v>49583</v>
      </c>
      <c r="AC2" s="121">
        <f>+Sheet1!AJ$8</f>
        <v>49949</v>
      </c>
      <c r="AD2" s="117"/>
    </row>
    <row r="3" spans="1:35">
      <c r="A3" s="111" t="str">
        <f>"Title: "&amp;'1. SUMMARY'!C16</f>
        <v xml:space="preserve">Title: </v>
      </c>
      <c r="C3" s="118"/>
      <c r="D3" s="119"/>
      <c r="E3" s="122"/>
      <c r="F3" s="120"/>
      <c r="G3" s="120"/>
      <c r="H3" s="122"/>
      <c r="I3" s="120"/>
      <c r="K3" s="123"/>
      <c r="M3" s="121">
        <f>+Sheet1!$T$9</f>
        <v>44469</v>
      </c>
      <c r="N3" s="121">
        <f>+Sheet1!$U$9</f>
        <v>44834</v>
      </c>
      <c r="O3" s="121">
        <f>+Sheet1!$V$9</f>
        <v>45199</v>
      </c>
      <c r="P3" s="121">
        <f>+Sheet1!$W$9</f>
        <v>45565</v>
      </c>
      <c r="Q3" s="121">
        <f>+Sheet1!$X$9</f>
        <v>45930</v>
      </c>
      <c r="R3" s="121">
        <f>+Sheet1!$Y$9</f>
        <v>46295</v>
      </c>
      <c r="S3" s="121">
        <f>+Sheet1!$Z$9</f>
        <v>46660</v>
      </c>
      <c r="T3" s="121">
        <f>+Sheet1!$AA$9</f>
        <v>47026</v>
      </c>
      <c r="U3" s="121">
        <f>+Sheet1!$AB$9</f>
        <v>47391</v>
      </c>
      <c r="V3" s="121">
        <f>+Sheet1!$AC$9</f>
        <v>47756</v>
      </c>
      <c r="W3" s="121">
        <f>+Sheet1!AD$9</f>
        <v>48121</v>
      </c>
      <c r="X3" s="121">
        <f>+Sheet1!AE$9</f>
        <v>48487</v>
      </c>
      <c r="Y3" s="121">
        <f>+Sheet1!AF$9</f>
        <v>48852</v>
      </c>
      <c r="Z3" s="121">
        <f>+Sheet1!AG$9</f>
        <v>49217</v>
      </c>
      <c r="AA3" s="121">
        <f>+Sheet1!AH$9</f>
        <v>49582</v>
      </c>
      <c r="AB3" s="121">
        <f>+Sheet1!AI$9</f>
        <v>49948</v>
      </c>
      <c r="AC3" s="121">
        <f>+Sheet1!AJ$9</f>
        <v>50313</v>
      </c>
      <c r="AD3" s="117"/>
    </row>
    <row r="4" spans="1:35" ht="12.75" customHeight="1">
      <c r="A4" s="124"/>
      <c r="B4" s="124"/>
      <c r="C4" s="120"/>
      <c r="E4" s="125"/>
      <c r="F4" s="125"/>
      <c r="G4" s="125"/>
      <c r="H4" s="125"/>
      <c r="I4" s="125"/>
      <c r="M4" s="117">
        <f>IF(M3&lt;F7,0,DATEDIF(F7,M3+1,"m"))</f>
        <v>1461</v>
      </c>
      <c r="N4" s="117">
        <f>IF(IF(M4=12,0,IF(N3&gt;H7,12-DATEDIF(H7,N3+1,"m"),IF(N3&lt;F7,0,DATEDIF(F7,N3+1,"m"))))&lt;0,0,IF(M4=12,0,IF(N3&gt;H7,12-DATEDIF(H7,N3+1,"m"),IF(N3&lt;F7,0,DATEDIF(F7,N3+1,"m")))))</f>
        <v>0</v>
      </c>
      <c r="O4" s="117">
        <f>IF(IF(M4+N4=12,0,IF(O3&gt;H7,12-DATEDIF(H7,O3+1,"m"),IF(O3&lt;F7,0,DATEDIF(F7,O3+1,"m"))))&lt;0,0,IF(M4+N4=12,0,IF(O3&gt;H7,12-DATEDIF(H7,O3+1,"m"),IF(O3&lt;F7,0,DATEDIF(F7,O3+1,"m")))))</f>
        <v>0</v>
      </c>
      <c r="P4" s="117">
        <f>IF(IF(N4+O4+M4=12,0,IF(P3&gt;H7,12-DATEDIF(H7,P3+1,"m"),IF(P3&lt;F7,0,DATEDIF(F7,P3+1,"m"))))&lt;0,0,IF(N4+O4+M4=12,0,IF(P3&gt;H7,12-DATEDIF(H7,P3+1,"m"),IF(P3&lt;F7,0,DATEDIF(F7,P3+1,"m")))))</f>
        <v>0</v>
      </c>
      <c r="Q4" s="117">
        <f>IF(IF(O4+P4+N4+M4=12,0,IF(Q3&gt;$H$7,12-DATEDIF($H$7,Q3+1,"m"),IF(Q3&lt;$F$7,0,DATEDIF($F$7,Q3+1,"m"))))&lt;0,0,IF(O4+P4+N4+M4=12,0,IF(Q3&gt;$H$7,12-DATEDIF($H$7,Q3+1,"m"),IF(Q3&lt;$F$7,0,DATEDIF($F$7,Q3+1,"m")))))</f>
        <v>0</v>
      </c>
      <c r="R4" s="117">
        <f>IF(IF(P4+Q4+O4+N4+M4=12,0,IF(R3&gt;$H$7,12-DATEDIF($H$7,R3+1,"m"),IF(R3&lt;$F$7,0,DATEDIF($F$7,R3+1,"m"))))&lt;0,0,IF(P4+Q4+O4+N4+M4=12,0,IF(R3&gt;$H$7,12-DATEDIF($H$7,R3+1,"m"),IF(R3&lt;$F$7,0,DATEDIF($F$7,R3+1,"m")))))</f>
        <v>0</v>
      </c>
      <c r="S4" s="117">
        <f>IF(IF(Q4+R4+P4+O4+N4+M4=12,0,IF(S3&gt;$H$7,12-DATEDIF($H$7,S3+1,"m"),IF(S3&lt;$F$7,0,DATEDIF($F$7,S3+1,"m"))))&lt;0,0,IF(Q4+R4+P4+O4+N4+M4=12,0,IF(S3&gt;$H$7,12-DATEDIF($H$7,S3+1,"m"),IF(S3&lt;$F$7,0,DATEDIF($F$7,S3+1,"m")))))</f>
        <v>0</v>
      </c>
      <c r="T4" s="117">
        <f>IF(IF(R4+S4+Q4+P4+O4+N4+M4=12,0,IF(T3&gt;$H$7,12-DATEDIF($H$7,T3+1,"m"),IF(T3&lt;$F$7,0,DATEDIF($F$7,T3+1,"m"))))&lt;0,0,IF(R4+S4+Q4+P4+O4+N4+M4=12,0,IF(T3&gt;$H$7,12-DATEDIF($H$7,T3+1,"m"),IF(T3&lt;$F$7,0,DATEDIF($F$7,T3+1,"m")))))</f>
        <v>0</v>
      </c>
      <c r="U4" s="117">
        <f>IF(IF(S4+T4+R4+Q4+P4+O4+N4+M4=12,0,IF(U3&gt;$H$7,12-DATEDIF($H$7,U3+1,"m"),IF(U3&lt;$F$7,0,DATEDIF($F$7,U3+1,"m"))))&lt;0,0,IF(S4+T4+R4+Q4+P4+O4+N4+M4=12,0,IF(U3&gt;$H$7,12-DATEDIF($H$7,U3+1,"m"),IF(U3&lt;$F$7,0,DATEDIF($F$7,U3+1,"m")))))</f>
        <v>0</v>
      </c>
      <c r="V4" s="117">
        <f>IF(IF(T4+U4+S4+R4+Q4+P4+O4+M4+N4=12,0,IF(V3&gt;$H$7,12-DATEDIF($H$7,V3+1,"m"),IF(V3&lt;$F$7,0,DATEDIF($F$7,V3+1,"m"))))&lt;0,0,IF(T4+U4+S4+R4+Q4+P4+O4+M4+N4=12,0,IF(V3&gt;$H$7,12-DATEDIF($H$7,V3+1,"m"),IF(V3&lt;$F$7,0,DATEDIF($F$7,V3+1,"m")))))</f>
        <v>0</v>
      </c>
      <c r="W4" s="117">
        <f>IF(IF(U4+V4+T4+S4+R4+Q4+P4+O4+N4+M4=12,0,IF(W3&gt;$H$7,12-DATEDIF($H$7,W3+1,"m"),IF(W3&lt;$F$7,0,DATEDIF($F$7,W3+1,"m"))))&lt;0,0,IF(+M4+N4+O4+U4+V4+T4+S4+R4+Q4+P4=12,0,IF(W3&gt;$H$7,12-DATEDIF($H$7,W3+1,"m"),IF(W3&lt;$F$7,0,DATEDIF($F$7,W3+1,"m")))))</f>
        <v>0</v>
      </c>
      <c r="X4" s="117">
        <f>IF(IF(+M4+N4+O4+P4+V4+W4+U4+T4+S4+R4+Q4=12,0,IF(X3&gt;$H$7,12-DATEDIF($H$7,X3+1,"m"),IF(X3&lt;$F$7,0,DATEDIF($F$7,X3+1,"m"))))&lt;0,0,IF(M4+N4+O4+P4+V4+W4+U4+T4+S4+R4+Q4=12,0,IF(X3&gt;$H$7,12-DATEDIF($H$7,X3+1,"m"),IF(X3&lt;$F$7,0,DATEDIF($F$7,X3+1,"m")))))</f>
        <v>0</v>
      </c>
      <c r="Y4" s="117">
        <f>IF(IF(M4+N4+O4+P4+Q4+W4+X4+V4+U4+T4+S4+R4=12,0,IF(Y3&gt;$H$7,12-DATEDIF($H$7,Y3+1,"m"),IF(Y3&lt;$F$7,0,DATEDIF($F$7,Y3+1,"m"))))&lt;0,0,IF(M4+N4+O4+P4+Q4+W4+X4+V4+U4+T4+S4+R4=12,0,IF(Y3&gt;$H$7,12-DATEDIF($H$7,Y3+1,"m"),IF(Y3&lt;$F$7,0,DATEDIF($F$7,Y3+1,"m")))))</f>
        <v>0</v>
      </c>
      <c r="Z4" s="117">
        <f>IF(IF(M4+N4+O4+P4+Q4+R4+X4+Y4+W4+V4+U4+T4+S4=12,0,IF(Z3&gt;$H$7,12-DATEDIF($H$7,Z3+1,"m"),IF(Z3&lt;$F$7,0,DATEDIF($F$7,Z3+1,"m"))))&lt;0,0,IF(M4+N4+O4+P4+Q4+R4+X4+Y4+W4+V4+U4+T4+S4=12,0,IF(Z3&gt;$H$7,12-DATEDIF($H$7,Z3+1,"m"),IF(Z3&lt;$F$7,0,DATEDIF($F$7,Z3+1,"m")))))</f>
        <v>0</v>
      </c>
      <c r="AA4" s="117">
        <f>IF(IF(M4+N4+O4+P4+Q4+R4+S4+Y4+Z4+X4+W4+V4+U4+T4=12,0,IF(AA3&gt;$H$7,12-DATEDIF($H$7,AA3+1,"m"),IF(AA3&lt;$F$7,0,DATEDIF($F$7,AA3+1,"m"))))&lt;0,0,IF(M4+N4+O4+P4+Q4+R4+S4+Y4+Z4+X4+W4+V4+U4+T4=12,0,IF(AA3&gt;$H$7,12-DATEDIF($H$7,AA3+1,"m"),IF(AA3&lt;$F$7,0,DATEDIF($F$7,AA3+1,"m")))))</f>
        <v>0</v>
      </c>
      <c r="AB4" s="117">
        <f>IF(IF(M4+N4+O4+P4+Q4+R4+S4+T4+Z4+AA4+Y4+X4+W4+V4+U4=12,0,IF(AB3&gt;$H$7,12-DATEDIF($H$7,AB3+1,"m"),IF(AB3&lt;$F$7,0,DATEDIF($F$7,AB3+1,"m"))))&lt;0,0,IF(M4+N4+O4+P4+Q4+R4+S4+T4+Z4+AA4+Y4+X4+W4+V4+U4=12,0,IF(AB3&gt;$H$7,12-DATEDIF($H$7,AB3+1,"m"),IF(AB3&lt;$F$7,0,DATEDIF($F$7,AB3+1,"m")))))</f>
        <v>0</v>
      </c>
      <c r="AC4" s="117">
        <f>IF(IF(M4+N4+O4+P4+Q4+R4+S4+T4+U4+AA4+AB4+Z4+Y4+X4+W4+V4=12,0,IF(AC3&gt;$H$7,12-DATEDIF($H$7,AC3+1,"m"),IF(AC3&lt;$F$7,0,DATEDIF($F$7,AC3+1,"m"))))&lt;0,0,IF(M4+N4+O4+P4+Q4+R4+S4+T4+U4+AA4+AB4+Z4+Y4+X4+W4+V4=12,0,IF(AC3&gt;$H$7,12-DATEDIF($H$7,AC3+1,"m"),IF(AC3&lt;$F$7,0,DATEDIF($F$7,AC3+1,"m")))))</f>
        <v>0</v>
      </c>
      <c r="AD4" s="117">
        <f>SUM(M4:AC4)</f>
        <v>1461</v>
      </c>
    </row>
    <row r="5" spans="1:35" ht="16">
      <c r="A5" s="126" t="s">
        <v>103</v>
      </c>
      <c r="B5" s="574" t="s">
        <v>104</v>
      </c>
      <c r="C5" s="574"/>
      <c r="D5" s="574"/>
      <c r="E5" s="574"/>
      <c r="F5" s="125"/>
      <c r="G5" s="125"/>
      <c r="H5" s="125"/>
      <c r="I5" s="125"/>
      <c r="M5" s="117"/>
      <c r="N5" s="117"/>
      <c r="O5" s="117"/>
      <c r="P5" s="117"/>
      <c r="Q5" s="117"/>
      <c r="R5" s="117"/>
      <c r="S5" s="117"/>
      <c r="T5" s="117"/>
      <c r="U5" s="117"/>
      <c r="V5" s="117"/>
      <c r="W5" s="117"/>
      <c r="X5" s="117"/>
      <c r="Y5" s="117"/>
      <c r="Z5" s="117"/>
      <c r="AA5" s="117"/>
      <c r="AB5" s="117"/>
      <c r="AC5" s="117"/>
      <c r="AD5" s="117"/>
    </row>
    <row r="6" spans="1:35" ht="12.75" customHeight="1">
      <c r="A6" s="124"/>
      <c r="B6" s="124"/>
      <c r="C6" s="120"/>
      <c r="D6" s="127"/>
      <c r="E6" s="128"/>
      <c r="F6" s="128"/>
      <c r="G6" s="128"/>
      <c r="H6" s="128"/>
      <c r="I6" s="128"/>
      <c r="M6" s="117"/>
      <c r="N6" s="117"/>
      <c r="O6" s="117"/>
      <c r="P6" s="117"/>
      <c r="Q6" s="117"/>
      <c r="R6" s="117"/>
      <c r="S6" s="117"/>
      <c r="T6" s="117"/>
      <c r="U6" s="117"/>
      <c r="V6" s="117"/>
      <c r="W6" s="117"/>
      <c r="X6" s="117"/>
      <c r="Y6" s="117"/>
      <c r="Z6" s="117"/>
      <c r="AA6" s="117"/>
      <c r="AB6" s="117"/>
      <c r="AC6" s="117"/>
      <c r="AD6" s="117"/>
    </row>
    <row r="7" spans="1:35" ht="12.75" customHeight="1">
      <c r="A7" s="118" t="s">
        <v>37</v>
      </c>
      <c r="B7" s="118"/>
      <c r="C7" s="118"/>
      <c r="D7" s="129"/>
      <c r="E7" s="130"/>
      <c r="F7" s="131">
        <f>'1. SUMMARY'!C17</f>
        <v>0</v>
      </c>
      <c r="G7" s="131" t="str">
        <f>"----"</f>
        <v>----</v>
      </c>
      <c r="H7" s="131">
        <f>IF((DATE(YEAR(F7), MONTH(F7)+12, DAY(F7)-1))&lt;=('1. SUMMARY'!$C$18),DATE(YEAR(F7), MONTH(F7)+12, DAY(F7)-1),'1. SUMMARY'!$C$18)</f>
        <v>0</v>
      </c>
      <c r="I7" s="132"/>
      <c r="M7" s="117"/>
      <c r="N7" s="117"/>
      <c r="O7" s="117"/>
      <c r="P7" s="117"/>
      <c r="Q7" s="117"/>
      <c r="R7" s="117"/>
      <c r="S7" s="117"/>
      <c r="T7" s="117"/>
      <c r="U7" s="117"/>
      <c r="V7" s="117"/>
      <c r="W7" s="117"/>
      <c r="X7" s="117"/>
      <c r="Y7" s="117"/>
      <c r="Z7" s="117"/>
      <c r="AA7" s="117"/>
      <c r="AB7" s="117"/>
      <c r="AC7" s="117"/>
      <c r="AD7" s="117"/>
    </row>
    <row r="8" spans="1:35" ht="28">
      <c r="A8" s="133" t="s">
        <v>39</v>
      </c>
      <c r="B8" s="134" t="s">
        <v>40</v>
      </c>
      <c r="C8" s="134" t="s">
        <v>41</v>
      </c>
      <c r="D8" s="135" t="s">
        <v>42</v>
      </c>
      <c r="E8" s="136" t="s">
        <v>43</v>
      </c>
      <c r="F8" s="136" t="s">
        <v>44</v>
      </c>
      <c r="G8" s="136" t="s">
        <v>45</v>
      </c>
      <c r="H8" s="136" t="s">
        <v>46</v>
      </c>
      <c r="I8" s="137" t="s">
        <v>47</v>
      </c>
      <c r="M8" s="117"/>
      <c r="N8" s="117"/>
      <c r="O8" s="117"/>
      <c r="P8" s="117"/>
      <c r="Q8" s="117"/>
      <c r="R8" s="117"/>
      <c r="S8" s="117"/>
      <c r="T8" s="117"/>
      <c r="U8" s="117"/>
      <c r="V8" s="117"/>
      <c r="W8" s="117"/>
      <c r="X8" s="117"/>
      <c r="Y8" s="117"/>
      <c r="Z8" s="117"/>
      <c r="AA8" s="117"/>
      <c r="AB8" s="117"/>
      <c r="AC8" s="117"/>
      <c r="AD8" s="117"/>
    </row>
    <row r="9" spans="1:35" s="139" customFormat="1" ht="3.75" customHeight="1">
      <c r="A9" s="138">
        <v>1</v>
      </c>
      <c r="B9" s="138">
        <v>2</v>
      </c>
      <c r="C9" s="138">
        <v>3</v>
      </c>
      <c r="D9" s="138">
        <v>4</v>
      </c>
      <c r="E9" s="138">
        <v>5</v>
      </c>
      <c r="F9" s="138">
        <v>6</v>
      </c>
      <c r="G9" s="138"/>
      <c r="H9" s="138"/>
      <c r="I9" s="138"/>
    </row>
    <row r="10" spans="1:35">
      <c r="A10" s="140">
        <f>'1. SUMMARY'!C13</f>
        <v>0</v>
      </c>
      <c r="B10" s="141" t="s">
        <v>49</v>
      </c>
      <c r="C10" s="142"/>
      <c r="D10" s="143"/>
      <c r="E10" s="144">
        <f>IF(ISNA($AD$4*D10),0,$AD$4*D10)</f>
        <v>0</v>
      </c>
      <c r="F10" s="145"/>
      <c r="G10" s="146">
        <f>(F10/12)*$AD$4*D10</f>
        <v>0</v>
      </c>
      <c r="H10" s="146">
        <f>IF(ISNA(+AD10),0,AD10)</f>
        <v>0</v>
      </c>
      <c r="I10" s="147">
        <f>SUM(G10:H10)</f>
        <v>0</v>
      </c>
      <c r="M10" s="148" t="e">
        <f>IF($M$4=0,0,((G10/$AD$4)*$M$4)*VLOOKUP($C$10,benefits,2,0))</f>
        <v>#N/A</v>
      </c>
      <c r="N10" s="148">
        <f>IF($N$4=0,0,((G10/$AD$4)*$N$4)*VLOOKUP(C10,benefits,3,0))</f>
        <v>0</v>
      </c>
      <c r="O10" s="148">
        <f t="shared" ref="O10:O34" si="0">IF($O$4=0,0,((G10/$AD$4)*$O$4)*VLOOKUP(C10,benefits,4,0))</f>
        <v>0</v>
      </c>
      <c r="P10" s="148">
        <f t="shared" ref="P10:P34" si="1">IF($P$4=0,0,((G10/$AD$4)*$P$4)*VLOOKUP(C10,benefits,5,0))</f>
        <v>0</v>
      </c>
      <c r="Q10" s="148">
        <f t="shared" ref="Q10:Q34" si="2">IF(Q$4=0,0,(($G10/$AD$4)*Q$4)*VLOOKUP(C10,benefits,6,0))</f>
        <v>0</v>
      </c>
      <c r="R10" s="148">
        <f t="shared" ref="R10:R34" si="3">IF(R$4=0,0,(($G10/$AD$4)*R$4)*VLOOKUP(C10,benefits,7,0))</f>
        <v>0</v>
      </c>
      <c r="S10" s="148">
        <f t="shared" ref="S10:S34" si="4">IF(S$4=0,0,(($G10/$AD$4)*S$4)*VLOOKUP(C10,benefits,8,0))</f>
        <v>0</v>
      </c>
      <c r="T10" s="148">
        <f t="shared" ref="T10:T34" si="5">IF(T$4=0,0,(($G10/$AD$4)*T$4)*VLOOKUP(C10,benefits,9,0))</f>
        <v>0</v>
      </c>
      <c r="U10" s="148">
        <f t="shared" ref="U10:U34" si="6">IF(U$4=0,0,(($G10/$AD$4)*U$4)*VLOOKUP(D10,benefits,9,0))</f>
        <v>0</v>
      </c>
      <c r="V10" s="148">
        <f t="shared" ref="V10:V34" si="7">IF(V$4=0,0,(($G10/$AD$4)*V$4)*VLOOKUP(E10,benefits,9,0))</f>
        <v>0</v>
      </c>
      <c r="W10" s="148">
        <f t="shared" ref="W10:W34" si="8">IF(W$4=0,0,(($G10/$AD$4)*W$4)*VLOOKUP(F10,benefits,9,0))</f>
        <v>0</v>
      </c>
      <c r="X10" s="148">
        <f t="shared" ref="X10:X34" si="9">IF(X$4=0,0,(($G10/$AD$4)*X$4)*VLOOKUP(G10,benefits,9,0))</f>
        <v>0</v>
      </c>
      <c r="Y10" s="148">
        <f t="shared" ref="Y10:Y34" si="10">IF(Y$4=0,0,(($G10/$AD$4)*Y$4)*VLOOKUP(H10,benefits,9,0))</f>
        <v>0</v>
      </c>
      <c r="Z10" s="148">
        <f t="shared" ref="Z10:Z34" si="11">IF(Z$4=0,0,(($G10/$AD$4)*Z$4)*VLOOKUP(I10,benefits,9,0))</f>
        <v>0</v>
      </c>
      <c r="AA10" s="148">
        <f t="shared" ref="AA10:AA34" si="12">IF(AA$4=0,0,(($G10/$AD$4)*AA$4)*VLOOKUP(J10,benefits,9,0))</f>
        <v>0</v>
      </c>
      <c r="AB10" s="148">
        <f t="shared" ref="AB10:AB34" si="13">IF(AB$4=0,0,(($G10/$AD$4)*AB$4)*VLOOKUP(K10,benefits,9,0))</f>
        <v>0</v>
      </c>
      <c r="AC10" s="148">
        <f t="shared" ref="AC10:AC34" si="14">IF(AC$4=0,0,(($G10/$AD$4)*AC$4)*VLOOKUP(L10,benefits,9,0))</f>
        <v>0</v>
      </c>
      <c r="AD10" s="148" t="e">
        <f>SUM(M10:AC10)</f>
        <v>#N/A</v>
      </c>
      <c r="AI10" s="114">
        <f>IF(LEN(A10)&gt;0,A10,"")</f>
        <v>0</v>
      </c>
    </row>
    <row r="11" spans="1:35">
      <c r="A11" s="140"/>
      <c r="B11" s="141"/>
      <c r="C11" s="142"/>
      <c r="D11" s="149"/>
      <c r="E11" s="144">
        <f t="shared" ref="E11:E34" si="15">IF(ISNA($AD$4*D11),0,$AD$4*D11)</f>
        <v>0</v>
      </c>
      <c r="F11" s="145"/>
      <c r="G11" s="146">
        <f t="shared" ref="G11:G34" si="16">(F11/12)*$AD$4*D11</f>
        <v>0</v>
      </c>
      <c r="H11" s="146">
        <f t="shared" ref="H11:H34" si="17">IF(ISNA(+AD11),0,AD11)</f>
        <v>0</v>
      </c>
      <c r="I11" s="147">
        <f t="shared" ref="I11:I34" si="18">SUM(G11:H11)</f>
        <v>0</v>
      </c>
      <c r="M11" s="148" t="e">
        <f>IF($M$4=0,0,((G11/$AD$4)*$M$4)*VLOOKUP($C$11,benefits,2,0))</f>
        <v>#N/A</v>
      </c>
      <c r="N11" s="148">
        <f t="shared" ref="N11:N34" si="19">IF($N$4=0,0,((G11/$AD$4)*$N$4)*VLOOKUP(C11,benefits,3,0))</f>
        <v>0</v>
      </c>
      <c r="O11" s="148">
        <f t="shared" si="0"/>
        <v>0</v>
      </c>
      <c r="P11" s="148">
        <f t="shared" si="1"/>
        <v>0</v>
      </c>
      <c r="Q11" s="148">
        <f t="shared" si="2"/>
        <v>0</v>
      </c>
      <c r="R11" s="148">
        <f t="shared" si="3"/>
        <v>0</v>
      </c>
      <c r="S11" s="148">
        <f t="shared" si="4"/>
        <v>0</v>
      </c>
      <c r="T11" s="148">
        <f t="shared" si="5"/>
        <v>0</v>
      </c>
      <c r="U11" s="148">
        <f t="shared" si="6"/>
        <v>0</v>
      </c>
      <c r="V11" s="148">
        <f t="shared" si="7"/>
        <v>0</v>
      </c>
      <c r="W11" s="148">
        <f t="shared" si="8"/>
        <v>0</v>
      </c>
      <c r="X11" s="148">
        <f t="shared" si="9"/>
        <v>0</v>
      </c>
      <c r="Y11" s="148">
        <f t="shared" si="10"/>
        <v>0</v>
      </c>
      <c r="Z11" s="148">
        <f t="shared" si="11"/>
        <v>0</v>
      </c>
      <c r="AA11" s="148">
        <f t="shared" si="12"/>
        <v>0</v>
      </c>
      <c r="AB11" s="148">
        <f t="shared" si="13"/>
        <v>0</v>
      </c>
      <c r="AC11" s="148">
        <f t="shared" si="14"/>
        <v>0</v>
      </c>
      <c r="AD11" s="148" t="e">
        <f t="shared" ref="AD11:AD34" si="20">SUM(M11:AC11)</f>
        <v>#N/A</v>
      </c>
      <c r="AI11" s="114" t="str">
        <f t="shared" ref="AI11:AI34" si="21">IF(LEN(A11)&gt;0,A11,"")</f>
        <v/>
      </c>
    </row>
    <row r="12" spans="1:35">
      <c r="A12" s="140"/>
      <c r="B12" s="141"/>
      <c r="C12" s="142"/>
      <c r="D12" s="149"/>
      <c r="E12" s="144">
        <f t="shared" si="15"/>
        <v>0</v>
      </c>
      <c r="F12" s="145"/>
      <c r="G12" s="146">
        <f t="shared" si="16"/>
        <v>0</v>
      </c>
      <c r="H12" s="146">
        <f t="shared" si="17"/>
        <v>0</v>
      </c>
      <c r="I12" s="147">
        <f t="shared" si="18"/>
        <v>0</v>
      </c>
      <c r="M12" s="148" t="e">
        <f t="shared" ref="M12:M23" si="22">IF($M$4=0,0,((G12/$AD$4)*$M$4)*VLOOKUP($C12,benefits,2,0))</f>
        <v>#N/A</v>
      </c>
      <c r="N12" s="148">
        <f t="shared" si="19"/>
        <v>0</v>
      </c>
      <c r="O12" s="148">
        <f t="shared" si="0"/>
        <v>0</v>
      </c>
      <c r="P12" s="148">
        <f t="shared" si="1"/>
        <v>0</v>
      </c>
      <c r="Q12" s="148">
        <f t="shared" si="2"/>
        <v>0</v>
      </c>
      <c r="R12" s="148">
        <f t="shared" si="3"/>
        <v>0</v>
      </c>
      <c r="S12" s="148">
        <f t="shared" si="4"/>
        <v>0</v>
      </c>
      <c r="T12" s="148">
        <f t="shared" si="5"/>
        <v>0</v>
      </c>
      <c r="U12" s="148">
        <f t="shared" si="6"/>
        <v>0</v>
      </c>
      <c r="V12" s="148">
        <f t="shared" si="7"/>
        <v>0</v>
      </c>
      <c r="W12" s="148">
        <f t="shared" si="8"/>
        <v>0</v>
      </c>
      <c r="X12" s="148">
        <f t="shared" si="9"/>
        <v>0</v>
      </c>
      <c r="Y12" s="148">
        <f t="shared" si="10"/>
        <v>0</v>
      </c>
      <c r="Z12" s="148">
        <f t="shared" si="11"/>
        <v>0</v>
      </c>
      <c r="AA12" s="148">
        <f t="shared" si="12"/>
        <v>0</v>
      </c>
      <c r="AB12" s="148">
        <f t="shared" si="13"/>
        <v>0</v>
      </c>
      <c r="AC12" s="148">
        <f t="shared" si="14"/>
        <v>0</v>
      </c>
      <c r="AD12" s="148" t="e">
        <f t="shared" si="20"/>
        <v>#N/A</v>
      </c>
      <c r="AI12" s="114" t="str">
        <f t="shared" si="21"/>
        <v/>
      </c>
    </row>
    <row r="13" spans="1:35">
      <c r="A13" s="140"/>
      <c r="B13" s="141"/>
      <c r="C13" s="142"/>
      <c r="D13" s="149"/>
      <c r="E13" s="144">
        <f t="shared" si="15"/>
        <v>0</v>
      </c>
      <c r="F13" s="145"/>
      <c r="G13" s="146">
        <f t="shared" si="16"/>
        <v>0</v>
      </c>
      <c r="H13" s="146">
        <f t="shared" si="17"/>
        <v>0</v>
      </c>
      <c r="I13" s="147">
        <f t="shared" si="18"/>
        <v>0</v>
      </c>
      <c r="M13" s="148" t="e">
        <f t="shared" si="22"/>
        <v>#N/A</v>
      </c>
      <c r="N13" s="148">
        <f t="shared" ref="N13:N22" si="23">IF($N$4=0,0,((G13/$AD$4)*$N$4)*VLOOKUP(C13,benefits,3,0))</f>
        <v>0</v>
      </c>
      <c r="O13" s="148">
        <f t="shared" ref="O13:O22" si="24">IF($O$4=0,0,((G13/$AD$4)*$O$4)*VLOOKUP(C13,benefits,4,0))</f>
        <v>0</v>
      </c>
      <c r="P13" s="148">
        <f t="shared" ref="P13:P22" si="25">IF($P$4=0,0,((G13/$AD$4)*$P$4)*VLOOKUP(C13,benefits,5,0))</f>
        <v>0</v>
      </c>
      <c r="Q13" s="148">
        <f t="shared" ref="Q13:Q22" si="26">IF(Q$4=0,0,(($G13/$AD$4)*Q$4)*VLOOKUP(C13,benefits,6,0))</f>
        <v>0</v>
      </c>
      <c r="R13" s="148">
        <f t="shared" si="3"/>
        <v>0</v>
      </c>
      <c r="S13" s="148">
        <f t="shared" ref="S13:S22" si="27">IF(S$4=0,0,(($G13/$AD$4)*S$4)*VLOOKUP(C13,benefits,8,0))</f>
        <v>0</v>
      </c>
      <c r="T13" s="148">
        <f t="shared" ref="T13:T22" si="28">IF(T$4=0,0,(($G13/$AD$4)*T$4)*VLOOKUP(C13,benefits,9,0))</f>
        <v>0</v>
      </c>
      <c r="U13" s="148">
        <f t="shared" si="6"/>
        <v>0</v>
      </c>
      <c r="V13" s="148">
        <f t="shared" si="7"/>
        <v>0</v>
      </c>
      <c r="W13" s="148">
        <f t="shared" si="8"/>
        <v>0</v>
      </c>
      <c r="X13" s="148">
        <f t="shared" si="9"/>
        <v>0</v>
      </c>
      <c r="Y13" s="148">
        <f t="shared" si="10"/>
        <v>0</v>
      </c>
      <c r="Z13" s="148">
        <f t="shared" si="11"/>
        <v>0</v>
      </c>
      <c r="AA13" s="148">
        <f t="shared" si="12"/>
        <v>0</v>
      </c>
      <c r="AB13" s="148">
        <f t="shared" si="13"/>
        <v>0</v>
      </c>
      <c r="AC13" s="148">
        <f t="shared" si="14"/>
        <v>0</v>
      </c>
      <c r="AD13" s="148" t="e">
        <f t="shared" si="20"/>
        <v>#N/A</v>
      </c>
      <c r="AI13" s="114" t="str">
        <f t="shared" si="21"/>
        <v/>
      </c>
    </row>
    <row r="14" spans="1:35">
      <c r="A14" s="140"/>
      <c r="B14" s="141"/>
      <c r="C14" s="142"/>
      <c r="D14" s="149"/>
      <c r="E14" s="144">
        <f t="shared" si="15"/>
        <v>0</v>
      </c>
      <c r="F14" s="145"/>
      <c r="G14" s="146">
        <f t="shared" si="16"/>
        <v>0</v>
      </c>
      <c r="H14" s="146">
        <f t="shared" si="17"/>
        <v>0</v>
      </c>
      <c r="I14" s="147">
        <f t="shared" si="18"/>
        <v>0</v>
      </c>
      <c r="M14" s="148" t="e">
        <f t="shared" si="22"/>
        <v>#N/A</v>
      </c>
      <c r="N14" s="148">
        <f t="shared" si="23"/>
        <v>0</v>
      </c>
      <c r="O14" s="148">
        <f t="shared" si="24"/>
        <v>0</v>
      </c>
      <c r="P14" s="148">
        <f t="shared" si="25"/>
        <v>0</v>
      </c>
      <c r="Q14" s="148">
        <f t="shared" si="26"/>
        <v>0</v>
      </c>
      <c r="R14" s="148">
        <f t="shared" si="3"/>
        <v>0</v>
      </c>
      <c r="S14" s="148">
        <f t="shared" si="27"/>
        <v>0</v>
      </c>
      <c r="T14" s="148">
        <f t="shared" si="28"/>
        <v>0</v>
      </c>
      <c r="U14" s="148">
        <f t="shared" si="6"/>
        <v>0</v>
      </c>
      <c r="V14" s="148">
        <f t="shared" si="7"/>
        <v>0</v>
      </c>
      <c r="W14" s="148">
        <f t="shared" si="8"/>
        <v>0</v>
      </c>
      <c r="X14" s="148">
        <f t="shared" si="9"/>
        <v>0</v>
      </c>
      <c r="Y14" s="148">
        <f t="shared" si="10"/>
        <v>0</v>
      </c>
      <c r="Z14" s="148">
        <f t="shared" si="11"/>
        <v>0</v>
      </c>
      <c r="AA14" s="148">
        <f t="shared" si="12"/>
        <v>0</v>
      </c>
      <c r="AB14" s="148">
        <f t="shared" si="13"/>
        <v>0</v>
      </c>
      <c r="AC14" s="148">
        <f t="shared" si="14"/>
        <v>0</v>
      </c>
      <c r="AD14" s="148" t="e">
        <f t="shared" si="20"/>
        <v>#N/A</v>
      </c>
      <c r="AI14" s="114" t="str">
        <f t="shared" si="21"/>
        <v/>
      </c>
    </row>
    <row r="15" spans="1:35">
      <c r="A15" s="140"/>
      <c r="B15" s="141"/>
      <c r="C15" s="142"/>
      <c r="D15" s="149"/>
      <c r="E15" s="144">
        <f t="shared" si="15"/>
        <v>0</v>
      </c>
      <c r="F15" s="145"/>
      <c r="G15" s="146">
        <f t="shared" si="16"/>
        <v>0</v>
      </c>
      <c r="H15" s="146">
        <f t="shared" si="17"/>
        <v>0</v>
      </c>
      <c r="I15" s="147">
        <f t="shared" si="18"/>
        <v>0</v>
      </c>
      <c r="M15" s="148" t="e">
        <f t="shared" si="22"/>
        <v>#N/A</v>
      </c>
      <c r="N15" s="148">
        <f t="shared" si="23"/>
        <v>0</v>
      </c>
      <c r="O15" s="148">
        <f t="shared" si="24"/>
        <v>0</v>
      </c>
      <c r="P15" s="148">
        <f t="shared" si="25"/>
        <v>0</v>
      </c>
      <c r="Q15" s="148">
        <f t="shared" si="26"/>
        <v>0</v>
      </c>
      <c r="R15" s="148">
        <f t="shared" si="3"/>
        <v>0</v>
      </c>
      <c r="S15" s="148">
        <f t="shared" si="27"/>
        <v>0</v>
      </c>
      <c r="T15" s="148">
        <f t="shared" si="28"/>
        <v>0</v>
      </c>
      <c r="U15" s="148">
        <f t="shared" si="6"/>
        <v>0</v>
      </c>
      <c r="V15" s="148">
        <f t="shared" si="7"/>
        <v>0</v>
      </c>
      <c r="W15" s="148">
        <f t="shared" si="8"/>
        <v>0</v>
      </c>
      <c r="X15" s="148">
        <f t="shared" si="9"/>
        <v>0</v>
      </c>
      <c r="Y15" s="148">
        <f t="shared" si="10"/>
        <v>0</v>
      </c>
      <c r="Z15" s="148">
        <f t="shared" si="11"/>
        <v>0</v>
      </c>
      <c r="AA15" s="148">
        <f t="shared" si="12"/>
        <v>0</v>
      </c>
      <c r="AB15" s="148">
        <f t="shared" si="13"/>
        <v>0</v>
      </c>
      <c r="AC15" s="148">
        <f t="shared" si="14"/>
        <v>0</v>
      </c>
      <c r="AD15" s="148" t="e">
        <f t="shared" si="20"/>
        <v>#N/A</v>
      </c>
      <c r="AI15" s="114" t="str">
        <f t="shared" si="21"/>
        <v/>
      </c>
    </row>
    <row r="16" spans="1:35">
      <c r="A16" s="140"/>
      <c r="B16" s="141"/>
      <c r="C16" s="142"/>
      <c r="D16" s="149"/>
      <c r="E16" s="144">
        <f t="shared" si="15"/>
        <v>0</v>
      </c>
      <c r="F16" s="145"/>
      <c r="G16" s="146">
        <f t="shared" si="16"/>
        <v>0</v>
      </c>
      <c r="H16" s="146">
        <f t="shared" si="17"/>
        <v>0</v>
      </c>
      <c r="I16" s="147">
        <f t="shared" si="18"/>
        <v>0</v>
      </c>
      <c r="M16" s="148" t="e">
        <f t="shared" si="22"/>
        <v>#N/A</v>
      </c>
      <c r="N16" s="148">
        <f t="shared" si="23"/>
        <v>0</v>
      </c>
      <c r="O16" s="148">
        <f t="shared" si="24"/>
        <v>0</v>
      </c>
      <c r="P16" s="148">
        <f t="shared" si="25"/>
        <v>0</v>
      </c>
      <c r="Q16" s="148">
        <f t="shared" si="26"/>
        <v>0</v>
      </c>
      <c r="R16" s="148">
        <f t="shared" si="3"/>
        <v>0</v>
      </c>
      <c r="S16" s="148">
        <f t="shared" si="27"/>
        <v>0</v>
      </c>
      <c r="T16" s="148">
        <f t="shared" si="28"/>
        <v>0</v>
      </c>
      <c r="U16" s="148">
        <f t="shared" si="6"/>
        <v>0</v>
      </c>
      <c r="V16" s="148">
        <f t="shared" si="7"/>
        <v>0</v>
      </c>
      <c r="W16" s="148">
        <f t="shared" si="8"/>
        <v>0</v>
      </c>
      <c r="X16" s="148">
        <f t="shared" si="9"/>
        <v>0</v>
      </c>
      <c r="Y16" s="148">
        <f t="shared" si="10"/>
        <v>0</v>
      </c>
      <c r="Z16" s="148">
        <f t="shared" si="11"/>
        <v>0</v>
      </c>
      <c r="AA16" s="148">
        <f t="shared" si="12"/>
        <v>0</v>
      </c>
      <c r="AB16" s="148">
        <f t="shared" si="13"/>
        <v>0</v>
      </c>
      <c r="AC16" s="148">
        <f t="shared" si="14"/>
        <v>0</v>
      </c>
      <c r="AD16" s="148" t="e">
        <f t="shared" si="20"/>
        <v>#N/A</v>
      </c>
      <c r="AI16" s="114" t="str">
        <f t="shared" si="21"/>
        <v/>
      </c>
    </row>
    <row r="17" spans="1:35">
      <c r="A17" s="140"/>
      <c r="B17" s="141"/>
      <c r="C17" s="142"/>
      <c r="D17" s="149"/>
      <c r="E17" s="144">
        <f t="shared" si="15"/>
        <v>0</v>
      </c>
      <c r="F17" s="145"/>
      <c r="G17" s="146">
        <f t="shared" si="16"/>
        <v>0</v>
      </c>
      <c r="H17" s="146">
        <f t="shared" si="17"/>
        <v>0</v>
      </c>
      <c r="I17" s="147">
        <f t="shared" si="18"/>
        <v>0</v>
      </c>
      <c r="M17" s="148" t="e">
        <f t="shared" si="22"/>
        <v>#N/A</v>
      </c>
      <c r="N17" s="148">
        <f t="shared" si="23"/>
        <v>0</v>
      </c>
      <c r="O17" s="148">
        <f t="shared" si="24"/>
        <v>0</v>
      </c>
      <c r="P17" s="148">
        <f t="shared" si="25"/>
        <v>0</v>
      </c>
      <c r="Q17" s="148">
        <f t="shared" si="26"/>
        <v>0</v>
      </c>
      <c r="R17" s="148">
        <f t="shared" si="3"/>
        <v>0</v>
      </c>
      <c r="S17" s="148">
        <f t="shared" si="27"/>
        <v>0</v>
      </c>
      <c r="T17" s="148">
        <f t="shared" si="28"/>
        <v>0</v>
      </c>
      <c r="U17" s="148">
        <f t="shared" si="6"/>
        <v>0</v>
      </c>
      <c r="V17" s="148">
        <f t="shared" si="7"/>
        <v>0</v>
      </c>
      <c r="W17" s="148">
        <f t="shared" si="8"/>
        <v>0</v>
      </c>
      <c r="X17" s="148">
        <f t="shared" si="9"/>
        <v>0</v>
      </c>
      <c r="Y17" s="148">
        <f t="shared" si="10"/>
        <v>0</v>
      </c>
      <c r="Z17" s="148">
        <f t="shared" si="11"/>
        <v>0</v>
      </c>
      <c r="AA17" s="148">
        <f t="shared" si="12"/>
        <v>0</v>
      </c>
      <c r="AB17" s="148">
        <f t="shared" si="13"/>
        <v>0</v>
      </c>
      <c r="AC17" s="148">
        <f t="shared" si="14"/>
        <v>0</v>
      </c>
      <c r="AD17" s="148" t="e">
        <f t="shared" si="20"/>
        <v>#N/A</v>
      </c>
      <c r="AI17" s="114" t="str">
        <f t="shared" si="21"/>
        <v/>
      </c>
    </row>
    <row r="18" spans="1:35">
      <c r="A18" s="140"/>
      <c r="B18" s="141"/>
      <c r="C18" s="142"/>
      <c r="D18" s="149"/>
      <c r="E18" s="144">
        <f t="shared" si="15"/>
        <v>0</v>
      </c>
      <c r="F18" s="145"/>
      <c r="G18" s="146">
        <f t="shared" si="16"/>
        <v>0</v>
      </c>
      <c r="H18" s="146">
        <f t="shared" si="17"/>
        <v>0</v>
      </c>
      <c r="I18" s="147">
        <f t="shared" si="18"/>
        <v>0</v>
      </c>
      <c r="M18" s="148" t="e">
        <f t="shared" si="22"/>
        <v>#N/A</v>
      </c>
      <c r="N18" s="148">
        <f t="shared" si="23"/>
        <v>0</v>
      </c>
      <c r="O18" s="148">
        <f t="shared" si="24"/>
        <v>0</v>
      </c>
      <c r="P18" s="148">
        <f t="shared" si="25"/>
        <v>0</v>
      </c>
      <c r="Q18" s="148">
        <f t="shared" si="26"/>
        <v>0</v>
      </c>
      <c r="R18" s="148">
        <f t="shared" si="3"/>
        <v>0</v>
      </c>
      <c r="S18" s="148">
        <f t="shared" si="27"/>
        <v>0</v>
      </c>
      <c r="T18" s="148">
        <f t="shared" si="28"/>
        <v>0</v>
      </c>
      <c r="U18" s="148">
        <f t="shared" si="6"/>
        <v>0</v>
      </c>
      <c r="V18" s="148">
        <f t="shared" si="7"/>
        <v>0</v>
      </c>
      <c r="W18" s="148">
        <f t="shared" si="8"/>
        <v>0</v>
      </c>
      <c r="X18" s="148">
        <f t="shared" si="9"/>
        <v>0</v>
      </c>
      <c r="Y18" s="148">
        <f t="shared" si="10"/>
        <v>0</v>
      </c>
      <c r="Z18" s="148">
        <f t="shared" si="11"/>
        <v>0</v>
      </c>
      <c r="AA18" s="148">
        <f t="shared" si="12"/>
        <v>0</v>
      </c>
      <c r="AB18" s="148">
        <f t="shared" si="13"/>
        <v>0</v>
      </c>
      <c r="AC18" s="148">
        <f t="shared" si="14"/>
        <v>0</v>
      </c>
      <c r="AD18" s="148" t="e">
        <f t="shared" si="20"/>
        <v>#N/A</v>
      </c>
      <c r="AI18" s="114" t="str">
        <f t="shared" si="21"/>
        <v/>
      </c>
    </row>
    <row r="19" spans="1:35">
      <c r="A19" s="140"/>
      <c r="B19" s="141"/>
      <c r="C19" s="142"/>
      <c r="D19" s="149"/>
      <c r="E19" s="144">
        <f t="shared" si="15"/>
        <v>0</v>
      </c>
      <c r="F19" s="145"/>
      <c r="G19" s="146">
        <f t="shared" si="16"/>
        <v>0</v>
      </c>
      <c r="H19" s="146">
        <f t="shared" si="17"/>
        <v>0</v>
      </c>
      <c r="I19" s="147">
        <f t="shared" si="18"/>
        <v>0</v>
      </c>
      <c r="M19" s="148" t="e">
        <f t="shared" si="22"/>
        <v>#N/A</v>
      </c>
      <c r="N19" s="148">
        <f t="shared" si="23"/>
        <v>0</v>
      </c>
      <c r="O19" s="148">
        <f t="shared" si="24"/>
        <v>0</v>
      </c>
      <c r="P19" s="148">
        <f t="shared" si="25"/>
        <v>0</v>
      </c>
      <c r="Q19" s="148">
        <f t="shared" si="26"/>
        <v>0</v>
      </c>
      <c r="R19" s="148">
        <f t="shared" si="3"/>
        <v>0</v>
      </c>
      <c r="S19" s="148">
        <f t="shared" si="27"/>
        <v>0</v>
      </c>
      <c r="T19" s="148">
        <f t="shared" si="28"/>
        <v>0</v>
      </c>
      <c r="U19" s="148">
        <f t="shared" si="6"/>
        <v>0</v>
      </c>
      <c r="V19" s="148">
        <f t="shared" si="7"/>
        <v>0</v>
      </c>
      <c r="W19" s="148">
        <f t="shared" si="8"/>
        <v>0</v>
      </c>
      <c r="X19" s="148">
        <f t="shared" si="9"/>
        <v>0</v>
      </c>
      <c r="Y19" s="148">
        <f t="shared" si="10"/>
        <v>0</v>
      </c>
      <c r="Z19" s="148">
        <f t="shared" si="11"/>
        <v>0</v>
      </c>
      <c r="AA19" s="148">
        <f t="shared" si="12"/>
        <v>0</v>
      </c>
      <c r="AB19" s="148">
        <f t="shared" si="13"/>
        <v>0</v>
      </c>
      <c r="AC19" s="148">
        <f t="shared" si="14"/>
        <v>0</v>
      </c>
      <c r="AD19" s="148" t="e">
        <f t="shared" si="20"/>
        <v>#N/A</v>
      </c>
      <c r="AI19" s="114" t="str">
        <f t="shared" si="21"/>
        <v/>
      </c>
    </row>
    <row r="20" spans="1:35">
      <c r="A20" s="140"/>
      <c r="B20" s="141"/>
      <c r="C20" s="142"/>
      <c r="D20" s="149"/>
      <c r="E20" s="144">
        <f t="shared" si="15"/>
        <v>0</v>
      </c>
      <c r="F20" s="145"/>
      <c r="G20" s="146">
        <f t="shared" si="16"/>
        <v>0</v>
      </c>
      <c r="H20" s="146">
        <f t="shared" si="17"/>
        <v>0</v>
      </c>
      <c r="I20" s="147">
        <f t="shared" si="18"/>
        <v>0</v>
      </c>
      <c r="M20" s="148" t="e">
        <f t="shared" si="22"/>
        <v>#N/A</v>
      </c>
      <c r="N20" s="148">
        <f t="shared" si="23"/>
        <v>0</v>
      </c>
      <c r="O20" s="148">
        <f t="shared" si="24"/>
        <v>0</v>
      </c>
      <c r="P20" s="148">
        <f t="shared" si="25"/>
        <v>0</v>
      </c>
      <c r="Q20" s="148">
        <f t="shared" si="26"/>
        <v>0</v>
      </c>
      <c r="R20" s="148">
        <f t="shared" si="3"/>
        <v>0</v>
      </c>
      <c r="S20" s="148">
        <f t="shared" si="27"/>
        <v>0</v>
      </c>
      <c r="T20" s="148">
        <f t="shared" si="28"/>
        <v>0</v>
      </c>
      <c r="U20" s="148">
        <f t="shared" si="6"/>
        <v>0</v>
      </c>
      <c r="V20" s="148">
        <f t="shared" si="7"/>
        <v>0</v>
      </c>
      <c r="W20" s="148">
        <f t="shared" si="8"/>
        <v>0</v>
      </c>
      <c r="X20" s="148">
        <f t="shared" si="9"/>
        <v>0</v>
      </c>
      <c r="Y20" s="148">
        <f t="shared" si="10"/>
        <v>0</v>
      </c>
      <c r="Z20" s="148">
        <f t="shared" si="11"/>
        <v>0</v>
      </c>
      <c r="AA20" s="148">
        <f t="shared" si="12"/>
        <v>0</v>
      </c>
      <c r="AB20" s="148">
        <f t="shared" si="13"/>
        <v>0</v>
      </c>
      <c r="AC20" s="148">
        <f t="shared" si="14"/>
        <v>0</v>
      </c>
      <c r="AD20" s="148" t="e">
        <f t="shared" si="20"/>
        <v>#N/A</v>
      </c>
      <c r="AI20" s="114" t="str">
        <f t="shared" si="21"/>
        <v/>
      </c>
    </row>
    <row r="21" spans="1:35">
      <c r="A21" s="140"/>
      <c r="B21" s="141"/>
      <c r="C21" s="142"/>
      <c r="D21" s="149"/>
      <c r="E21" s="144">
        <f t="shared" si="15"/>
        <v>0</v>
      </c>
      <c r="F21" s="145"/>
      <c r="G21" s="146">
        <f t="shared" si="16"/>
        <v>0</v>
      </c>
      <c r="H21" s="146">
        <f t="shared" si="17"/>
        <v>0</v>
      </c>
      <c r="I21" s="147">
        <f t="shared" si="18"/>
        <v>0</v>
      </c>
      <c r="M21" s="148" t="e">
        <f t="shared" si="22"/>
        <v>#N/A</v>
      </c>
      <c r="N21" s="148">
        <f t="shared" si="23"/>
        <v>0</v>
      </c>
      <c r="O21" s="148">
        <f t="shared" si="24"/>
        <v>0</v>
      </c>
      <c r="P21" s="148">
        <f t="shared" si="25"/>
        <v>0</v>
      </c>
      <c r="Q21" s="148">
        <f t="shared" si="26"/>
        <v>0</v>
      </c>
      <c r="R21" s="148">
        <f t="shared" si="3"/>
        <v>0</v>
      </c>
      <c r="S21" s="148">
        <f t="shared" si="27"/>
        <v>0</v>
      </c>
      <c r="T21" s="148">
        <f t="shared" si="28"/>
        <v>0</v>
      </c>
      <c r="U21" s="148">
        <f t="shared" si="6"/>
        <v>0</v>
      </c>
      <c r="V21" s="148">
        <f t="shared" si="7"/>
        <v>0</v>
      </c>
      <c r="W21" s="148">
        <f t="shared" si="8"/>
        <v>0</v>
      </c>
      <c r="X21" s="148">
        <f t="shared" si="9"/>
        <v>0</v>
      </c>
      <c r="Y21" s="148">
        <f t="shared" si="10"/>
        <v>0</v>
      </c>
      <c r="Z21" s="148">
        <f t="shared" si="11"/>
        <v>0</v>
      </c>
      <c r="AA21" s="148">
        <f t="shared" si="12"/>
        <v>0</v>
      </c>
      <c r="AB21" s="148">
        <f t="shared" si="13"/>
        <v>0</v>
      </c>
      <c r="AC21" s="148">
        <f t="shared" si="14"/>
        <v>0</v>
      </c>
      <c r="AD21" s="148" t="e">
        <f t="shared" si="20"/>
        <v>#N/A</v>
      </c>
      <c r="AI21" s="114" t="str">
        <f t="shared" si="21"/>
        <v/>
      </c>
    </row>
    <row r="22" spans="1:35">
      <c r="A22" s="140"/>
      <c r="B22" s="141"/>
      <c r="C22" s="142"/>
      <c r="D22" s="149"/>
      <c r="E22" s="144">
        <f t="shared" si="15"/>
        <v>0</v>
      </c>
      <c r="F22" s="145"/>
      <c r="G22" s="146">
        <f t="shared" si="16"/>
        <v>0</v>
      </c>
      <c r="H22" s="146">
        <f t="shared" si="17"/>
        <v>0</v>
      </c>
      <c r="I22" s="147">
        <f t="shared" si="18"/>
        <v>0</v>
      </c>
      <c r="M22" s="148" t="e">
        <f t="shared" si="22"/>
        <v>#N/A</v>
      </c>
      <c r="N22" s="148">
        <f t="shared" si="23"/>
        <v>0</v>
      </c>
      <c r="O22" s="148">
        <f t="shared" si="24"/>
        <v>0</v>
      </c>
      <c r="P22" s="148">
        <f t="shared" si="25"/>
        <v>0</v>
      </c>
      <c r="Q22" s="148">
        <f t="shared" si="26"/>
        <v>0</v>
      </c>
      <c r="R22" s="148">
        <f t="shared" si="3"/>
        <v>0</v>
      </c>
      <c r="S22" s="148">
        <f t="shared" si="27"/>
        <v>0</v>
      </c>
      <c r="T22" s="148">
        <f t="shared" si="28"/>
        <v>0</v>
      </c>
      <c r="U22" s="148">
        <f t="shared" si="6"/>
        <v>0</v>
      </c>
      <c r="V22" s="148">
        <f t="shared" si="7"/>
        <v>0</v>
      </c>
      <c r="W22" s="148">
        <f t="shared" si="8"/>
        <v>0</v>
      </c>
      <c r="X22" s="148">
        <f t="shared" si="9"/>
        <v>0</v>
      </c>
      <c r="Y22" s="148">
        <f t="shared" si="10"/>
        <v>0</v>
      </c>
      <c r="Z22" s="148">
        <f t="shared" si="11"/>
        <v>0</v>
      </c>
      <c r="AA22" s="148">
        <f t="shared" si="12"/>
        <v>0</v>
      </c>
      <c r="AB22" s="148">
        <f t="shared" si="13"/>
        <v>0</v>
      </c>
      <c r="AC22" s="148">
        <f t="shared" si="14"/>
        <v>0</v>
      </c>
      <c r="AD22" s="148" t="e">
        <f t="shared" si="20"/>
        <v>#N/A</v>
      </c>
      <c r="AI22" s="114" t="str">
        <f t="shared" si="21"/>
        <v/>
      </c>
    </row>
    <row r="23" spans="1:35">
      <c r="A23" s="140"/>
      <c r="B23" s="141"/>
      <c r="C23" s="142"/>
      <c r="D23" s="149"/>
      <c r="E23" s="144">
        <f t="shared" si="15"/>
        <v>0</v>
      </c>
      <c r="F23" s="145"/>
      <c r="G23" s="146">
        <f t="shared" si="16"/>
        <v>0</v>
      </c>
      <c r="H23" s="146">
        <f t="shared" si="17"/>
        <v>0</v>
      </c>
      <c r="I23" s="147">
        <f t="shared" si="18"/>
        <v>0</v>
      </c>
      <c r="M23" s="148" t="e">
        <f t="shared" si="22"/>
        <v>#N/A</v>
      </c>
      <c r="N23" s="148">
        <f t="shared" si="19"/>
        <v>0</v>
      </c>
      <c r="O23" s="148">
        <f t="shared" si="0"/>
        <v>0</v>
      </c>
      <c r="P23" s="148">
        <f t="shared" si="1"/>
        <v>0</v>
      </c>
      <c r="Q23" s="148">
        <f t="shared" si="2"/>
        <v>0</v>
      </c>
      <c r="R23" s="148">
        <f t="shared" si="3"/>
        <v>0</v>
      </c>
      <c r="S23" s="148">
        <f t="shared" si="4"/>
        <v>0</v>
      </c>
      <c r="T23" s="148">
        <f t="shared" si="5"/>
        <v>0</v>
      </c>
      <c r="U23" s="148">
        <f t="shared" si="6"/>
        <v>0</v>
      </c>
      <c r="V23" s="148">
        <f t="shared" si="7"/>
        <v>0</v>
      </c>
      <c r="W23" s="148">
        <f t="shared" si="8"/>
        <v>0</v>
      </c>
      <c r="X23" s="148">
        <f t="shared" si="9"/>
        <v>0</v>
      </c>
      <c r="Y23" s="148">
        <f t="shared" si="10"/>
        <v>0</v>
      </c>
      <c r="Z23" s="148">
        <f t="shared" si="11"/>
        <v>0</v>
      </c>
      <c r="AA23" s="148">
        <f t="shared" si="12"/>
        <v>0</v>
      </c>
      <c r="AB23" s="148">
        <f t="shared" si="13"/>
        <v>0</v>
      </c>
      <c r="AC23" s="148">
        <f t="shared" si="14"/>
        <v>0</v>
      </c>
      <c r="AD23" s="148" t="e">
        <f t="shared" si="20"/>
        <v>#N/A</v>
      </c>
      <c r="AI23" s="114" t="str">
        <f t="shared" si="21"/>
        <v/>
      </c>
    </row>
    <row r="24" spans="1:35">
      <c r="A24" s="140"/>
      <c r="B24" s="141"/>
      <c r="C24" s="142"/>
      <c r="D24" s="149"/>
      <c r="E24" s="144">
        <f t="shared" si="15"/>
        <v>0</v>
      </c>
      <c r="F24" s="145"/>
      <c r="G24" s="146">
        <f t="shared" si="16"/>
        <v>0</v>
      </c>
      <c r="H24" s="146">
        <f t="shared" si="17"/>
        <v>0</v>
      </c>
      <c r="I24" s="147">
        <f t="shared" si="18"/>
        <v>0</v>
      </c>
      <c r="M24" s="148" t="e">
        <f>IF($M$4=0,0,((G24/$AD$4)*$M$4)*VLOOKUP($C$24,benefits,2,0))</f>
        <v>#N/A</v>
      </c>
      <c r="N24" s="148">
        <f t="shared" si="19"/>
        <v>0</v>
      </c>
      <c r="O24" s="148">
        <f t="shared" si="0"/>
        <v>0</v>
      </c>
      <c r="P24" s="148">
        <f t="shared" si="1"/>
        <v>0</v>
      </c>
      <c r="Q24" s="148">
        <f t="shared" si="2"/>
        <v>0</v>
      </c>
      <c r="R24" s="148">
        <f t="shared" si="3"/>
        <v>0</v>
      </c>
      <c r="S24" s="148">
        <f t="shared" si="4"/>
        <v>0</v>
      </c>
      <c r="T24" s="148">
        <f t="shared" si="5"/>
        <v>0</v>
      </c>
      <c r="U24" s="148">
        <f t="shared" si="6"/>
        <v>0</v>
      </c>
      <c r="V24" s="148">
        <f t="shared" si="7"/>
        <v>0</v>
      </c>
      <c r="W24" s="148">
        <f t="shared" si="8"/>
        <v>0</v>
      </c>
      <c r="X24" s="148">
        <f t="shared" si="9"/>
        <v>0</v>
      </c>
      <c r="Y24" s="148">
        <f t="shared" si="10"/>
        <v>0</v>
      </c>
      <c r="Z24" s="148">
        <f t="shared" si="11"/>
        <v>0</v>
      </c>
      <c r="AA24" s="148">
        <f t="shared" si="12"/>
        <v>0</v>
      </c>
      <c r="AB24" s="148">
        <f t="shared" si="13"/>
        <v>0</v>
      </c>
      <c r="AC24" s="148">
        <f t="shared" si="14"/>
        <v>0</v>
      </c>
      <c r="AD24" s="148" t="e">
        <f t="shared" si="20"/>
        <v>#N/A</v>
      </c>
      <c r="AI24" s="114" t="str">
        <f t="shared" si="21"/>
        <v/>
      </c>
    </row>
    <row r="25" spans="1:35">
      <c r="A25" s="140"/>
      <c r="B25" s="141"/>
      <c r="C25" s="142"/>
      <c r="D25" s="149"/>
      <c r="E25" s="144">
        <f t="shared" si="15"/>
        <v>0</v>
      </c>
      <c r="F25" s="145"/>
      <c r="G25" s="146">
        <f t="shared" si="16"/>
        <v>0</v>
      </c>
      <c r="H25" s="146">
        <f t="shared" si="17"/>
        <v>0</v>
      </c>
      <c r="I25" s="147">
        <f t="shared" si="18"/>
        <v>0</v>
      </c>
      <c r="M25" s="148" t="e">
        <f>IF($M$4=0,0,((G25/$AD$4)*$M$4)*VLOOKUP($C$25,benefits,2,0))</f>
        <v>#N/A</v>
      </c>
      <c r="N25" s="148">
        <f t="shared" si="19"/>
        <v>0</v>
      </c>
      <c r="O25" s="148">
        <f t="shared" si="0"/>
        <v>0</v>
      </c>
      <c r="P25" s="148">
        <f t="shared" si="1"/>
        <v>0</v>
      </c>
      <c r="Q25" s="148">
        <f t="shared" si="2"/>
        <v>0</v>
      </c>
      <c r="R25" s="148">
        <f t="shared" si="3"/>
        <v>0</v>
      </c>
      <c r="S25" s="148">
        <f t="shared" si="4"/>
        <v>0</v>
      </c>
      <c r="T25" s="148">
        <f t="shared" si="5"/>
        <v>0</v>
      </c>
      <c r="U25" s="148">
        <f t="shared" si="6"/>
        <v>0</v>
      </c>
      <c r="V25" s="148">
        <f t="shared" si="7"/>
        <v>0</v>
      </c>
      <c r="W25" s="148">
        <f t="shared" si="8"/>
        <v>0</v>
      </c>
      <c r="X25" s="148">
        <f t="shared" si="9"/>
        <v>0</v>
      </c>
      <c r="Y25" s="148">
        <f t="shared" si="10"/>
        <v>0</v>
      </c>
      <c r="Z25" s="148">
        <f t="shared" si="11"/>
        <v>0</v>
      </c>
      <c r="AA25" s="148">
        <f t="shared" si="12"/>
        <v>0</v>
      </c>
      <c r="AB25" s="148">
        <f t="shared" si="13"/>
        <v>0</v>
      </c>
      <c r="AC25" s="148">
        <f t="shared" si="14"/>
        <v>0</v>
      </c>
      <c r="AD25" s="148" t="e">
        <f t="shared" si="20"/>
        <v>#N/A</v>
      </c>
      <c r="AI25" s="114" t="str">
        <f t="shared" si="21"/>
        <v/>
      </c>
    </row>
    <row r="26" spans="1:35">
      <c r="A26" s="140"/>
      <c r="B26" s="141"/>
      <c r="C26" s="142"/>
      <c r="D26" s="149"/>
      <c r="E26" s="144">
        <f t="shared" si="15"/>
        <v>0</v>
      </c>
      <c r="F26" s="145"/>
      <c r="G26" s="146">
        <f t="shared" si="16"/>
        <v>0</v>
      </c>
      <c r="H26" s="146">
        <f t="shared" si="17"/>
        <v>0</v>
      </c>
      <c r="I26" s="147">
        <f t="shared" si="18"/>
        <v>0</v>
      </c>
      <c r="M26" s="148" t="e">
        <f>IF($M$4=0,0,((G26/$AD$4)*$M$4)*VLOOKUP($C$26,benefits,2,0))</f>
        <v>#N/A</v>
      </c>
      <c r="N26" s="148">
        <f t="shared" si="19"/>
        <v>0</v>
      </c>
      <c r="O26" s="148">
        <f t="shared" si="0"/>
        <v>0</v>
      </c>
      <c r="P26" s="148">
        <f t="shared" si="1"/>
        <v>0</v>
      </c>
      <c r="Q26" s="148">
        <f t="shared" si="2"/>
        <v>0</v>
      </c>
      <c r="R26" s="148">
        <f t="shared" si="3"/>
        <v>0</v>
      </c>
      <c r="S26" s="148">
        <f t="shared" si="4"/>
        <v>0</v>
      </c>
      <c r="T26" s="148">
        <f t="shared" si="5"/>
        <v>0</v>
      </c>
      <c r="U26" s="148">
        <f t="shared" si="6"/>
        <v>0</v>
      </c>
      <c r="V26" s="148">
        <f t="shared" si="7"/>
        <v>0</v>
      </c>
      <c r="W26" s="148">
        <f t="shared" si="8"/>
        <v>0</v>
      </c>
      <c r="X26" s="148">
        <f t="shared" si="9"/>
        <v>0</v>
      </c>
      <c r="Y26" s="148">
        <f t="shared" si="10"/>
        <v>0</v>
      </c>
      <c r="Z26" s="148">
        <f t="shared" si="11"/>
        <v>0</v>
      </c>
      <c r="AA26" s="148">
        <f t="shared" si="12"/>
        <v>0</v>
      </c>
      <c r="AB26" s="148">
        <f t="shared" si="13"/>
        <v>0</v>
      </c>
      <c r="AC26" s="148">
        <f t="shared" si="14"/>
        <v>0</v>
      </c>
      <c r="AD26" s="148" t="e">
        <f t="shared" si="20"/>
        <v>#N/A</v>
      </c>
      <c r="AI26" s="114" t="str">
        <f t="shared" si="21"/>
        <v/>
      </c>
    </row>
    <row r="27" spans="1:35">
      <c r="A27" s="140"/>
      <c r="B27" s="141"/>
      <c r="C27" s="142"/>
      <c r="D27" s="149"/>
      <c r="E27" s="144">
        <f t="shared" si="15"/>
        <v>0</v>
      </c>
      <c r="F27" s="145"/>
      <c r="G27" s="146">
        <f t="shared" si="16"/>
        <v>0</v>
      </c>
      <c r="H27" s="146">
        <f t="shared" si="17"/>
        <v>0</v>
      </c>
      <c r="I27" s="147">
        <f t="shared" si="18"/>
        <v>0</v>
      </c>
      <c r="M27" s="148" t="e">
        <f>IF($M$4=0,0,((G27/$AD$4)*$M$4)*VLOOKUP($C$27,benefits,2,0))</f>
        <v>#N/A</v>
      </c>
      <c r="N27" s="148">
        <f t="shared" si="19"/>
        <v>0</v>
      </c>
      <c r="O27" s="148">
        <f t="shared" si="0"/>
        <v>0</v>
      </c>
      <c r="P27" s="148">
        <f t="shared" si="1"/>
        <v>0</v>
      </c>
      <c r="Q27" s="148">
        <f t="shared" si="2"/>
        <v>0</v>
      </c>
      <c r="R27" s="148">
        <f t="shared" si="3"/>
        <v>0</v>
      </c>
      <c r="S27" s="148">
        <f t="shared" si="4"/>
        <v>0</v>
      </c>
      <c r="T27" s="148">
        <f t="shared" si="5"/>
        <v>0</v>
      </c>
      <c r="U27" s="148">
        <f t="shared" si="6"/>
        <v>0</v>
      </c>
      <c r="V27" s="148">
        <f t="shared" si="7"/>
        <v>0</v>
      </c>
      <c r="W27" s="148">
        <f t="shared" si="8"/>
        <v>0</v>
      </c>
      <c r="X27" s="148">
        <f t="shared" si="9"/>
        <v>0</v>
      </c>
      <c r="Y27" s="148">
        <f t="shared" si="10"/>
        <v>0</v>
      </c>
      <c r="Z27" s="148">
        <f t="shared" si="11"/>
        <v>0</v>
      </c>
      <c r="AA27" s="148">
        <f t="shared" si="12"/>
        <v>0</v>
      </c>
      <c r="AB27" s="148">
        <f t="shared" si="13"/>
        <v>0</v>
      </c>
      <c r="AC27" s="148">
        <f t="shared" si="14"/>
        <v>0</v>
      </c>
      <c r="AD27" s="148" t="e">
        <f t="shared" si="20"/>
        <v>#N/A</v>
      </c>
      <c r="AI27" s="114" t="str">
        <f t="shared" si="21"/>
        <v/>
      </c>
    </row>
    <row r="28" spans="1:35">
      <c r="A28" s="140"/>
      <c r="B28" s="141"/>
      <c r="C28" s="142"/>
      <c r="D28" s="149"/>
      <c r="E28" s="144">
        <f t="shared" si="15"/>
        <v>0</v>
      </c>
      <c r="F28" s="145"/>
      <c r="G28" s="146">
        <f t="shared" si="16"/>
        <v>0</v>
      </c>
      <c r="H28" s="146">
        <f t="shared" si="17"/>
        <v>0</v>
      </c>
      <c r="I28" s="147">
        <f t="shared" si="18"/>
        <v>0</v>
      </c>
      <c r="M28" s="148" t="e">
        <f>IF($M$4=0,0,((G28/$AD$4)*$M$4)*VLOOKUP($C$28,benefits,2,0))</f>
        <v>#N/A</v>
      </c>
      <c r="N28" s="148">
        <f t="shared" si="19"/>
        <v>0</v>
      </c>
      <c r="O28" s="148">
        <f t="shared" si="0"/>
        <v>0</v>
      </c>
      <c r="P28" s="148">
        <f t="shared" si="1"/>
        <v>0</v>
      </c>
      <c r="Q28" s="148">
        <f t="shared" si="2"/>
        <v>0</v>
      </c>
      <c r="R28" s="148">
        <f t="shared" si="3"/>
        <v>0</v>
      </c>
      <c r="S28" s="148">
        <f t="shared" si="4"/>
        <v>0</v>
      </c>
      <c r="T28" s="148">
        <f t="shared" si="5"/>
        <v>0</v>
      </c>
      <c r="U28" s="148">
        <f t="shared" si="6"/>
        <v>0</v>
      </c>
      <c r="V28" s="148">
        <f t="shared" si="7"/>
        <v>0</v>
      </c>
      <c r="W28" s="148">
        <f t="shared" si="8"/>
        <v>0</v>
      </c>
      <c r="X28" s="148">
        <f t="shared" si="9"/>
        <v>0</v>
      </c>
      <c r="Y28" s="148">
        <f t="shared" si="10"/>
        <v>0</v>
      </c>
      <c r="Z28" s="148">
        <f t="shared" si="11"/>
        <v>0</v>
      </c>
      <c r="AA28" s="148">
        <f t="shared" si="12"/>
        <v>0</v>
      </c>
      <c r="AB28" s="148">
        <f t="shared" si="13"/>
        <v>0</v>
      </c>
      <c r="AC28" s="148">
        <f t="shared" si="14"/>
        <v>0</v>
      </c>
      <c r="AD28" s="148" t="e">
        <f t="shared" si="20"/>
        <v>#N/A</v>
      </c>
      <c r="AI28" s="114" t="str">
        <f t="shared" si="21"/>
        <v/>
      </c>
    </row>
    <row r="29" spans="1:35">
      <c r="A29" s="140"/>
      <c r="B29" s="141"/>
      <c r="C29" s="142"/>
      <c r="D29" s="149"/>
      <c r="E29" s="144">
        <f t="shared" si="15"/>
        <v>0</v>
      </c>
      <c r="F29" s="145"/>
      <c r="G29" s="146">
        <f t="shared" si="16"/>
        <v>0</v>
      </c>
      <c r="H29" s="146">
        <f t="shared" si="17"/>
        <v>0</v>
      </c>
      <c r="I29" s="147">
        <f t="shared" si="18"/>
        <v>0</v>
      </c>
      <c r="M29" s="148" t="e">
        <f>IF($M$4=0,0,((G29/$AD$4)*$M$4)*VLOOKUP($C$29,benefits,2,0))</f>
        <v>#N/A</v>
      </c>
      <c r="N29" s="148">
        <f t="shared" si="19"/>
        <v>0</v>
      </c>
      <c r="O29" s="148">
        <f t="shared" si="0"/>
        <v>0</v>
      </c>
      <c r="P29" s="148">
        <f t="shared" si="1"/>
        <v>0</v>
      </c>
      <c r="Q29" s="148">
        <f t="shared" si="2"/>
        <v>0</v>
      </c>
      <c r="R29" s="148">
        <f t="shared" si="3"/>
        <v>0</v>
      </c>
      <c r="S29" s="148">
        <f t="shared" si="4"/>
        <v>0</v>
      </c>
      <c r="T29" s="148">
        <f t="shared" si="5"/>
        <v>0</v>
      </c>
      <c r="U29" s="148">
        <f t="shared" si="6"/>
        <v>0</v>
      </c>
      <c r="V29" s="148">
        <f t="shared" si="7"/>
        <v>0</v>
      </c>
      <c r="W29" s="148">
        <f t="shared" si="8"/>
        <v>0</v>
      </c>
      <c r="X29" s="148">
        <f t="shared" si="9"/>
        <v>0</v>
      </c>
      <c r="Y29" s="148">
        <f t="shared" si="10"/>
        <v>0</v>
      </c>
      <c r="Z29" s="148">
        <f t="shared" si="11"/>
        <v>0</v>
      </c>
      <c r="AA29" s="148">
        <f t="shared" si="12"/>
        <v>0</v>
      </c>
      <c r="AB29" s="148">
        <f t="shared" si="13"/>
        <v>0</v>
      </c>
      <c r="AC29" s="148">
        <f>IF(AC$4=0,0,(($G29/$AD$4)*AC$4)*VLOOKUP(L29,benefits,9,0))</f>
        <v>0</v>
      </c>
      <c r="AD29" s="148" t="e">
        <f t="shared" si="20"/>
        <v>#N/A</v>
      </c>
      <c r="AI29" s="114" t="str">
        <f t="shared" si="21"/>
        <v/>
      </c>
    </row>
    <row r="30" spans="1:35">
      <c r="A30" s="140"/>
      <c r="B30" s="141"/>
      <c r="C30" s="142"/>
      <c r="D30" s="149"/>
      <c r="E30" s="144">
        <f t="shared" si="15"/>
        <v>0</v>
      </c>
      <c r="F30" s="145"/>
      <c r="G30" s="146">
        <f t="shared" si="16"/>
        <v>0</v>
      </c>
      <c r="H30" s="146">
        <f t="shared" si="17"/>
        <v>0</v>
      </c>
      <c r="I30" s="147">
        <f t="shared" si="18"/>
        <v>0</v>
      </c>
      <c r="M30" s="148" t="e">
        <f>IF($M$4=0,0,((G30/$AD$4)*$M$4)*VLOOKUP($C$30,benefits,2,0))</f>
        <v>#N/A</v>
      </c>
      <c r="N30" s="148">
        <f t="shared" si="19"/>
        <v>0</v>
      </c>
      <c r="O30" s="148">
        <f t="shared" si="0"/>
        <v>0</v>
      </c>
      <c r="P30" s="148">
        <f t="shared" si="1"/>
        <v>0</v>
      </c>
      <c r="Q30" s="148">
        <f t="shared" si="2"/>
        <v>0</v>
      </c>
      <c r="R30" s="148">
        <f t="shared" si="3"/>
        <v>0</v>
      </c>
      <c r="S30" s="148">
        <f t="shared" si="4"/>
        <v>0</v>
      </c>
      <c r="T30" s="148">
        <f t="shared" si="5"/>
        <v>0</v>
      </c>
      <c r="U30" s="148">
        <f t="shared" si="6"/>
        <v>0</v>
      </c>
      <c r="V30" s="148">
        <f t="shared" si="7"/>
        <v>0</v>
      </c>
      <c r="W30" s="148">
        <f t="shared" si="8"/>
        <v>0</v>
      </c>
      <c r="X30" s="148">
        <f t="shared" si="9"/>
        <v>0</v>
      </c>
      <c r="Y30" s="148">
        <f t="shared" si="10"/>
        <v>0</v>
      </c>
      <c r="Z30" s="148">
        <f t="shared" si="11"/>
        <v>0</v>
      </c>
      <c r="AA30" s="148">
        <f t="shared" si="12"/>
        <v>0</v>
      </c>
      <c r="AB30" s="148">
        <f t="shared" si="13"/>
        <v>0</v>
      </c>
      <c r="AC30" s="148">
        <f t="shared" si="14"/>
        <v>0</v>
      </c>
      <c r="AD30" s="148" t="e">
        <f t="shared" si="20"/>
        <v>#N/A</v>
      </c>
      <c r="AI30" s="114" t="str">
        <f t="shared" si="21"/>
        <v/>
      </c>
    </row>
    <row r="31" spans="1:35">
      <c r="A31" s="140"/>
      <c r="B31" s="141"/>
      <c r="C31" s="142"/>
      <c r="D31" s="149"/>
      <c r="E31" s="144">
        <f t="shared" si="15"/>
        <v>0</v>
      </c>
      <c r="F31" s="145"/>
      <c r="G31" s="146">
        <f t="shared" si="16"/>
        <v>0</v>
      </c>
      <c r="H31" s="146">
        <f t="shared" si="17"/>
        <v>0</v>
      </c>
      <c r="I31" s="147">
        <f t="shared" si="18"/>
        <v>0</v>
      </c>
      <c r="M31" s="148" t="e">
        <f>IF($M$4=0,0,((G31/$AD$4)*$M$4)*VLOOKUP($C$31,benefits,2,0))</f>
        <v>#N/A</v>
      </c>
      <c r="N31" s="148">
        <f t="shared" si="19"/>
        <v>0</v>
      </c>
      <c r="O31" s="148">
        <f t="shared" si="0"/>
        <v>0</v>
      </c>
      <c r="P31" s="148">
        <f t="shared" si="1"/>
        <v>0</v>
      </c>
      <c r="Q31" s="148">
        <f t="shared" si="2"/>
        <v>0</v>
      </c>
      <c r="R31" s="148">
        <f t="shared" si="3"/>
        <v>0</v>
      </c>
      <c r="S31" s="148">
        <f t="shared" si="4"/>
        <v>0</v>
      </c>
      <c r="T31" s="148">
        <f t="shared" si="5"/>
        <v>0</v>
      </c>
      <c r="U31" s="148">
        <f t="shared" si="6"/>
        <v>0</v>
      </c>
      <c r="V31" s="148">
        <f t="shared" si="7"/>
        <v>0</v>
      </c>
      <c r="W31" s="148">
        <f t="shared" si="8"/>
        <v>0</v>
      </c>
      <c r="X31" s="148">
        <f t="shared" si="9"/>
        <v>0</v>
      </c>
      <c r="Y31" s="148">
        <f t="shared" si="10"/>
        <v>0</v>
      </c>
      <c r="Z31" s="148">
        <f t="shared" si="11"/>
        <v>0</v>
      </c>
      <c r="AA31" s="148">
        <f t="shared" si="12"/>
        <v>0</v>
      </c>
      <c r="AB31" s="148">
        <f t="shared" si="13"/>
        <v>0</v>
      </c>
      <c r="AC31" s="148">
        <f t="shared" si="14"/>
        <v>0</v>
      </c>
      <c r="AD31" s="148" t="e">
        <f t="shared" si="20"/>
        <v>#N/A</v>
      </c>
      <c r="AI31" s="114" t="str">
        <f t="shared" si="21"/>
        <v/>
      </c>
    </row>
    <row r="32" spans="1:35">
      <c r="A32" s="140"/>
      <c r="B32" s="141"/>
      <c r="C32" s="142"/>
      <c r="D32" s="149"/>
      <c r="E32" s="144">
        <f t="shared" si="15"/>
        <v>0</v>
      </c>
      <c r="F32" s="145"/>
      <c r="G32" s="146">
        <f t="shared" si="16"/>
        <v>0</v>
      </c>
      <c r="H32" s="146">
        <f t="shared" si="17"/>
        <v>0</v>
      </c>
      <c r="I32" s="147">
        <f t="shared" si="18"/>
        <v>0</v>
      </c>
      <c r="M32" s="148" t="e">
        <f>IF($M$4=0,0,((G32/$AD$4)*$M$4)*VLOOKUP($C$32,benefits,2,0))</f>
        <v>#N/A</v>
      </c>
      <c r="N32" s="148">
        <f t="shared" si="19"/>
        <v>0</v>
      </c>
      <c r="O32" s="148">
        <f t="shared" si="0"/>
        <v>0</v>
      </c>
      <c r="P32" s="148">
        <f t="shared" si="1"/>
        <v>0</v>
      </c>
      <c r="Q32" s="148">
        <f t="shared" si="2"/>
        <v>0</v>
      </c>
      <c r="R32" s="148">
        <f t="shared" si="3"/>
        <v>0</v>
      </c>
      <c r="S32" s="148">
        <f t="shared" si="4"/>
        <v>0</v>
      </c>
      <c r="T32" s="148">
        <f t="shared" si="5"/>
        <v>0</v>
      </c>
      <c r="U32" s="148">
        <f t="shared" si="6"/>
        <v>0</v>
      </c>
      <c r="V32" s="148">
        <f t="shared" si="7"/>
        <v>0</v>
      </c>
      <c r="W32" s="148">
        <f t="shared" si="8"/>
        <v>0</v>
      </c>
      <c r="X32" s="148">
        <f t="shared" si="9"/>
        <v>0</v>
      </c>
      <c r="Y32" s="148">
        <f t="shared" si="10"/>
        <v>0</v>
      </c>
      <c r="Z32" s="148">
        <f t="shared" si="11"/>
        <v>0</v>
      </c>
      <c r="AA32" s="148">
        <f t="shared" si="12"/>
        <v>0</v>
      </c>
      <c r="AB32" s="148">
        <f t="shared" si="13"/>
        <v>0</v>
      </c>
      <c r="AC32" s="148">
        <f t="shared" si="14"/>
        <v>0</v>
      </c>
      <c r="AD32" s="148" t="e">
        <f t="shared" si="20"/>
        <v>#N/A</v>
      </c>
      <c r="AI32" s="114" t="str">
        <f t="shared" si="21"/>
        <v/>
      </c>
    </row>
    <row r="33" spans="1:35">
      <c r="A33" s="140"/>
      <c r="B33" s="141"/>
      <c r="C33" s="142"/>
      <c r="D33" s="149"/>
      <c r="E33" s="144">
        <f t="shared" si="15"/>
        <v>0</v>
      </c>
      <c r="F33" s="145"/>
      <c r="G33" s="146">
        <f t="shared" si="16"/>
        <v>0</v>
      </c>
      <c r="H33" s="146">
        <f t="shared" si="17"/>
        <v>0</v>
      </c>
      <c r="I33" s="147">
        <f t="shared" si="18"/>
        <v>0</v>
      </c>
      <c r="M33" s="148" t="e">
        <f>IF($M$4=0,0,((G33/$AD$4)*$M$4)*VLOOKUP($C$33,benefits,2,0))</f>
        <v>#N/A</v>
      </c>
      <c r="N33" s="148">
        <f t="shared" si="19"/>
        <v>0</v>
      </c>
      <c r="O33" s="148">
        <f t="shared" si="0"/>
        <v>0</v>
      </c>
      <c r="P33" s="148">
        <f t="shared" si="1"/>
        <v>0</v>
      </c>
      <c r="Q33" s="148">
        <f t="shared" si="2"/>
        <v>0</v>
      </c>
      <c r="R33" s="148">
        <f t="shared" si="3"/>
        <v>0</v>
      </c>
      <c r="S33" s="148">
        <f t="shared" si="4"/>
        <v>0</v>
      </c>
      <c r="T33" s="148">
        <f t="shared" si="5"/>
        <v>0</v>
      </c>
      <c r="U33" s="148">
        <f t="shared" si="6"/>
        <v>0</v>
      </c>
      <c r="V33" s="148">
        <f t="shared" si="7"/>
        <v>0</v>
      </c>
      <c r="W33" s="148">
        <f t="shared" si="8"/>
        <v>0</v>
      </c>
      <c r="X33" s="148">
        <f t="shared" si="9"/>
        <v>0</v>
      </c>
      <c r="Y33" s="148">
        <f t="shared" si="10"/>
        <v>0</v>
      </c>
      <c r="Z33" s="148">
        <f t="shared" si="11"/>
        <v>0</v>
      </c>
      <c r="AA33" s="148">
        <f t="shared" si="12"/>
        <v>0</v>
      </c>
      <c r="AB33" s="148">
        <f t="shared" si="13"/>
        <v>0</v>
      </c>
      <c r="AC33" s="148">
        <f t="shared" si="14"/>
        <v>0</v>
      </c>
      <c r="AD33" s="148" t="e">
        <f t="shared" si="20"/>
        <v>#N/A</v>
      </c>
      <c r="AI33" s="114" t="str">
        <f t="shared" si="21"/>
        <v/>
      </c>
    </row>
    <row r="34" spans="1:35">
      <c r="A34" s="140"/>
      <c r="B34" s="141"/>
      <c r="C34" s="142"/>
      <c r="D34" s="149"/>
      <c r="E34" s="144">
        <f t="shared" si="15"/>
        <v>0</v>
      </c>
      <c r="F34" s="145"/>
      <c r="G34" s="146">
        <f t="shared" si="16"/>
        <v>0</v>
      </c>
      <c r="H34" s="146">
        <f t="shared" si="17"/>
        <v>0</v>
      </c>
      <c r="I34" s="147">
        <f t="shared" si="18"/>
        <v>0</v>
      </c>
      <c r="M34" s="148" t="e">
        <f>IF($M$4=0,0,((G34/$AD$4)*$M$4)*VLOOKUP($C$34,benefits,2,0))</f>
        <v>#N/A</v>
      </c>
      <c r="N34" s="148">
        <f t="shared" si="19"/>
        <v>0</v>
      </c>
      <c r="O34" s="148">
        <f t="shared" si="0"/>
        <v>0</v>
      </c>
      <c r="P34" s="148">
        <f t="shared" si="1"/>
        <v>0</v>
      </c>
      <c r="Q34" s="148">
        <f t="shared" si="2"/>
        <v>0</v>
      </c>
      <c r="R34" s="148">
        <f t="shared" si="3"/>
        <v>0</v>
      </c>
      <c r="S34" s="148">
        <f t="shared" si="4"/>
        <v>0</v>
      </c>
      <c r="T34" s="148">
        <f t="shared" si="5"/>
        <v>0</v>
      </c>
      <c r="U34" s="148">
        <f t="shared" si="6"/>
        <v>0</v>
      </c>
      <c r="V34" s="148">
        <f t="shared" si="7"/>
        <v>0</v>
      </c>
      <c r="W34" s="148">
        <f t="shared" si="8"/>
        <v>0</v>
      </c>
      <c r="X34" s="148">
        <f t="shared" si="9"/>
        <v>0</v>
      </c>
      <c r="Y34" s="148">
        <f t="shared" si="10"/>
        <v>0</v>
      </c>
      <c r="Z34" s="148">
        <f t="shared" si="11"/>
        <v>0</v>
      </c>
      <c r="AA34" s="148">
        <f t="shared" si="12"/>
        <v>0</v>
      </c>
      <c r="AB34" s="148">
        <f t="shared" si="13"/>
        <v>0</v>
      </c>
      <c r="AC34" s="148">
        <f t="shared" si="14"/>
        <v>0</v>
      </c>
      <c r="AD34" s="148" t="e">
        <f t="shared" si="20"/>
        <v>#N/A</v>
      </c>
      <c r="AI34" s="114" t="str">
        <f t="shared" si="21"/>
        <v/>
      </c>
    </row>
    <row r="35" spans="1:35" ht="14" thickBot="1">
      <c r="A35" s="117"/>
      <c r="B35" s="117"/>
      <c r="C35" s="150" t="s">
        <v>47</v>
      </c>
      <c r="D35" s="151"/>
      <c r="E35" s="152"/>
      <c r="F35" s="152"/>
      <c r="G35" s="153">
        <f>SUM(G10:G34)</f>
        <v>0</v>
      </c>
      <c r="H35" s="153">
        <f>SUM(H10:H34)</f>
        <v>0</v>
      </c>
      <c r="I35" s="154">
        <f>SUM(I10:I34)</f>
        <v>0</v>
      </c>
      <c r="M35" s="117"/>
      <c r="N35" s="117"/>
      <c r="O35" s="117"/>
      <c r="P35" s="117"/>
      <c r="Q35" s="117"/>
      <c r="R35" s="117"/>
      <c r="S35" s="117"/>
      <c r="T35" s="117"/>
      <c r="U35" s="117"/>
      <c r="V35" s="117"/>
      <c r="W35" s="117"/>
      <c r="X35" s="117"/>
      <c r="Y35" s="117"/>
      <c r="Z35" s="117"/>
      <c r="AA35" s="117"/>
      <c r="AB35" s="117"/>
      <c r="AC35" s="117"/>
      <c r="AD35" s="117"/>
    </row>
    <row r="36" spans="1:35">
      <c r="M36" s="117"/>
      <c r="N36" s="117"/>
      <c r="O36" s="117"/>
      <c r="P36" s="117"/>
      <c r="Q36" s="117"/>
      <c r="R36" s="117"/>
      <c r="S36" s="117"/>
      <c r="T36" s="117"/>
      <c r="U36" s="117"/>
      <c r="V36" s="117"/>
      <c r="W36" s="117"/>
      <c r="X36" s="117"/>
      <c r="Y36" s="117"/>
      <c r="Z36" s="117"/>
      <c r="AA36" s="117"/>
      <c r="AB36" s="117"/>
      <c r="AC36" s="117"/>
      <c r="AD36" s="117"/>
    </row>
    <row r="37" spans="1:35">
      <c r="M37" s="117"/>
      <c r="N37" s="117"/>
      <c r="O37" s="117"/>
      <c r="P37" s="117"/>
      <c r="Q37" s="117"/>
      <c r="R37" s="117"/>
      <c r="S37" s="117"/>
      <c r="T37" s="117"/>
      <c r="U37" s="117"/>
      <c r="V37" s="117"/>
      <c r="W37" s="117"/>
      <c r="X37" s="117"/>
      <c r="Y37" s="117"/>
      <c r="Z37" s="117"/>
      <c r="AA37" s="117"/>
      <c r="AB37" s="117"/>
      <c r="AC37" s="117"/>
      <c r="AD37" s="117"/>
    </row>
    <row r="38" spans="1:35">
      <c r="D38" s="127"/>
      <c r="E38" s="128"/>
      <c r="F38" s="128"/>
      <c r="G38" s="128"/>
      <c r="H38" s="128"/>
      <c r="I38" s="128"/>
      <c r="M38" s="121">
        <f>+Sheet1!$T$8</f>
        <v>44105</v>
      </c>
      <c r="N38" s="121">
        <f>+Sheet1!$U$8</f>
        <v>44470</v>
      </c>
      <c r="O38" s="121">
        <f>+Sheet1!$V$8</f>
        <v>44835</v>
      </c>
      <c r="P38" s="121">
        <f>+Sheet1!$W$8</f>
        <v>45200</v>
      </c>
      <c r="Q38" s="121">
        <f>+Sheet1!$X$8</f>
        <v>45566</v>
      </c>
      <c r="R38" s="121">
        <f>+Sheet1!$Y$8</f>
        <v>45931</v>
      </c>
      <c r="S38" s="121">
        <f>+Sheet1!$Z$8</f>
        <v>46296</v>
      </c>
      <c r="T38" s="121">
        <f>+Sheet1!$AA$8</f>
        <v>46661</v>
      </c>
      <c r="U38" s="121">
        <f>+Sheet1!$AB$8</f>
        <v>47027</v>
      </c>
      <c r="V38" s="121">
        <f>+Sheet1!$AC$8</f>
        <v>47392</v>
      </c>
      <c r="W38" s="121">
        <f>+Sheet1!$AD$8</f>
        <v>47757</v>
      </c>
      <c r="X38" s="121">
        <f>+Sheet1!AE$8</f>
        <v>48122</v>
      </c>
      <c r="Y38" s="121">
        <f>+Sheet1!AF$8</f>
        <v>48488</v>
      </c>
      <c r="Z38" s="121">
        <f>+Sheet1!AG$8</f>
        <v>48853</v>
      </c>
      <c r="AA38" s="121">
        <f>+Sheet1!AH$8</f>
        <v>49218</v>
      </c>
      <c r="AB38" s="121">
        <f>+Sheet1!AI$8</f>
        <v>49583</v>
      </c>
      <c r="AC38" s="121">
        <f>+Sheet1!AJ$8</f>
        <v>49949</v>
      </c>
      <c r="AD38" s="117"/>
    </row>
    <row r="39" spans="1:35">
      <c r="A39" s="118" t="s">
        <v>105</v>
      </c>
      <c r="B39" s="118"/>
      <c r="C39" s="118"/>
      <c r="D39" s="129"/>
      <c r="E39" s="130"/>
      <c r="F39" s="131" t="str">
        <f>IF(+H7+1&gt;'1. SUMMARY'!$C$18,"No "&amp;A39,+H7+1)</f>
        <v>No YEAR 2</v>
      </c>
      <c r="G39" s="131" t="str">
        <f>"----"</f>
        <v>----</v>
      </c>
      <c r="H39" s="131" t="str">
        <f>IF(F39="No "&amp;A39,"No "&amp;A39,IF(H7='1. SUMMARY'!O59,"a",IF((DATE(YEAR(F39),MONTH(F39)+12,DAY(F39)-1))&lt;=('1. SUMMARY'!$C$18),DATE(YEAR(F39),MONTH(F39)+12,DAY(F39)-1),'1. SUMMARY'!$C$18)))</f>
        <v>No YEAR 2</v>
      </c>
      <c r="I39" s="132"/>
      <c r="M39" s="121">
        <f>+Sheet1!$T$9</f>
        <v>44469</v>
      </c>
      <c r="N39" s="121">
        <f>+Sheet1!$U$9</f>
        <v>44834</v>
      </c>
      <c r="O39" s="121">
        <f>+Sheet1!$V$9</f>
        <v>45199</v>
      </c>
      <c r="P39" s="121">
        <f>+Sheet1!$W$9</f>
        <v>45565</v>
      </c>
      <c r="Q39" s="121">
        <f>+Sheet1!$X$9</f>
        <v>45930</v>
      </c>
      <c r="R39" s="121">
        <f>+Sheet1!$Y$9</f>
        <v>46295</v>
      </c>
      <c r="S39" s="121">
        <f>+Sheet1!$Z$9</f>
        <v>46660</v>
      </c>
      <c r="T39" s="121">
        <f>+Sheet1!$AA$9</f>
        <v>47026</v>
      </c>
      <c r="U39" s="121">
        <f>+Sheet1!$AB$9</f>
        <v>47391</v>
      </c>
      <c r="V39" s="121">
        <f>+Sheet1!$AC$9</f>
        <v>47756</v>
      </c>
      <c r="W39" s="121">
        <f>+Sheet1!$AD$9</f>
        <v>48121</v>
      </c>
      <c r="X39" s="121">
        <f>+Sheet1!AE$9</f>
        <v>48487</v>
      </c>
      <c r="Y39" s="121">
        <f>+Sheet1!AF$9</f>
        <v>48852</v>
      </c>
      <c r="Z39" s="121">
        <f>+Sheet1!AG$9</f>
        <v>49217</v>
      </c>
      <c r="AA39" s="121">
        <f>+Sheet1!AH$9</f>
        <v>49582</v>
      </c>
      <c r="AB39" s="121">
        <f>+Sheet1!AI$9</f>
        <v>49948</v>
      </c>
      <c r="AC39" s="121">
        <f>+Sheet1!AJ$9</f>
        <v>50313</v>
      </c>
      <c r="AD39" s="117"/>
    </row>
    <row r="40" spans="1:35" ht="25.5" customHeight="1">
      <c r="A40" s="133" t="s">
        <v>39</v>
      </c>
      <c r="B40" s="134" t="s">
        <v>40</v>
      </c>
      <c r="C40" s="134" t="s">
        <v>41</v>
      </c>
      <c r="D40" s="135" t="s">
        <v>42</v>
      </c>
      <c r="E40" s="136" t="s">
        <v>43</v>
      </c>
      <c r="F40" s="136" t="s">
        <v>44</v>
      </c>
      <c r="G40" s="136" t="s">
        <v>45</v>
      </c>
      <c r="H40" s="136" t="s">
        <v>46</v>
      </c>
      <c r="I40" s="137" t="s">
        <v>47</v>
      </c>
      <c r="M40" s="117">
        <f>IF(IF(M39&lt;F39,0,DATEDIF(F39,M39+1,"m"))&lt;0,0,IF(M39&lt;F39,0,DATEDIF(F39,M39+1,"m")))</f>
        <v>0</v>
      </c>
      <c r="N40" s="117">
        <f>IF(IF(M40=12,0,IF(N39&gt;H39,12-DATEDIF(H39,N39+1,"m"),IF(N39&lt;F39,0,DATEDIF(F39,N39+1,"m"))))&lt;0,0,IF(M40=12,0,IF(N39&gt;H39,12-DATEDIF(H39,N39+1,"m"),IF(N39&lt;F39,0,DATEDIF(F39,N39+1,"m")))))</f>
        <v>0</v>
      </c>
      <c r="O40" s="117">
        <f>IF(IF(M40+N40=12,0,IF(O39&gt;H39,12-DATEDIF(H39,O39+1,"m"),IF(O39&lt;F39,0,DATEDIF(F39,O39+1,"m"))))&lt;0,0,IF(M40+N40=12,0,IF(O39&gt;H39,12-DATEDIF(H39,O39+1,"m"),IF(O39&lt;F39,0,DATEDIF(F39,O39+1,"m")))))</f>
        <v>0</v>
      </c>
      <c r="P40" s="117">
        <f>IF(IF(N40+O40+M40=12,0,IF(P39&gt;H39,12-DATEDIF(H39,P39+1,"m"),IF(P39&lt;F39,0,DATEDIF(F39,P39+1,"m"))))&lt;0,0,IF(N40+O40+M40=12,0,IF(P39&gt;H39,12-DATEDIF(H39,P39+1,"m"),IF(P39&lt;F39,0,DATEDIF(F39,P39+1,"m")))))</f>
        <v>0</v>
      </c>
      <c r="Q40" s="117">
        <f>IF(IF(O40+P40+N40+M40=12,0,IF(Q39&gt;$H$39,12-DATEDIF($H$39,Q39+1,"m"),IF(Q39&lt;$F$39,0,DATEDIF($F$39,Q39+1,"m"))))&lt;0,0,IF(O40+P40+N40+M40=12,0,IF(Q39&gt;$H$39,12-DATEDIF($H$39,Q39+1,"m"),IF(Q39&lt;$F$39,0,DATEDIF($F$39,Q39+1,"m")))))</f>
        <v>0</v>
      </c>
      <c r="R40" s="117">
        <f>IF(IF(P40+Q40+O40+N40+M40=12,0,IF(R39&gt;$H$39,12-DATEDIF($H$39,R39+1,"m"),IF(R39&lt;$F$39,0,DATEDIF($F$39,R39+1,"m"))))&lt;0,0,IF(P40+Q40+O40+N40+M40=12,0,IF(R39&gt;$H$39,12-DATEDIF($H$39,R39+1,"m"),IF(R39&lt;$F$39,0,DATEDIF($F$39,R39+1,"m")))))</f>
        <v>0</v>
      </c>
      <c r="S40" s="117">
        <f>IF(IF(Q40+R40+P40+O40+N40+M40=12,0,IF(S39&gt;$H$39,12-DATEDIF($H$39,S39+1,"m"),IF(S39&lt;$F$39,0,DATEDIF($F$39,S39+1,"m"))))&lt;0,0,IF(Q40+R40+P40+O40+N40+M40=12,0,IF(S39&gt;$H$39,12-DATEDIF($H$39,S39+1,"m"),IF(S39&lt;$F$39,0,DATEDIF($F$39,S39+1,"m")))))</f>
        <v>0</v>
      </c>
      <c r="T40" s="117">
        <f>IF(IF(R40+S40+Q40+P40+O40+N40+M40=12,0,IF(T39&gt;$H$39,12-DATEDIF($H$39,T39+1,"m"),IF(T39&lt;$F$39,0,DATEDIF($F$39,T39+1,"m"))))&lt;0,0,IF(R40+S40+Q40+P40+O40+N40+M40=12,0,IF(T39&gt;$H$39,12-DATEDIF($H$39,T39+1,"m"),IF(T39&lt;$F$39,0,DATEDIF($F$39,T39+1,"m")))))</f>
        <v>0</v>
      </c>
      <c r="U40" s="117">
        <f>IF(IF(M40+S40+T40+R40+Q40+P40+O40+N40=12,0,IF(U39&gt;$H$39,12-DATEDIF($H$39,U39+1,"m"),IF(U39&lt;$F$39,0,DATEDIF($F$39,U39+1,"m"))))&lt;0,0,IF(M40+S40+T40+R40+Q40+P40+O40+N40=12,0,IF(U39&gt;$H$39,12-DATEDIF($H$39,U39+1,"m"),IF(U39&lt;$F$39,0,DATEDIF($F$39,U39+1,"m")))))</f>
        <v>0</v>
      </c>
      <c r="V40" s="117">
        <f>IF(IF(M40+N40+T40+U40+S40+R40+Q40+P40+O40=12,0,IF(V39&gt;$H$39,12-DATEDIF($H$39,V39+1,"m"),IF(V39&lt;$F$39,0,DATEDIF($F$39,V39+1,"m"))))&lt;0,0,IF(M40+N40+T40+U40+S40+R40+Q40+P40+O40=12,0,IF(V39&gt;$H$39,12-DATEDIF($H$39,V39+1,"m"),IF(V39&lt;$F$39,0,DATEDIF($F$39,V39+1,"m")))))</f>
        <v>0</v>
      </c>
      <c r="W40" s="117">
        <f>IF(IF(M40+N40+O40+U40+V40+T40+S40+R40+Q40+P40=12,0,IF(W39&gt;$H$39,12-DATEDIF($H$39,W39+1,"m"),IF(W39&lt;$F$39,0,DATEDIF($F$39,W39+1,"m"))))&lt;0,0,IF(M40+N40+O40+U40+V40+T40+S40+R40+Q40+P40=12,0,IF(W39&gt;$H$39,12-DATEDIF($H$39,W39+1,"m"),IF(W39&lt;$F$39,0,DATEDIF($F$39,W39+1,"m")))))</f>
        <v>0</v>
      </c>
      <c r="X40" s="117">
        <f>IF(IF(+M40+N40+O40+P40+V40+W40+U40+T40+S40+R40+Q40=12,0,IF(X39&gt;$H$39,12-DATEDIF($H$39,X39+1,"m"),IF(X39&lt;$F$39,0,DATEDIF($F$39,X39+1,"m"))))&lt;0,0,IF(M40+N40+O40+P40+V40+W40+U40+T40+S40+R40+Q40=12,0,IF(X39&gt;$H$39,12-DATEDIF($H$39,X39+1,"m"),IF(X39&lt;$F$39,0,DATEDIF($F$39,X39+1,"m")))))</f>
        <v>0</v>
      </c>
      <c r="Y40" s="117">
        <f>IF(IF(M40+N40+O40+P40+Q40+W40+X40+V40+U40+T40+S40+R40=12,0,IF(Y39&gt;$H$39,12-DATEDIF($H$39,Y39+1,"m"),IF(Y39&lt;$F$39,0,DATEDIF($F$39,Y39+1,"m"))))&lt;0,0,IF(M40+N40+O40+P40+Q40+W40+X40+V40+U40+T40+S40+R40=12,0,IF(Y39&gt;$H$39,12-DATEDIF($H$39,Y39+1,"m"),IF(Y39&lt;$F$39,0,DATEDIF($F$39,Y39+1,"m")))))</f>
        <v>0</v>
      </c>
      <c r="Z40" s="117">
        <f>IF(IF(M40+N40+O40+P40+Q40+R40+X40+Y40+W40+V40+U40+T40+S40=12,0,IF(Z39&gt;$H$39,12-DATEDIF($H$39,Z39+1,"m"),IF(Z39&lt;$F$39,0,DATEDIF($F$39,Z39+1,"m"))))&lt;0,0,IF(M40+N40+O40+P40+Q40+R40+X40+Y40+W40+V40+U40+T40+S40=12,0,IF(Z39&gt;$H$39,12-DATEDIF($H$39,Z39+1,"m"),IF(Z39&lt;$F$39,0,DATEDIF($F$39,Z39+1,"m")))))</f>
        <v>0</v>
      </c>
      <c r="AA40" s="117">
        <f>IF(IF(M40+N40+O40+P40+Q40+R40+S40+Y40+Z40+X40+W40+V40+U40+T40=12,0,IF(AA39&gt;$H$39,12-DATEDIF($H$39,AA39+1,"m"),IF(AA39&lt;$F$39,0,DATEDIF($F$39,AA39+1,"m"))))&lt;0,0,IF(M40+N40+O40+P40+Q40+R40+S40+Y40+Z40+X40+W40+V40+U40+T40=12,0,IF(AA39&gt;$H$39,12-DATEDIF($H$39,AA39+1,"m"),IF(AA39&lt;$F$39,0,DATEDIF($F$39,AA39+1,"m")))))</f>
        <v>0</v>
      </c>
      <c r="AB40" s="117">
        <f>IF(IF(M40+N40+O40+P40+Q40+R40+S40+T40+Z40+AA40+Y40+X40+W40+V40+U40=12,0,IF(AB39&gt;$H$39,12-DATEDIF($H$39,AB39+1,"m"),IF(AB39&lt;$F$39,0,DATEDIF($F$39,AB39+1,"m"))))&lt;0,0,IF(M40+N40+O40+P40+Q40+R40+S40+T40+Z40+AA40+Y40+X40+W40+V40+U40=12,0,IF(AB39&gt;$H$39,12-DATEDIF($H$39,AB39+1,"m"),IF(AB39&lt;$F$39,0,DATEDIF($F$39,AB39+1,"m")))))</f>
        <v>0</v>
      </c>
      <c r="AC40" s="117">
        <f>IF(IF(M40+N40+O40+P40+Q40+R40+S40+T40+U40+AA40+AB40+Z40+Y40+X40+W40+V40=12,0,IF(AC39&gt;$H$39,12-DATEDIF($H$39,AC39+1,"m"),IF(AC39&lt;$F$39,0,DATEDIF($F$39,AC39+1,"m"))))&lt;0,0,IF(M40+N40+O40+P40+Q40+R40+S40+T40+U40+AA40+AB40+Z40+Y40+X40+W40+V40=12,0,IF(AC39&gt;$H$39,12-DATEDIF($H$39,AC39+1,"m"),IF(AC39&lt;$F$39,0,DATEDIF($F$39,AC39+1,"m")))))</f>
        <v>0</v>
      </c>
      <c r="AD40" s="117">
        <f>SUM(M40:AC40)</f>
        <v>0</v>
      </c>
    </row>
    <row r="41" spans="1:35" s="155" customFormat="1" ht="3.75" customHeight="1">
      <c r="D41" s="156"/>
      <c r="M41" s="139"/>
      <c r="N41" s="139"/>
      <c r="O41" s="139"/>
      <c r="P41" s="139"/>
      <c r="Q41" s="139"/>
      <c r="R41" s="139"/>
      <c r="S41" s="139"/>
      <c r="T41" s="139"/>
      <c r="U41" s="139"/>
      <c r="V41" s="139"/>
      <c r="W41" s="139"/>
      <c r="X41" s="139"/>
      <c r="Y41" s="139"/>
      <c r="Z41" s="139"/>
      <c r="AA41" s="139"/>
      <c r="AB41" s="139"/>
      <c r="AC41" s="139"/>
      <c r="AD41" s="139"/>
    </row>
    <row r="42" spans="1:35">
      <c r="A42" s="157">
        <f>+A10</f>
        <v>0</v>
      </c>
      <c r="B42" s="158" t="str">
        <f t="shared" ref="B42:B66" si="29">IF(ISNA(VLOOKUP($A42,name_2,$B$9,0)),"",VLOOKUP($A42,name_2,$B$9,0))</f>
        <v>PI</v>
      </c>
      <c r="C42" s="159">
        <f>IF(ISNA(VLOOKUP($A42,name_2,$C$9,0)),"",VLOOKUP($A42,name_2,$C$9,0))</f>
        <v>0</v>
      </c>
      <c r="D42" s="160">
        <f>IF(ISNA(VLOOKUP(A42,name_2,$D$9,0)),0,VLOOKUP(A42,name_2,$D$9,0))</f>
        <v>0</v>
      </c>
      <c r="E42" s="144">
        <f>IF(ISNA($AD$40*D42),0,$AD$40*D42)</f>
        <v>0</v>
      </c>
      <c r="F42" s="161">
        <f>IF($F$39="No YEAR 2",0,IF(ISNA(VLOOKUP(A42,name_2,$F$9,0)),0,VLOOKUP(A42,name_2,$F$9,0)*(1+'1. SUMMARY'!$C$26)))</f>
        <v>0</v>
      </c>
      <c r="G42" s="146">
        <f>(F42/12)*$AD$40*D42</f>
        <v>0</v>
      </c>
      <c r="H42" s="146">
        <f>IF(ISNA(+AD42),0,AD42)</f>
        <v>0</v>
      </c>
      <c r="I42" s="147">
        <f>SUM(G42:H42)</f>
        <v>0</v>
      </c>
      <c r="M42" s="148">
        <f t="shared" ref="M42:M66" si="30">IF($M$40=0,0,((G42/$AD$40)*$M$40)*VLOOKUP(C42,benefits,2,0))</f>
        <v>0</v>
      </c>
      <c r="N42" s="148">
        <f>IF($N$40=0,0,((G42/$AD$40)*$N$40)*VLOOKUP(C42,benefits,3,0))</f>
        <v>0</v>
      </c>
      <c r="O42" s="148">
        <f t="shared" ref="O42:O66" si="31">IF($O$40=0,0,((G42/$AD$40)*$O$40)*VLOOKUP(C42,benefits,4,0))</f>
        <v>0</v>
      </c>
      <c r="P42" s="148">
        <f>IF($P$40=0,0,((G42/$AD$40)*$P$40)*VLOOKUP(C42,benefits,5,0))</f>
        <v>0</v>
      </c>
      <c r="Q42" s="148">
        <f t="shared" ref="Q42:Q66" si="32">IF(Q$40=0,0,(($G42/$AD$40)*Q$40)*VLOOKUP(C42,benefits,6,0))</f>
        <v>0</v>
      </c>
      <c r="R42" s="148">
        <f t="shared" ref="R42:R66" si="33">IF(R$40=0,0,(($G42/$AD$40)*R$40)*VLOOKUP(C42,benefits,7,0))</f>
        <v>0</v>
      </c>
      <c r="S42" s="148">
        <f t="shared" ref="S42:S66" si="34">IF(S$40=0,0,(($G42/$AD$40)*S$40)*VLOOKUP(C42,benefits,8,0))</f>
        <v>0</v>
      </c>
      <c r="T42" s="148">
        <f t="shared" ref="T42:AC51" si="35">IF(T$40=0,0,(($G42/$AD$40)*T$40)*VLOOKUP($C42,benefits,9,0))</f>
        <v>0</v>
      </c>
      <c r="U42" s="148">
        <f t="shared" si="35"/>
        <v>0</v>
      </c>
      <c r="V42" s="148">
        <f t="shared" si="35"/>
        <v>0</v>
      </c>
      <c r="W42" s="148">
        <f t="shared" si="35"/>
        <v>0</v>
      </c>
      <c r="X42" s="148">
        <f t="shared" si="35"/>
        <v>0</v>
      </c>
      <c r="Y42" s="148">
        <f t="shared" si="35"/>
        <v>0</v>
      </c>
      <c r="Z42" s="148">
        <f t="shared" si="35"/>
        <v>0</v>
      </c>
      <c r="AA42" s="148">
        <f t="shared" si="35"/>
        <v>0</v>
      </c>
      <c r="AB42" s="148">
        <f t="shared" si="35"/>
        <v>0</v>
      </c>
      <c r="AC42" s="148">
        <f t="shared" si="35"/>
        <v>0</v>
      </c>
      <c r="AD42" s="148">
        <f>SUM(M42:AC42)</f>
        <v>0</v>
      </c>
    </row>
    <row r="43" spans="1:35">
      <c r="A43" s="140">
        <f>+A11</f>
        <v>0</v>
      </c>
      <c r="B43" s="162" t="str">
        <f t="shared" si="29"/>
        <v>PI</v>
      </c>
      <c r="C43" s="159">
        <f>IF(ISNA(VLOOKUP($A43,name_2,$C$9,0)),"",VLOOKUP($A43,name_2,$C$9,0))</f>
        <v>0</v>
      </c>
      <c r="D43" s="160">
        <f t="shared" ref="D43:D66" si="36">IF(ISNA(VLOOKUP(A43,name_2,$D$9,0)),0,VLOOKUP(A43,name_2,$D$9,0))</f>
        <v>0</v>
      </c>
      <c r="E43" s="144">
        <f t="shared" ref="E43:E66" si="37">IF(ISNA($AD$40*D43),0,$AD$40*D43)</f>
        <v>0</v>
      </c>
      <c r="F43" s="161">
        <f>IF($F$39="No YEAR 2",0,IF(ISNA(VLOOKUP(A43,name_2,$F$9,0)),0,VLOOKUP(A43,name_2,$F$9,0)*(1+'1. SUMMARY'!$C$26)))</f>
        <v>0</v>
      </c>
      <c r="G43" s="146">
        <f t="shared" ref="G43:G66" si="38">(F43/12)*$AD$40*D43</f>
        <v>0</v>
      </c>
      <c r="H43" s="146">
        <f t="shared" ref="H43:H66" si="39">IF(ISNA(+AD43),0,AD43)</f>
        <v>0</v>
      </c>
      <c r="I43" s="147">
        <f>SUM(G43:H43)</f>
        <v>0</v>
      </c>
      <c r="K43" s="163"/>
      <c r="M43" s="148">
        <f t="shared" si="30"/>
        <v>0</v>
      </c>
      <c r="N43" s="148">
        <f t="shared" ref="N43:N66" si="40">IF($N$40=0,0,((G43/$AD$40)*$N$40)*VLOOKUP(C43,benefits,3,0))</f>
        <v>0</v>
      </c>
      <c r="O43" s="148">
        <f t="shared" si="31"/>
        <v>0</v>
      </c>
      <c r="P43" s="148">
        <f t="shared" ref="P43:P66" si="41">IF($P$40=0,0,((G43/$AD$40)*$P$40)*VLOOKUP(C43,benefits,5,0))</f>
        <v>0</v>
      </c>
      <c r="Q43" s="148">
        <f t="shared" si="32"/>
        <v>0</v>
      </c>
      <c r="R43" s="148">
        <f t="shared" si="33"/>
        <v>0</v>
      </c>
      <c r="S43" s="148">
        <f t="shared" si="34"/>
        <v>0</v>
      </c>
      <c r="T43" s="148">
        <f t="shared" si="35"/>
        <v>0</v>
      </c>
      <c r="U43" s="148">
        <f t="shared" si="35"/>
        <v>0</v>
      </c>
      <c r="V43" s="148">
        <f t="shared" si="35"/>
        <v>0</v>
      </c>
      <c r="W43" s="148">
        <f t="shared" si="35"/>
        <v>0</v>
      </c>
      <c r="X43" s="148">
        <f t="shared" si="35"/>
        <v>0</v>
      </c>
      <c r="Y43" s="148">
        <f t="shared" si="35"/>
        <v>0</v>
      </c>
      <c r="Z43" s="148">
        <f t="shared" si="35"/>
        <v>0</v>
      </c>
      <c r="AA43" s="148">
        <f t="shared" si="35"/>
        <v>0</v>
      </c>
      <c r="AB43" s="148">
        <f t="shared" si="35"/>
        <v>0</v>
      </c>
      <c r="AC43" s="148">
        <f t="shared" si="35"/>
        <v>0</v>
      </c>
      <c r="AD43" s="148">
        <f t="shared" ref="AD43:AD66" si="42">SUM(M43:AC43)</f>
        <v>0</v>
      </c>
    </row>
    <row r="44" spans="1:35">
      <c r="A44" s="140">
        <f t="shared" ref="A44:A66" si="43">+A12</f>
        <v>0</v>
      </c>
      <c r="B44" s="162" t="str">
        <f t="shared" si="29"/>
        <v>PI</v>
      </c>
      <c r="C44" s="159">
        <f t="shared" ref="C44:C66" si="44">IF(ISNA(VLOOKUP($A44,name_2,$C$9,0)),"",VLOOKUP($A44,name_2,$C$9,0))</f>
        <v>0</v>
      </c>
      <c r="D44" s="160">
        <f t="shared" si="36"/>
        <v>0</v>
      </c>
      <c r="E44" s="144">
        <f t="shared" si="37"/>
        <v>0</v>
      </c>
      <c r="F44" s="161">
        <f>IF($F$39="No YEAR 2",0,IF(ISNA(VLOOKUP(A44,name_2,$F$9,0)),0,VLOOKUP(A44,name_2,$F$9,0)*(1+'1. SUMMARY'!$C$26)))</f>
        <v>0</v>
      </c>
      <c r="G44" s="146">
        <f t="shared" si="38"/>
        <v>0</v>
      </c>
      <c r="H44" s="146">
        <f t="shared" si="39"/>
        <v>0</v>
      </c>
      <c r="I44" s="147">
        <f>SUM(G44:H44)</f>
        <v>0</v>
      </c>
      <c r="M44" s="148">
        <f t="shared" si="30"/>
        <v>0</v>
      </c>
      <c r="N44" s="148">
        <f t="shared" si="40"/>
        <v>0</v>
      </c>
      <c r="O44" s="148">
        <f t="shared" si="31"/>
        <v>0</v>
      </c>
      <c r="P44" s="148">
        <f t="shared" si="41"/>
        <v>0</v>
      </c>
      <c r="Q44" s="148">
        <f t="shared" si="32"/>
        <v>0</v>
      </c>
      <c r="R44" s="148">
        <f t="shared" si="33"/>
        <v>0</v>
      </c>
      <c r="S44" s="148">
        <f t="shared" si="34"/>
        <v>0</v>
      </c>
      <c r="T44" s="148">
        <f t="shared" si="35"/>
        <v>0</v>
      </c>
      <c r="U44" s="148">
        <f t="shared" si="35"/>
        <v>0</v>
      </c>
      <c r="V44" s="148">
        <f t="shared" si="35"/>
        <v>0</v>
      </c>
      <c r="W44" s="148">
        <f t="shared" si="35"/>
        <v>0</v>
      </c>
      <c r="X44" s="148">
        <f t="shared" si="35"/>
        <v>0</v>
      </c>
      <c r="Y44" s="148">
        <f t="shared" si="35"/>
        <v>0</v>
      </c>
      <c r="Z44" s="148">
        <f t="shared" si="35"/>
        <v>0</v>
      </c>
      <c r="AA44" s="148">
        <f t="shared" si="35"/>
        <v>0</v>
      </c>
      <c r="AB44" s="148">
        <f t="shared" si="35"/>
        <v>0</v>
      </c>
      <c r="AC44" s="148">
        <f t="shared" si="35"/>
        <v>0</v>
      </c>
      <c r="AD44" s="148">
        <f t="shared" si="42"/>
        <v>0</v>
      </c>
    </row>
    <row r="45" spans="1:35">
      <c r="A45" s="140">
        <f t="shared" si="43"/>
        <v>0</v>
      </c>
      <c r="B45" s="162" t="str">
        <f t="shared" si="29"/>
        <v>PI</v>
      </c>
      <c r="C45" s="159">
        <f t="shared" si="44"/>
        <v>0</v>
      </c>
      <c r="D45" s="160">
        <f t="shared" si="36"/>
        <v>0</v>
      </c>
      <c r="E45" s="144">
        <f t="shared" si="37"/>
        <v>0</v>
      </c>
      <c r="F45" s="161">
        <f>IF($F$39="No YEAR 2",0,IF(ISNA(VLOOKUP(A45,name_2,$F$9,0)),0,VLOOKUP(A45,name_2,$F$9,0)*(1+'1. SUMMARY'!$C$26)))</f>
        <v>0</v>
      </c>
      <c r="G45" s="146">
        <f t="shared" si="38"/>
        <v>0</v>
      </c>
      <c r="H45" s="146">
        <f t="shared" si="39"/>
        <v>0</v>
      </c>
      <c r="I45" s="147">
        <f t="shared" ref="I45:I54" si="45">SUM(G45:H45)</f>
        <v>0</v>
      </c>
      <c r="M45" s="148">
        <f t="shared" si="30"/>
        <v>0</v>
      </c>
      <c r="N45" s="148">
        <f t="shared" si="40"/>
        <v>0</v>
      </c>
      <c r="O45" s="148">
        <f t="shared" si="31"/>
        <v>0</v>
      </c>
      <c r="P45" s="148">
        <f t="shared" si="41"/>
        <v>0</v>
      </c>
      <c r="Q45" s="148">
        <f t="shared" si="32"/>
        <v>0</v>
      </c>
      <c r="R45" s="148">
        <f>IF(R$40=0,0,(($G45/$AD$40)*R$40)*VLOOKUP(C45,benefits,7,0))</f>
        <v>0</v>
      </c>
      <c r="S45" s="148">
        <f t="shared" ref="S45:S54" si="46">IF(S$40=0,0,(($G45/$AD$40)*S$40)*VLOOKUP(C45,benefits,8,0))</f>
        <v>0</v>
      </c>
      <c r="T45" s="148">
        <f t="shared" si="35"/>
        <v>0</v>
      </c>
      <c r="U45" s="148">
        <f t="shared" si="35"/>
        <v>0</v>
      </c>
      <c r="V45" s="148">
        <f t="shared" si="35"/>
        <v>0</v>
      </c>
      <c r="W45" s="148">
        <f t="shared" si="35"/>
        <v>0</v>
      </c>
      <c r="X45" s="148">
        <f t="shared" si="35"/>
        <v>0</v>
      </c>
      <c r="Y45" s="148">
        <f t="shared" si="35"/>
        <v>0</v>
      </c>
      <c r="Z45" s="148">
        <f t="shared" si="35"/>
        <v>0</v>
      </c>
      <c r="AA45" s="148">
        <f t="shared" si="35"/>
        <v>0</v>
      </c>
      <c r="AB45" s="148">
        <f t="shared" si="35"/>
        <v>0</v>
      </c>
      <c r="AC45" s="148">
        <f t="shared" si="35"/>
        <v>0</v>
      </c>
      <c r="AD45" s="148">
        <f t="shared" si="42"/>
        <v>0</v>
      </c>
    </row>
    <row r="46" spans="1:35">
      <c r="A46" s="140">
        <f t="shared" si="43"/>
        <v>0</v>
      </c>
      <c r="B46" s="162" t="str">
        <f t="shared" si="29"/>
        <v>PI</v>
      </c>
      <c r="C46" s="159">
        <f t="shared" si="44"/>
        <v>0</v>
      </c>
      <c r="D46" s="160">
        <f t="shared" si="36"/>
        <v>0</v>
      </c>
      <c r="E46" s="144">
        <f t="shared" si="37"/>
        <v>0</v>
      </c>
      <c r="F46" s="161">
        <f>IF($F$39="No YEAR 2",0,IF(ISNA(VLOOKUP(A46,name_2,$F$9,0)),0,VLOOKUP(A46,name_2,$F$9,0)*(1+'1. SUMMARY'!$C$26)))</f>
        <v>0</v>
      </c>
      <c r="G46" s="146">
        <f t="shared" si="38"/>
        <v>0</v>
      </c>
      <c r="H46" s="146">
        <f t="shared" si="39"/>
        <v>0</v>
      </c>
      <c r="I46" s="147">
        <f t="shared" si="45"/>
        <v>0</v>
      </c>
      <c r="M46" s="148">
        <f t="shared" si="30"/>
        <v>0</v>
      </c>
      <c r="N46" s="148">
        <f t="shared" si="40"/>
        <v>0</v>
      </c>
      <c r="O46" s="148">
        <f t="shared" si="31"/>
        <v>0</v>
      </c>
      <c r="P46" s="148">
        <f t="shared" si="41"/>
        <v>0</v>
      </c>
      <c r="Q46" s="148">
        <f t="shared" si="32"/>
        <v>0</v>
      </c>
      <c r="R46" s="148">
        <f t="shared" ref="R46:R54" si="47">IF(R$40=0,0,(($G46/$AD$40)*R$40)*VLOOKUP(C46,benefits,7,0))</f>
        <v>0</v>
      </c>
      <c r="S46" s="148">
        <f t="shared" si="46"/>
        <v>0</v>
      </c>
      <c r="T46" s="148">
        <f t="shared" si="35"/>
        <v>0</v>
      </c>
      <c r="U46" s="148">
        <f t="shared" si="35"/>
        <v>0</v>
      </c>
      <c r="V46" s="148">
        <f t="shared" si="35"/>
        <v>0</v>
      </c>
      <c r="W46" s="148">
        <f t="shared" si="35"/>
        <v>0</v>
      </c>
      <c r="X46" s="148">
        <f t="shared" si="35"/>
        <v>0</v>
      </c>
      <c r="Y46" s="148">
        <f t="shared" si="35"/>
        <v>0</v>
      </c>
      <c r="Z46" s="148">
        <f t="shared" si="35"/>
        <v>0</v>
      </c>
      <c r="AA46" s="148">
        <f t="shared" si="35"/>
        <v>0</v>
      </c>
      <c r="AB46" s="148">
        <f t="shared" si="35"/>
        <v>0</v>
      </c>
      <c r="AC46" s="148">
        <f t="shared" si="35"/>
        <v>0</v>
      </c>
      <c r="AD46" s="148">
        <f t="shared" si="42"/>
        <v>0</v>
      </c>
    </row>
    <row r="47" spans="1:35">
      <c r="A47" s="140">
        <f t="shared" si="43"/>
        <v>0</v>
      </c>
      <c r="B47" s="162" t="str">
        <f t="shared" si="29"/>
        <v>PI</v>
      </c>
      <c r="C47" s="159">
        <f t="shared" si="44"/>
        <v>0</v>
      </c>
      <c r="D47" s="160">
        <f t="shared" si="36"/>
        <v>0</v>
      </c>
      <c r="E47" s="144">
        <f t="shared" si="37"/>
        <v>0</v>
      </c>
      <c r="F47" s="161">
        <f>IF($F$39="No YEAR 2",0,IF(ISNA(VLOOKUP(A47,name_2,$F$9,0)),0,VLOOKUP(A47,name_2,$F$9,0)*(1+'1. SUMMARY'!$C$26)))</f>
        <v>0</v>
      </c>
      <c r="G47" s="146">
        <f t="shared" si="38"/>
        <v>0</v>
      </c>
      <c r="H47" s="146">
        <f t="shared" si="39"/>
        <v>0</v>
      </c>
      <c r="I47" s="147">
        <f t="shared" si="45"/>
        <v>0</v>
      </c>
      <c r="M47" s="148">
        <f t="shared" si="30"/>
        <v>0</v>
      </c>
      <c r="N47" s="148">
        <f t="shared" si="40"/>
        <v>0</v>
      </c>
      <c r="O47" s="148">
        <f t="shared" si="31"/>
        <v>0</v>
      </c>
      <c r="P47" s="148">
        <f t="shared" si="41"/>
        <v>0</v>
      </c>
      <c r="Q47" s="148">
        <f t="shared" si="32"/>
        <v>0</v>
      </c>
      <c r="R47" s="148">
        <f t="shared" si="47"/>
        <v>0</v>
      </c>
      <c r="S47" s="148">
        <f t="shared" si="46"/>
        <v>0</v>
      </c>
      <c r="T47" s="148">
        <f t="shared" si="35"/>
        <v>0</v>
      </c>
      <c r="U47" s="148">
        <f t="shared" si="35"/>
        <v>0</v>
      </c>
      <c r="V47" s="148">
        <f t="shared" si="35"/>
        <v>0</v>
      </c>
      <c r="W47" s="148">
        <f t="shared" si="35"/>
        <v>0</v>
      </c>
      <c r="X47" s="148">
        <f t="shared" si="35"/>
        <v>0</v>
      </c>
      <c r="Y47" s="148">
        <f t="shared" si="35"/>
        <v>0</v>
      </c>
      <c r="Z47" s="148">
        <f t="shared" si="35"/>
        <v>0</v>
      </c>
      <c r="AA47" s="148">
        <f t="shared" si="35"/>
        <v>0</v>
      </c>
      <c r="AB47" s="148">
        <f t="shared" si="35"/>
        <v>0</v>
      </c>
      <c r="AC47" s="148">
        <f t="shared" si="35"/>
        <v>0</v>
      </c>
      <c r="AD47" s="148">
        <f t="shared" si="42"/>
        <v>0</v>
      </c>
    </row>
    <row r="48" spans="1:35">
      <c r="A48" s="140">
        <f t="shared" si="43"/>
        <v>0</v>
      </c>
      <c r="B48" s="162" t="str">
        <f t="shared" si="29"/>
        <v>PI</v>
      </c>
      <c r="C48" s="159">
        <f t="shared" si="44"/>
        <v>0</v>
      </c>
      <c r="D48" s="160">
        <f t="shared" si="36"/>
        <v>0</v>
      </c>
      <c r="E48" s="144">
        <f t="shared" si="37"/>
        <v>0</v>
      </c>
      <c r="F48" s="161">
        <f>IF($F$39="No YEAR 2",0,IF(ISNA(VLOOKUP(A48,name_2,$F$9,0)),0,VLOOKUP(A48,name_2,$F$9,0)*(1+'1. SUMMARY'!$C$26)))</f>
        <v>0</v>
      </c>
      <c r="G48" s="146">
        <f t="shared" si="38"/>
        <v>0</v>
      </c>
      <c r="H48" s="146">
        <f t="shared" si="39"/>
        <v>0</v>
      </c>
      <c r="I48" s="147">
        <f t="shared" si="45"/>
        <v>0</v>
      </c>
      <c r="M48" s="148">
        <f t="shared" si="30"/>
        <v>0</v>
      </c>
      <c r="N48" s="148">
        <f t="shared" si="40"/>
        <v>0</v>
      </c>
      <c r="O48" s="148">
        <f t="shared" si="31"/>
        <v>0</v>
      </c>
      <c r="P48" s="148">
        <f t="shared" si="41"/>
        <v>0</v>
      </c>
      <c r="Q48" s="148">
        <f t="shared" si="32"/>
        <v>0</v>
      </c>
      <c r="R48" s="148">
        <f t="shared" si="47"/>
        <v>0</v>
      </c>
      <c r="S48" s="148">
        <f t="shared" si="46"/>
        <v>0</v>
      </c>
      <c r="T48" s="148">
        <f t="shared" si="35"/>
        <v>0</v>
      </c>
      <c r="U48" s="148">
        <f t="shared" si="35"/>
        <v>0</v>
      </c>
      <c r="V48" s="148">
        <f t="shared" si="35"/>
        <v>0</v>
      </c>
      <c r="W48" s="148">
        <f t="shared" si="35"/>
        <v>0</v>
      </c>
      <c r="X48" s="148">
        <f t="shared" si="35"/>
        <v>0</v>
      </c>
      <c r="Y48" s="148">
        <f t="shared" si="35"/>
        <v>0</v>
      </c>
      <c r="Z48" s="148">
        <f t="shared" si="35"/>
        <v>0</v>
      </c>
      <c r="AA48" s="148">
        <f t="shared" si="35"/>
        <v>0</v>
      </c>
      <c r="AB48" s="148">
        <f t="shared" si="35"/>
        <v>0</v>
      </c>
      <c r="AC48" s="148">
        <f t="shared" si="35"/>
        <v>0</v>
      </c>
      <c r="AD48" s="148">
        <f t="shared" si="42"/>
        <v>0</v>
      </c>
    </row>
    <row r="49" spans="1:30">
      <c r="A49" s="140">
        <f t="shared" si="43"/>
        <v>0</v>
      </c>
      <c r="B49" s="162" t="str">
        <f t="shared" si="29"/>
        <v>PI</v>
      </c>
      <c r="C49" s="159">
        <f t="shared" si="44"/>
        <v>0</v>
      </c>
      <c r="D49" s="160">
        <f t="shared" si="36"/>
        <v>0</v>
      </c>
      <c r="E49" s="144">
        <f t="shared" si="37"/>
        <v>0</v>
      </c>
      <c r="F49" s="161">
        <f>IF($F$39="No YEAR 2",0,IF(ISNA(VLOOKUP(A49,name_2,$F$9,0)),0,VLOOKUP(A49,name_2,$F$9,0)*(1+'1. SUMMARY'!$C$26)))</f>
        <v>0</v>
      </c>
      <c r="G49" s="146">
        <f t="shared" si="38"/>
        <v>0</v>
      </c>
      <c r="H49" s="146">
        <f t="shared" si="39"/>
        <v>0</v>
      </c>
      <c r="I49" s="147">
        <f t="shared" si="45"/>
        <v>0</v>
      </c>
      <c r="M49" s="148">
        <f t="shared" si="30"/>
        <v>0</v>
      </c>
      <c r="N49" s="148">
        <f t="shared" si="40"/>
        <v>0</v>
      </c>
      <c r="O49" s="148">
        <f t="shared" si="31"/>
        <v>0</v>
      </c>
      <c r="P49" s="148">
        <f t="shared" si="41"/>
        <v>0</v>
      </c>
      <c r="Q49" s="148">
        <f t="shared" si="32"/>
        <v>0</v>
      </c>
      <c r="R49" s="148">
        <f t="shared" si="47"/>
        <v>0</v>
      </c>
      <c r="S49" s="148">
        <f t="shared" si="46"/>
        <v>0</v>
      </c>
      <c r="T49" s="148">
        <f t="shared" si="35"/>
        <v>0</v>
      </c>
      <c r="U49" s="148">
        <f t="shared" si="35"/>
        <v>0</v>
      </c>
      <c r="V49" s="148">
        <f t="shared" si="35"/>
        <v>0</v>
      </c>
      <c r="W49" s="148">
        <f t="shared" si="35"/>
        <v>0</v>
      </c>
      <c r="X49" s="148">
        <f t="shared" si="35"/>
        <v>0</v>
      </c>
      <c r="Y49" s="148">
        <f t="shared" si="35"/>
        <v>0</v>
      </c>
      <c r="Z49" s="148">
        <f t="shared" si="35"/>
        <v>0</v>
      </c>
      <c r="AA49" s="148">
        <f t="shared" si="35"/>
        <v>0</v>
      </c>
      <c r="AB49" s="148">
        <f t="shared" si="35"/>
        <v>0</v>
      </c>
      <c r="AC49" s="148">
        <f t="shared" si="35"/>
        <v>0</v>
      </c>
      <c r="AD49" s="148">
        <f t="shared" si="42"/>
        <v>0</v>
      </c>
    </row>
    <row r="50" spans="1:30">
      <c r="A50" s="140">
        <f t="shared" si="43"/>
        <v>0</v>
      </c>
      <c r="B50" s="162" t="str">
        <f t="shared" si="29"/>
        <v>PI</v>
      </c>
      <c r="C50" s="159">
        <f t="shared" si="44"/>
        <v>0</v>
      </c>
      <c r="D50" s="160">
        <f t="shared" si="36"/>
        <v>0</v>
      </c>
      <c r="E50" s="144">
        <f t="shared" si="37"/>
        <v>0</v>
      </c>
      <c r="F50" s="161">
        <f>IF($F$39="No YEAR 2",0,IF(ISNA(VLOOKUP(A50,name_2,$F$9,0)),0,VLOOKUP(A50,name_2,$F$9,0)*(1+'1. SUMMARY'!$C$26)))</f>
        <v>0</v>
      </c>
      <c r="G50" s="146">
        <f t="shared" si="38"/>
        <v>0</v>
      </c>
      <c r="H50" s="146">
        <f t="shared" si="39"/>
        <v>0</v>
      </c>
      <c r="I50" s="147">
        <f t="shared" si="45"/>
        <v>0</v>
      </c>
      <c r="M50" s="148">
        <f t="shared" si="30"/>
        <v>0</v>
      </c>
      <c r="N50" s="148">
        <f t="shared" si="40"/>
        <v>0</v>
      </c>
      <c r="O50" s="148">
        <f t="shared" si="31"/>
        <v>0</v>
      </c>
      <c r="P50" s="148">
        <f t="shared" si="41"/>
        <v>0</v>
      </c>
      <c r="Q50" s="148">
        <f t="shared" si="32"/>
        <v>0</v>
      </c>
      <c r="R50" s="148">
        <f t="shared" si="47"/>
        <v>0</v>
      </c>
      <c r="S50" s="148">
        <f t="shared" si="46"/>
        <v>0</v>
      </c>
      <c r="T50" s="148">
        <f t="shared" si="35"/>
        <v>0</v>
      </c>
      <c r="U50" s="148">
        <f t="shared" si="35"/>
        <v>0</v>
      </c>
      <c r="V50" s="148">
        <f t="shared" si="35"/>
        <v>0</v>
      </c>
      <c r="W50" s="148">
        <f t="shared" si="35"/>
        <v>0</v>
      </c>
      <c r="X50" s="148">
        <f t="shared" si="35"/>
        <v>0</v>
      </c>
      <c r="Y50" s="148">
        <f t="shared" si="35"/>
        <v>0</v>
      </c>
      <c r="Z50" s="148">
        <f t="shared" si="35"/>
        <v>0</v>
      </c>
      <c r="AA50" s="148">
        <f t="shared" si="35"/>
        <v>0</v>
      </c>
      <c r="AB50" s="148">
        <f t="shared" si="35"/>
        <v>0</v>
      </c>
      <c r="AC50" s="148">
        <f t="shared" si="35"/>
        <v>0</v>
      </c>
      <c r="AD50" s="148">
        <f t="shared" si="42"/>
        <v>0</v>
      </c>
    </row>
    <row r="51" spans="1:30">
      <c r="A51" s="140">
        <f t="shared" si="43"/>
        <v>0</v>
      </c>
      <c r="B51" s="162" t="str">
        <f t="shared" si="29"/>
        <v>PI</v>
      </c>
      <c r="C51" s="159">
        <f t="shared" si="44"/>
        <v>0</v>
      </c>
      <c r="D51" s="160">
        <f t="shared" si="36"/>
        <v>0</v>
      </c>
      <c r="E51" s="144">
        <f t="shared" si="37"/>
        <v>0</v>
      </c>
      <c r="F51" s="161">
        <f>IF($F$39="No YEAR 2",0,IF(ISNA(VLOOKUP(A51,name_2,$F$9,0)),0,VLOOKUP(A51,name_2,$F$9,0)*(1+'1. SUMMARY'!$C$26)))</f>
        <v>0</v>
      </c>
      <c r="G51" s="146">
        <f t="shared" si="38"/>
        <v>0</v>
      </c>
      <c r="H51" s="146">
        <f t="shared" si="39"/>
        <v>0</v>
      </c>
      <c r="I51" s="147">
        <f t="shared" si="45"/>
        <v>0</v>
      </c>
      <c r="M51" s="148">
        <f t="shared" si="30"/>
        <v>0</v>
      </c>
      <c r="N51" s="148">
        <f t="shared" si="40"/>
        <v>0</v>
      </c>
      <c r="O51" s="148">
        <f t="shared" si="31"/>
        <v>0</v>
      </c>
      <c r="P51" s="148">
        <f t="shared" si="41"/>
        <v>0</v>
      </c>
      <c r="Q51" s="148">
        <f t="shared" si="32"/>
        <v>0</v>
      </c>
      <c r="R51" s="148">
        <f t="shared" si="47"/>
        <v>0</v>
      </c>
      <c r="S51" s="148">
        <f t="shared" si="46"/>
        <v>0</v>
      </c>
      <c r="T51" s="148">
        <f t="shared" si="35"/>
        <v>0</v>
      </c>
      <c r="U51" s="148">
        <f t="shared" si="35"/>
        <v>0</v>
      </c>
      <c r="V51" s="148">
        <f t="shared" si="35"/>
        <v>0</v>
      </c>
      <c r="W51" s="148">
        <f t="shared" si="35"/>
        <v>0</v>
      </c>
      <c r="X51" s="148">
        <f t="shared" si="35"/>
        <v>0</v>
      </c>
      <c r="Y51" s="148">
        <f t="shared" si="35"/>
        <v>0</v>
      </c>
      <c r="Z51" s="148">
        <f t="shared" si="35"/>
        <v>0</v>
      </c>
      <c r="AA51" s="148">
        <f t="shared" si="35"/>
        <v>0</v>
      </c>
      <c r="AB51" s="148">
        <f t="shared" si="35"/>
        <v>0</v>
      </c>
      <c r="AC51" s="148">
        <f t="shared" si="35"/>
        <v>0</v>
      </c>
      <c r="AD51" s="148">
        <f t="shared" si="42"/>
        <v>0</v>
      </c>
    </row>
    <row r="52" spans="1:30">
      <c r="A52" s="140">
        <f t="shared" si="43"/>
        <v>0</v>
      </c>
      <c r="B52" s="162" t="str">
        <f t="shared" si="29"/>
        <v>PI</v>
      </c>
      <c r="C52" s="159">
        <f t="shared" si="44"/>
        <v>0</v>
      </c>
      <c r="D52" s="160">
        <f t="shared" si="36"/>
        <v>0</v>
      </c>
      <c r="E52" s="144">
        <f t="shared" si="37"/>
        <v>0</v>
      </c>
      <c r="F52" s="161">
        <f>IF($F$39="No YEAR 2",0,IF(ISNA(VLOOKUP(A52,name_2,$F$9,0)),0,VLOOKUP(A52,name_2,$F$9,0)*(1+'1. SUMMARY'!$C$26)))</f>
        <v>0</v>
      </c>
      <c r="G52" s="146">
        <f t="shared" si="38"/>
        <v>0</v>
      </c>
      <c r="H52" s="146">
        <f t="shared" si="39"/>
        <v>0</v>
      </c>
      <c r="I52" s="147">
        <f t="shared" si="45"/>
        <v>0</v>
      </c>
      <c r="M52" s="148">
        <f t="shared" si="30"/>
        <v>0</v>
      </c>
      <c r="N52" s="148">
        <f t="shared" si="40"/>
        <v>0</v>
      </c>
      <c r="O52" s="148">
        <f t="shared" si="31"/>
        <v>0</v>
      </c>
      <c r="P52" s="148">
        <f t="shared" si="41"/>
        <v>0</v>
      </c>
      <c r="Q52" s="148">
        <f t="shared" si="32"/>
        <v>0</v>
      </c>
      <c r="R52" s="148">
        <f t="shared" si="47"/>
        <v>0</v>
      </c>
      <c r="S52" s="148">
        <f t="shared" si="46"/>
        <v>0</v>
      </c>
      <c r="T52" s="148">
        <f t="shared" ref="T52:AC66" si="48">IF(T$40=0,0,(($G52/$AD$40)*T$40)*VLOOKUP($C52,benefits,9,0))</f>
        <v>0</v>
      </c>
      <c r="U52" s="148">
        <f t="shared" si="48"/>
        <v>0</v>
      </c>
      <c r="V52" s="148">
        <f t="shared" si="48"/>
        <v>0</v>
      </c>
      <c r="W52" s="148">
        <f t="shared" si="48"/>
        <v>0</v>
      </c>
      <c r="X52" s="148">
        <f t="shared" si="48"/>
        <v>0</v>
      </c>
      <c r="Y52" s="148">
        <f t="shared" si="48"/>
        <v>0</v>
      </c>
      <c r="Z52" s="148">
        <f t="shared" si="48"/>
        <v>0</v>
      </c>
      <c r="AA52" s="148">
        <f t="shared" si="48"/>
        <v>0</v>
      </c>
      <c r="AB52" s="148">
        <f t="shared" si="48"/>
        <v>0</v>
      </c>
      <c r="AC52" s="148">
        <f t="shared" si="48"/>
        <v>0</v>
      </c>
      <c r="AD52" s="148">
        <f t="shared" si="42"/>
        <v>0</v>
      </c>
    </row>
    <row r="53" spans="1:30">
      <c r="A53" s="140">
        <f t="shared" si="43"/>
        <v>0</v>
      </c>
      <c r="B53" s="162" t="str">
        <f t="shared" si="29"/>
        <v>PI</v>
      </c>
      <c r="C53" s="159">
        <f t="shared" si="44"/>
        <v>0</v>
      </c>
      <c r="D53" s="160">
        <f t="shared" si="36"/>
        <v>0</v>
      </c>
      <c r="E53" s="144">
        <f t="shared" si="37"/>
        <v>0</v>
      </c>
      <c r="F53" s="161">
        <f>IF($F$39="No YEAR 2",0,IF(ISNA(VLOOKUP(A53,name_2,$F$9,0)),0,VLOOKUP(A53,name_2,$F$9,0)*(1+'1. SUMMARY'!$C$26)))</f>
        <v>0</v>
      </c>
      <c r="G53" s="146">
        <f t="shared" si="38"/>
        <v>0</v>
      </c>
      <c r="H53" s="146">
        <f t="shared" si="39"/>
        <v>0</v>
      </c>
      <c r="I53" s="147">
        <f t="shared" si="45"/>
        <v>0</v>
      </c>
      <c r="M53" s="148">
        <f t="shared" si="30"/>
        <v>0</v>
      </c>
      <c r="N53" s="148">
        <f t="shared" si="40"/>
        <v>0</v>
      </c>
      <c r="O53" s="148">
        <f t="shared" si="31"/>
        <v>0</v>
      </c>
      <c r="P53" s="148">
        <f t="shared" si="41"/>
        <v>0</v>
      </c>
      <c r="Q53" s="148">
        <f t="shared" si="32"/>
        <v>0</v>
      </c>
      <c r="R53" s="148">
        <f t="shared" si="47"/>
        <v>0</v>
      </c>
      <c r="S53" s="148">
        <f t="shared" si="46"/>
        <v>0</v>
      </c>
      <c r="T53" s="148">
        <f t="shared" si="48"/>
        <v>0</v>
      </c>
      <c r="U53" s="148">
        <f t="shared" si="48"/>
        <v>0</v>
      </c>
      <c r="V53" s="148">
        <f t="shared" si="48"/>
        <v>0</v>
      </c>
      <c r="W53" s="148">
        <f t="shared" si="48"/>
        <v>0</v>
      </c>
      <c r="X53" s="148">
        <f t="shared" si="48"/>
        <v>0</v>
      </c>
      <c r="Y53" s="148">
        <f t="shared" si="48"/>
        <v>0</v>
      </c>
      <c r="Z53" s="148">
        <f t="shared" si="48"/>
        <v>0</v>
      </c>
      <c r="AA53" s="148">
        <f t="shared" si="48"/>
        <v>0</v>
      </c>
      <c r="AB53" s="148">
        <f t="shared" si="48"/>
        <v>0</v>
      </c>
      <c r="AC53" s="148">
        <f t="shared" si="48"/>
        <v>0</v>
      </c>
      <c r="AD53" s="148">
        <f t="shared" si="42"/>
        <v>0</v>
      </c>
    </row>
    <row r="54" spans="1:30">
      <c r="A54" s="140">
        <f t="shared" si="43"/>
        <v>0</v>
      </c>
      <c r="B54" s="162" t="str">
        <f t="shared" si="29"/>
        <v>PI</v>
      </c>
      <c r="C54" s="159">
        <f t="shared" si="44"/>
        <v>0</v>
      </c>
      <c r="D54" s="160">
        <f t="shared" si="36"/>
        <v>0</v>
      </c>
      <c r="E54" s="144">
        <f t="shared" si="37"/>
        <v>0</v>
      </c>
      <c r="F54" s="161">
        <f>IF($F$39="No YEAR 2",0,IF(ISNA(VLOOKUP(A54,name_2,$F$9,0)),0,VLOOKUP(A54,name_2,$F$9,0)*(1+'1. SUMMARY'!$C$26)))</f>
        <v>0</v>
      </c>
      <c r="G54" s="146">
        <f t="shared" si="38"/>
        <v>0</v>
      </c>
      <c r="H54" s="146">
        <f t="shared" si="39"/>
        <v>0</v>
      </c>
      <c r="I54" s="147">
        <f t="shared" si="45"/>
        <v>0</v>
      </c>
      <c r="M54" s="148">
        <f t="shared" si="30"/>
        <v>0</v>
      </c>
      <c r="N54" s="148">
        <f t="shared" si="40"/>
        <v>0</v>
      </c>
      <c r="O54" s="148">
        <f t="shared" si="31"/>
        <v>0</v>
      </c>
      <c r="P54" s="148">
        <f t="shared" si="41"/>
        <v>0</v>
      </c>
      <c r="Q54" s="148">
        <f t="shared" si="32"/>
        <v>0</v>
      </c>
      <c r="R54" s="148">
        <f t="shared" si="47"/>
        <v>0</v>
      </c>
      <c r="S54" s="148">
        <f t="shared" si="46"/>
        <v>0</v>
      </c>
      <c r="T54" s="148">
        <f t="shared" si="48"/>
        <v>0</v>
      </c>
      <c r="U54" s="148">
        <f t="shared" si="48"/>
        <v>0</v>
      </c>
      <c r="V54" s="148">
        <f t="shared" si="48"/>
        <v>0</v>
      </c>
      <c r="W54" s="148">
        <f t="shared" si="48"/>
        <v>0</v>
      </c>
      <c r="X54" s="148">
        <f t="shared" si="48"/>
        <v>0</v>
      </c>
      <c r="Y54" s="148">
        <f t="shared" si="48"/>
        <v>0</v>
      </c>
      <c r="Z54" s="148">
        <f t="shared" si="48"/>
        <v>0</v>
      </c>
      <c r="AA54" s="148">
        <f t="shared" si="48"/>
        <v>0</v>
      </c>
      <c r="AB54" s="148">
        <f t="shared" si="48"/>
        <v>0</v>
      </c>
      <c r="AC54" s="148">
        <f t="shared" si="48"/>
        <v>0</v>
      </c>
      <c r="AD54" s="148">
        <f t="shared" si="42"/>
        <v>0</v>
      </c>
    </row>
    <row r="55" spans="1:30">
      <c r="A55" s="140">
        <f t="shared" si="43"/>
        <v>0</v>
      </c>
      <c r="B55" s="162" t="str">
        <f t="shared" si="29"/>
        <v>PI</v>
      </c>
      <c r="C55" s="159">
        <f t="shared" si="44"/>
        <v>0</v>
      </c>
      <c r="D55" s="160">
        <f t="shared" si="36"/>
        <v>0</v>
      </c>
      <c r="E55" s="144">
        <f t="shared" si="37"/>
        <v>0</v>
      </c>
      <c r="F55" s="161">
        <f>IF($F$39="No YEAR 2",0,IF(ISNA(VLOOKUP(A55,name_2,$F$9,0)),0,VLOOKUP(A55,name_2,$F$9,0)*(1+'1. SUMMARY'!$C$26)))</f>
        <v>0</v>
      </c>
      <c r="G55" s="146">
        <f t="shared" si="38"/>
        <v>0</v>
      </c>
      <c r="H55" s="146">
        <f t="shared" si="39"/>
        <v>0</v>
      </c>
      <c r="I55" s="147">
        <f t="shared" ref="I55:I66" si="49">SUM(G55:H55)</f>
        <v>0</v>
      </c>
      <c r="M55" s="148">
        <f t="shared" si="30"/>
        <v>0</v>
      </c>
      <c r="N55" s="148">
        <f t="shared" si="40"/>
        <v>0</v>
      </c>
      <c r="O55" s="148">
        <f t="shared" si="31"/>
        <v>0</v>
      </c>
      <c r="P55" s="148">
        <f t="shared" si="41"/>
        <v>0</v>
      </c>
      <c r="Q55" s="148">
        <f t="shared" si="32"/>
        <v>0</v>
      </c>
      <c r="R55" s="148">
        <f t="shared" si="33"/>
        <v>0</v>
      </c>
      <c r="S55" s="148">
        <f t="shared" si="34"/>
        <v>0</v>
      </c>
      <c r="T55" s="148">
        <f t="shared" si="48"/>
        <v>0</v>
      </c>
      <c r="U55" s="148">
        <f t="shared" si="48"/>
        <v>0</v>
      </c>
      <c r="V55" s="148">
        <f t="shared" si="48"/>
        <v>0</v>
      </c>
      <c r="W55" s="148">
        <f t="shared" si="48"/>
        <v>0</v>
      </c>
      <c r="X55" s="148">
        <f t="shared" si="48"/>
        <v>0</v>
      </c>
      <c r="Y55" s="148">
        <f t="shared" si="48"/>
        <v>0</v>
      </c>
      <c r="Z55" s="148">
        <f t="shared" si="48"/>
        <v>0</v>
      </c>
      <c r="AA55" s="148">
        <f t="shared" si="48"/>
        <v>0</v>
      </c>
      <c r="AB55" s="148">
        <f t="shared" si="48"/>
        <v>0</v>
      </c>
      <c r="AC55" s="148">
        <f t="shared" si="48"/>
        <v>0</v>
      </c>
      <c r="AD55" s="148">
        <f t="shared" si="42"/>
        <v>0</v>
      </c>
    </row>
    <row r="56" spans="1:30">
      <c r="A56" s="140">
        <f t="shared" si="43"/>
        <v>0</v>
      </c>
      <c r="B56" s="162" t="str">
        <f t="shared" si="29"/>
        <v>PI</v>
      </c>
      <c r="C56" s="159">
        <f t="shared" si="44"/>
        <v>0</v>
      </c>
      <c r="D56" s="160">
        <f t="shared" si="36"/>
        <v>0</v>
      </c>
      <c r="E56" s="144">
        <f t="shared" si="37"/>
        <v>0</v>
      </c>
      <c r="F56" s="161">
        <f>IF($F$39="No YEAR 2",0,IF(ISNA(VLOOKUP(A56,name_2,$F$9,0)),0,VLOOKUP(A56,name_2,$F$9,0)*(1+'1. SUMMARY'!$C$26)))</f>
        <v>0</v>
      </c>
      <c r="G56" s="146">
        <f t="shared" si="38"/>
        <v>0</v>
      </c>
      <c r="H56" s="146">
        <f t="shared" si="39"/>
        <v>0</v>
      </c>
      <c r="I56" s="147">
        <f t="shared" si="49"/>
        <v>0</v>
      </c>
      <c r="M56" s="148">
        <f t="shared" si="30"/>
        <v>0</v>
      </c>
      <c r="N56" s="148">
        <f t="shared" si="40"/>
        <v>0</v>
      </c>
      <c r="O56" s="148">
        <f t="shared" si="31"/>
        <v>0</v>
      </c>
      <c r="P56" s="148">
        <f t="shared" si="41"/>
        <v>0</v>
      </c>
      <c r="Q56" s="148">
        <f t="shared" si="32"/>
        <v>0</v>
      </c>
      <c r="R56" s="148">
        <f t="shared" si="33"/>
        <v>0</v>
      </c>
      <c r="S56" s="148">
        <f t="shared" si="34"/>
        <v>0</v>
      </c>
      <c r="T56" s="148">
        <f t="shared" si="48"/>
        <v>0</v>
      </c>
      <c r="U56" s="148">
        <f t="shared" si="48"/>
        <v>0</v>
      </c>
      <c r="V56" s="148">
        <f t="shared" si="48"/>
        <v>0</v>
      </c>
      <c r="W56" s="148">
        <f t="shared" si="48"/>
        <v>0</v>
      </c>
      <c r="X56" s="148">
        <f t="shared" si="48"/>
        <v>0</v>
      </c>
      <c r="Y56" s="148">
        <f t="shared" si="48"/>
        <v>0</v>
      </c>
      <c r="Z56" s="148">
        <f t="shared" si="48"/>
        <v>0</v>
      </c>
      <c r="AA56" s="148">
        <f t="shared" si="48"/>
        <v>0</v>
      </c>
      <c r="AB56" s="148">
        <f t="shared" si="48"/>
        <v>0</v>
      </c>
      <c r="AC56" s="148">
        <f t="shared" si="48"/>
        <v>0</v>
      </c>
      <c r="AD56" s="148">
        <f t="shared" si="42"/>
        <v>0</v>
      </c>
    </row>
    <row r="57" spans="1:30">
      <c r="A57" s="140">
        <f t="shared" si="43"/>
        <v>0</v>
      </c>
      <c r="B57" s="162" t="str">
        <f t="shared" si="29"/>
        <v>PI</v>
      </c>
      <c r="C57" s="159">
        <f t="shared" si="44"/>
        <v>0</v>
      </c>
      <c r="D57" s="160">
        <f t="shared" si="36"/>
        <v>0</v>
      </c>
      <c r="E57" s="144">
        <f t="shared" si="37"/>
        <v>0</v>
      </c>
      <c r="F57" s="161">
        <f>IF($F$39="No YEAR 2",0,IF(ISNA(VLOOKUP(A57,name_2,$F$9,0)),0,VLOOKUP(A57,name_2,$F$9,0)*(1+'1. SUMMARY'!$C$26)))</f>
        <v>0</v>
      </c>
      <c r="G57" s="146">
        <f t="shared" si="38"/>
        <v>0</v>
      </c>
      <c r="H57" s="146">
        <f t="shared" si="39"/>
        <v>0</v>
      </c>
      <c r="I57" s="147">
        <f t="shared" si="49"/>
        <v>0</v>
      </c>
      <c r="M57" s="148">
        <f t="shared" si="30"/>
        <v>0</v>
      </c>
      <c r="N57" s="148">
        <f t="shared" si="40"/>
        <v>0</v>
      </c>
      <c r="O57" s="148">
        <f t="shared" si="31"/>
        <v>0</v>
      </c>
      <c r="P57" s="148">
        <f t="shared" si="41"/>
        <v>0</v>
      </c>
      <c r="Q57" s="148">
        <f t="shared" si="32"/>
        <v>0</v>
      </c>
      <c r="R57" s="148">
        <f t="shared" si="33"/>
        <v>0</v>
      </c>
      <c r="S57" s="148">
        <f t="shared" si="34"/>
        <v>0</v>
      </c>
      <c r="T57" s="148">
        <f t="shared" si="48"/>
        <v>0</v>
      </c>
      <c r="U57" s="148">
        <f t="shared" si="48"/>
        <v>0</v>
      </c>
      <c r="V57" s="148">
        <f t="shared" si="48"/>
        <v>0</v>
      </c>
      <c r="W57" s="148">
        <f t="shared" si="48"/>
        <v>0</v>
      </c>
      <c r="X57" s="148">
        <f t="shared" si="48"/>
        <v>0</v>
      </c>
      <c r="Y57" s="148">
        <f t="shared" si="48"/>
        <v>0</v>
      </c>
      <c r="Z57" s="148">
        <f t="shared" si="48"/>
        <v>0</v>
      </c>
      <c r="AA57" s="148">
        <f t="shared" si="48"/>
        <v>0</v>
      </c>
      <c r="AB57" s="148">
        <f t="shared" si="48"/>
        <v>0</v>
      </c>
      <c r="AC57" s="148">
        <f t="shared" si="48"/>
        <v>0</v>
      </c>
      <c r="AD57" s="148">
        <f t="shared" si="42"/>
        <v>0</v>
      </c>
    </row>
    <row r="58" spans="1:30">
      <c r="A58" s="140">
        <f t="shared" si="43"/>
        <v>0</v>
      </c>
      <c r="B58" s="162" t="str">
        <f t="shared" si="29"/>
        <v>PI</v>
      </c>
      <c r="C58" s="159">
        <f t="shared" si="44"/>
        <v>0</v>
      </c>
      <c r="D58" s="160">
        <f t="shared" si="36"/>
        <v>0</v>
      </c>
      <c r="E58" s="144">
        <f t="shared" si="37"/>
        <v>0</v>
      </c>
      <c r="F58" s="161">
        <f>IF($F$39="No YEAR 2",0,IF(ISNA(VLOOKUP(A58,name_2,$F$9,0)),0,VLOOKUP(A58,name_2,$F$9,0)*(1+'1. SUMMARY'!$C$26)))</f>
        <v>0</v>
      </c>
      <c r="G58" s="146">
        <f t="shared" si="38"/>
        <v>0</v>
      </c>
      <c r="H58" s="146">
        <f t="shared" si="39"/>
        <v>0</v>
      </c>
      <c r="I58" s="147">
        <f t="shared" si="49"/>
        <v>0</v>
      </c>
      <c r="M58" s="148">
        <f t="shared" si="30"/>
        <v>0</v>
      </c>
      <c r="N58" s="148">
        <f t="shared" si="40"/>
        <v>0</v>
      </c>
      <c r="O58" s="148">
        <f t="shared" si="31"/>
        <v>0</v>
      </c>
      <c r="P58" s="148">
        <f t="shared" si="41"/>
        <v>0</v>
      </c>
      <c r="Q58" s="148">
        <f t="shared" si="32"/>
        <v>0</v>
      </c>
      <c r="R58" s="148">
        <f t="shared" si="33"/>
        <v>0</v>
      </c>
      <c r="S58" s="148">
        <f t="shared" si="34"/>
        <v>0</v>
      </c>
      <c r="T58" s="148">
        <f t="shared" si="48"/>
        <v>0</v>
      </c>
      <c r="U58" s="148">
        <f t="shared" si="48"/>
        <v>0</v>
      </c>
      <c r="V58" s="148">
        <f t="shared" si="48"/>
        <v>0</v>
      </c>
      <c r="W58" s="148">
        <f t="shared" si="48"/>
        <v>0</v>
      </c>
      <c r="X58" s="148">
        <f t="shared" si="48"/>
        <v>0</v>
      </c>
      <c r="Y58" s="148">
        <f t="shared" si="48"/>
        <v>0</v>
      </c>
      <c r="Z58" s="148">
        <f t="shared" si="48"/>
        <v>0</v>
      </c>
      <c r="AA58" s="148">
        <f t="shared" si="48"/>
        <v>0</v>
      </c>
      <c r="AB58" s="148">
        <f t="shared" si="48"/>
        <v>0</v>
      </c>
      <c r="AC58" s="148">
        <f t="shared" si="48"/>
        <v>0</v>
      </c>
      <c r="AD58" s="148">
        <f t="shared" si="42"/>
        <v>0</v>
      </c>
    </row>
    <row r="59" spans="1:30">
      <c r="A59" s="140">
        <f t="shared" si="43"/>
        <v>0</v>
      </c>
      <c r="B59" s="162" t="str">
        <f t="shared" si="29"/>
        <v>PI</v>
      </c>
      <c r="C59" s="159">
        <f t="shared" si="44"/>
        <v>0</v>
      </c>
      <c r="D59" s="160">
        <f t="shared" si="36"/>
        <v>0</v>
      </c>
      <c r="E59" s="144">
        <f t="shared" si="37"/>
        <v>0</v>
      </c>
      <c r="F59" s="161">
        <f>IF($F$39="No YEAR 2",0,IF(ISNA(VLOOKUP(A59,name_2,$F$9,0)),0,VLOOKUP(A59,name_2,$F$9,0)*(1+'1. SUMMARY'!$C$26)))</f>
        <v>0</v>
      </c>
      <c r="G59" s="146">
        <f t="shared" si="38"/>
        <v>0</v>
      </c>
      <c r="H59" s="146">
        <f t="shared" si="39"/>
        <v>0</v>
      </c>
      <c r="I59" s="147">
        <f t="shared" si="49"/>
        <v>0</v>
      </c>
      <c r="M59" s="148">
        <f t="shared" si="30"/>
        <v>0</v>
      </c>
      <c r="N59" s="148">
        <f t="shared" si="40"/>
        <v>0</v>
      </c>
      <c r="O59" s="148">
        <f t="shared" si="31"/>
        <v>0</v>
      </c>
      <c r="P59" s="148">
        <f t="shared" si="41"/>
        <v>0</v>
      </c>
      <c r="Q59" s="148">
        <f t="shared" si="32"/>
        <v>0</v>
      </c>
      <c r="R59" s="148">
        <f t="shared" si="33"/>
        <v>0</v>
      </c>
      <c r="S59" s="148">
        <f t="shared" si="34"/>
        <v>0</v>
      </c>
      <c r="T59" s="148">
        <f t="shared" si="48"/>
        <v>0</v>
      </c>
      <c r="U59" s="148">
        <f t="shared" si="48"/>
        <v>0</v>
      </c>
      <c r="V59" s="148">
        <f t="shared" si="48"/>
        <v>0</v>
      </c>
      <c r="W59" s="148">
        <f t="shared" si="48"/>
        <v>0</v>
      </c>
      <c r="X59" s="148">
        <f t="shared" si="48"/>
        <v>0</v>
      </c>
      <c r="Y59" s="148">
        <f t="shared" si="48"/>
        <v>0</v>
      </c>
      <c r="Z59" s="148">
        <f t="shared" si="48"/>
        <v>0</v>
      </c>
      <c r="AA59" s="148">
        <f t="shared" si="48"/>
        <v>0</v>
      </c>
      <c r="AB59" s="148">
        <f t="shared" si="48"/>
        <v>0</v>
      </c>
      <c r="AC59" s="148">
        <f t="shared" si="48"/>
        <v>0</v>
      </c>
      <c r="AD59" s="148">
        <f t="shared" si="42"/>
        <v>0</v>
      </c>
    </row>
    <row r="60" spans="1:30">
      <c r="A60" s="140">
        <f t="shared" si="43"/>
        <v>0</v>
      </c>
      <c r="B60" s="162" t="str">
        <f t="shared" si="29"/>
        <v>PI</v>
      </c>
      <c r="C60" s="159">
        <f t="shared" si="44"/>
        <v>0</v>
      </c>
      <c r="D60" s="160">
        <f t="shared" si="36"/>
        <v>0</v>
      </c>
      <c r="E60" s="144">
        <f t="shared" si="37"/>
        <v>0</v>
      </c>
      <c r="F60" s="161">
        <f>IF($F$39="No YEAR 2",0,IF(ISNA(VLOOKUP(A60,name_2,$F$9,0)),0,VLOOKUP(A60,name_2,$F$9,0)*(1+'1. SUMMARY'!$C$26)))</f>
        <v>0</v>
      </c>
      <c r="G60" s="146">
        <f t="shared" si="38"/>
        <v>0</v>
      </c>
      <c r="H60" s="146">
        <f t="shared" si="39"/>
        <v>0</v>
      </c>
      <c r="I60" s="147">
        <f t="shared" si="49"/>
        <v>0</v>
      </c>
      <c r="M60" s="148">
        <f t="shared" si="30"/>
        <v>0</v>
      </c>
      <c r="N60" s="148">
        <f t="shared" si="40"/>
        <v>0</v>
      </c>
      <c r="O60" s="148">
        <f t="shared" si="31"/>
        <v>0</v>
      </c>
      <c r="P60" s="148">
        <f t="shared" si="41"/>
        <v>0</v>
      </c>
      <c r="Q60" s="148">
        <f t="shared" si="32"/>
        <v>0</v>
      </c>
      <c r="R60" s="148">
        <f t="shared" si="33"/>
        <v>0</v>
      </c>
      <c r="S60" s="148">
        <f t="shared" si="34"/>
        <v>0</v>
      </c>
      <c r="T60" s="148">
        <f t="shared" si="48"/>
        <v>0</v>
      </c>
      <c r="U60" s="148">
        <f t="shared" si="48"/>
        <v>0</v>
      </c>
      <c r="V60" s="148">
        <f t="shared" si="48"/>
        <v>0</v>
      </c>
      <c r="W60" s="148">
        <f t="shared" si="48"/>
        <v>0</v>
      </c>
      <c r="X60" s="148">
        <f t="shared" si="48"/>
        <v>0</v>
      </c>
      <c r="Y60" s="148">
        <f t="shared" si="48"/>
        <v>0</v>
      </c>
      <c r="Z60" s="148">
        <f t="shared" si="48"/>
        <v>0</v>
      </c>
      <c r="AA60" s="148">
        <f t="shared" si="48"/>
        <v>0</v>
      </c>
      <c r="AB60" s="148">
        <f t="shared" si="48"/>
        <v>0</v>
      </c>
      <c r="AC60" s="148">
        <f t="shared" si="48"/>
        <v>0</v>
      </c>
      <c r="AD60" s="148">
        <f t="shared" si="42"/>
        <v>0</v>
      </c>
    </row>
    <row r="61" spans="1:30">
      <c r="A61" s="140">
        <f t="shared" si="43"/>
        <v>0</v>
      </c>
      <c r="B61" s="162" t="str">
        <f t="shared" si="29"/>
        <v>PI</v>
      </c>
      <c r="C61" s="159">
        <f t="shared" si="44"/>
        <v>0</v>
      </c>
      <c r="D61" s="160">
        <f t="shared" si="36"/>
        <v>0</v>
      </c>
      <c r="E61" s="144">
        <f t="shared" si="37"/>
        <v>0</v>
      </c>
      <c r="F61" s="161">
        <f>IF($F$39="No YEAR 2",0,IF(ISNA(VLOOKUP(A61,name_2,$F$9,0)),0,VLOOKUP(A61,name_2,$F$9,0)*(1+'1. SUMMARY'!$C$26)))</f>
        <v>0</v>
      </c>
      <c r="G61" s="146">
        <f t="shared" si="38"/>
        <v>0</v>
      </c>
      <c r="H61" s="146">
        <f t="shared" si="39"/>
        <v>0</v>
      </c>
      <c r="I61" s="147">
        <f t="shared" si="49"/>
        <v>0</v>
      </c>
      <c r="M61" s="148">
        <f t="shared" si="30"/>
        <v>0</v>
      </c>
      <c r="N61" s="148">
        <f t="shared" si="40"/>
        <v>0</v>
      </c>
      <c r="O61" s="148">
        <f t="shared" si="31"/>
        <v>0</v>
      </c>
      <c r="P61" s="148">
        <f t="shared" si="41"/>
        <v>0</v>
      </c>
      <c r="Q61" s="148">
        <f t="shared" si="32"/>
        <v>0</v>
      </c>
      <c r="R61" s="148">
        <f t="shared" si="33"/>
        <v>0</v>
      </c>
      <c r="S61" s="148">
        <f t="shared" si="34"/>
        <v>0</v>
      </c>
      <c r="T61" s="148">
        <f t="shared" si="48"/>
        <v>0</v>
      </c>
      <c r="U61" s="148">
        <f t="shared" si="48"/>
        <v>0</v>
      </c>
      <c r="V61" s="148">
        <f t="shared" si="48"/>
        <v>0</v>
      </c>
      <c r="W61" s="148">
        <f t="shared" si="48"/>
        <v>0</v>
      </c>
      <c r="X61" s="148">
        <f t="shared" si="48"/>
        <v>0</v>
      </c>
      <c r="Y61" s="148">
        <f t="shared" si="48"/>
        <v>0</v>
      </c>
      <c r="Z61" s="148">
        <f t="shared" si="48"/>
        <v>0</v>
      </c>
      <c r="AA61" s="148">
        <f t="shared" si="48"/>
        <v>0</v>
      </c>
      <c r="AB61" s="148">
        <f t="shared" si="48"/>
        <v>0</v>
      </c>
      <c r="AC61" s="148">
        <f t="shared" si="48"/>
        <v>0</v>
      </c>
      <c r="AD61" s="148">
        <f t="shared" si="42"/>
        <v>0</v>
      </c>
    </row>
    <row r="62" spans="1:30">
      <c r="A62" s="140">
        <f t="shared" si="43"/>
        <v>0</v>
      </c>
      <c r="B62" s="162" t="str">
        <f t="shared" si="29"/>
        <v>PI</v>
      </c>
      <c r="C62" s="159">
        <f t="shared" si="44"/>
        <v>0</v>
      </c>
      <c r="D62" s="160">
        <f t="shared" si="36"/>
        <v>0</v>
      </c>
      <c r="E62" s="144">
        <f t="shared" si="37"/>
        <v>0</v>
      </c>
      <c r="F62" s="161">
        <f>IF($F$39="No YEAR 2",0,IF(ISNA(VLOOKUP(A62,name_2,$F$9,0)),0,VLOOKUP(A62,name_2,$F$9,0)*(1+'1. SUMMARY'!$C$26)))</f>
        <v>0</v>
      </c>
      <c r="G62" s="146">
        <f t="shared" si="38"/>
        <v>0</v>
      </c>
      <c r="H62" s="146">
        <f t="shared" si="39"/>
        <v>0</v>
      </c>
      <c r="I62" s="147">
        <f t="shared" si="49"/>
        <v>0</v>
      </c>
      <c r="M62" s="148">
        <f t="shared" si="30"/>
        <v>0</v>
      </c>
      <c r="N62" s="148">
        <f t="shared" si="40"/>
        <v>0</v>
      </c>
      <c r="O62" s="148">
        <f t="shared" si="31"/>
        <v>0</v>
      </c>
      <c r="P62" s="148">
        <f t="shared" si="41"/>
        <v>0</v>
      </c>
      <c r="Q62" s="148">
        <f t="shared" si="32"/>
        <v>0</v>
      </c>
      <c r="R62" s="148">
        <f t="shared" si="33"/>
        <v>0</v>
      </c>
      <c r="S62" s="148">
        <f t="shared" si="34"/>
        <v>0</v>
      </c>
      <c r="T62" s="148">
        <f t="shared" si="48"/>
        <v>0</v>
      </c>
      <c r="U62" s="148">
        <f t="shared" si="48"/>
        <v>0</v>
      </c>
      <c r="V62" s="148">
        <f t="shared" si="48"/>
        <v>0</v>
      </c>
      <c r="W62" s="148">
        <f t="shared" si="48"/>
        <v>0</v>
      </c>
      <c r="X62" s="148">
        <f t="shared" si="48"/>
        <v>0</v>
      </c>
      <c r="Y62" s="148">
        <f t="shared" si="48"/>
        <v>0</v>
      </c>
      <c r="Z62" s="148">
        <f t="shared" si="48"/>
        <v>0</v>
      </c>
      <c r="AA62" s="148">
        <f t="shared" si="48"/>
        <v>0</v>
      </c>
      <c r="AB62" s="148">
        <f t="shared" si="48"/>
        <v>0</v>
      </c>
      <c r="AC62" s="148">
        <f t="shared" si="48"/>
        <v>0</v>
      </c>
      <c r="AD62" s="148">
        <f t="shared" si="42"/>
        <v>0</v>
      </c>
    </row>
    <row r="63" spans="1:30">
      <c r="A63" s="140">
        <f t="shared" si="43"/>
        <v>0</v>
      </c>
      <c r="B63" s="162" t="str">
        <f t="shared" si="29"/>
        <v>PI</v>
      </c>
      <c r="C63" s="159">
        <f t="shared" si="44"/>
        <v>0</v>
      </c>
      <c r="D63" s="160">
        <f t="shared" si="36"/>
        <v>0</v>
      </c>
      <c r="E63" s="144">
        <f t="shared" si="37"/>
        <v>0</v>
      </c>
      <c r="F63" s="161">
        <f>IF($F$39="No YEAR 2",0,IF(ISNA(VLOOKUP(A63,name_2,$F$9,0)),0,VLOOKUP(A63,name_2,$F$9,0)*(1+'1. SUMMARY'!$C$26)))</f>
        <v>0</v>
      </c>
      <c r="G63" s="146">
        <f t="shared" si="38"/>
        <v>0</v>
      </c>
      <c r="H63" s="146">
        <f t="shared" si="39"/>
        <v>0</v>
      </c>
      <c r="I63" s="147">
        <f t="shared" si="49"/>
        <v>0</v>
      </c>
      <c r="M63" s="148">
        <f t="shared" si="30"/>
        <v>0</v>
      </c>
      <c r="N63" s="148">
        <f t="shared" si="40"/>
        <v>0</v>
      </c>
      <c r="O63" s="148">
        <f t="shared" si="31"/>
        <v>0</v>
      </c>
      <c r="P63" s="148">
        <f t="shared" si="41"/>
        <v>0</v>
      </c>
      <c r="Q63" s="148">
        <f t="shared" si="32"/>
        <v>0</v>
      </c>
      <c r="R63" s="148">
        <f t="shared" si="33"/>
        <v>0</v>
      </c>
      <c r="S63" s="148">
        <f t="shared" si="34"/>
        <v>0</v>
      </c>
      <c r="T63" s="148">
        <f t="shared" si="48"/>
        <v>0</v>
      </c>
      <c r="U63" s="148">
        <f t="shared" si="48"/>
        <v>0</v>
      </c>
      <c r="V63" s="148">
        <f t="shared" si="48"/>
        <v>0</v>
      </c>
      <c r="W63" s="148">
        <f t="shared" si="48"/>
        <v>0</v>
      </c>
      <c r="X63" s="148">
        <f t="shared" si="48"/>
        <v>0</v>
      </c>
      <c r="Y63" s="148">
        <f t="shared" si="48"/>
        <v>0</v>
      </c>
      <c r="Z63" s="148">
        <f t="shared" si="48"/>
        <v>0</v>
      </c>
      <c r="AA63" s="148">
        <f t="shared" si="48"/>
        <v>0</v>
      </c>
      <c r="AB63" s="148">
        <f t="shared" si="48"/>
        <v>0</v>
      </c>
      <c r="AC63" s="148">
        <f t="shared" si="48"/>
        <v>0</v>
      </c>
      <c r="AD63" s="148">
        <f t="shared" si="42"/>
        <v>0</v>
      </c>
    </row>
    <row r="64" spans="1:30">
      <c r="A64" s="140">
        <f t="shared" si="43"/>
        <v>0</v>
      </c>
      <c r="B64" s="162" t="str">
        <f t="shared" si="29"/>
        <v>PI</v>
      </c>
      <c r="C64" s="159">
        <f t="shared" si="44"/>
        <v>0</v>
      </c>
      <c r="D64" s="160">
        <f t="shared" si="36"/>
        <v>0</v>
      </c>
      <c r="E64" s="144">
        <f t="shared" si="37"/>
        <v>0</v>
      </c>
      <c r="F64" s="161">
        <f>IF($F$39="No YEAR 2",0,IF(ISNA(VLOOKUP(A64,name_2,$F$9,0)),0,VLOOKUP(A64,name_2,$F$9,0)*(1+'1. SUMMARY'!$C$26)))</f>
        <v>0</v>
      </c>
      <c r="G64" s="146">
        <f t="shared" si="38"/>
        <v>0</v>
      </c>
      <c r="H64" s="146">
        <f t="shared" si="39"/>
        <v>0</v>
      </c>
      <c r="I64" s="147">
        <f t="shared" si="49"/>
        <v>0</v>
      </c>
      <c r="M64" s="148">
        <f t="shared" si="30"/>
        <v>0</v>
      </c>
      <c r="N64" s="148">
        <f t="shared" si="40"/>
        <v>0</v>
      </c>
      <c r="O64" s="148">
        <f t="shared" si="31"/>
        <v>0</v>
      </c>
      <c r="P64" s="148">
        <f t="shared" si="41"/>
        <v>0</v>
      </c>
      <c r="Q64" s="148">
        <f t="shared" si="32"/>
        <v>0</v>
      </c>
      <c r="R64" s="148">
        <f t="shared" si="33"/>
        <v>0</v>
      </c>
      <c r="S64" s="148">
        <f t="shared" si="34"/>
        <v>0</v>
      </c>
      <c r="T64" s="148">
        <f t="shared" si="48"/>
        <v>0</v>
      </c>
      <c r="U64" s="148">
        <f t="shared" si="48"/>
        <v>0</v>
      </c>
      <c r="V64" s="148">
        <f t="shared" si="48"/>
        <v>0</v>
      </c>
      <c r="W64" s="148">
        <f t="shared" si="48"/>
        <v>0</v>
      </c>
      <c r="X64" s="148">
        <f t="shared" si="48"/>
        <v>0</v>
      </c>
      <c r="Y64" s="148">
        <f t="shared" si="48"/>
        <v>0</v>
      </c>
      <c r="Z64" s="148">
        <f t="shared" si="48"/>
        <v>0</v>
      </c>
      <c r="AA64" s="148">
        <f t="shared" si="48"/>
        <v>0</v>
      </c>
      <c r="AB64" s="148">
        <f t="shared" si="48"/>
        <v>0</v>
      </c>
      <c r="AC64" s="148">
        <f t="shared" si="48"/>
        <v>0</v>
      </c>
      <c r="AD64" s="148">
        <f t="shared" si="42"/>
        <v>0</v>
      </c>
    </row>
    <row r="65" spans="1:30">
      <c r="A65" s="140">
        <f t="shared" si="43"/>
        <v>0</v>
      </c>
      <c r="B65" s="162" t="str">
        <f t="shared" si="29"/>
        <v>PI</v>
      </c>
      <c r="C65" s="159">
        <f t="shared" si="44"/>
        <v>0</v>
      </c>
      <c r="D65" s="160">
        <f t="shared" si="36"/>
        <v>0</v>
      </c>
      <c r="E65" s="144">
        <f t="shared" si="37"/>
        <v>0</v>
      </c>
      <c r="F65" s="161">
        <f>IF($F$39="No YEAR 2",0,IF(ISNA(VLOOKUP(A65,name_2,$F$9,0)),0,VLOOKUP(A65,name_2,$F$9,0)*(1+'1. SUMMARY'!$C$26)))</f>
        <v>0</v>
      </c>
      <c r="G65" s="146">
        <f t="shared" si="38"/>
        <v>0</v>
      </c>
      <c r="H65" s="146">
        <f t="shared" si="39"/>
        <v>0</v>
      </c>
      <c r="I65" s="147">
        <f t="shared" si="49"/>
        <v>0</v>
      </c>
      <c r="M65" s="148">
        <f t="shared" si="30"/>
        <v>0</v>
      </c>
      <c r="N65" s="148">
        <f t="shared" si="40"/>
        <v>0</v>
      </c>
      <c r="O65" s="148">
        <f t="shared" si="31"/>
        <v>0</v>
      </c>
      <c r="P65" s="148">
        <f t="shared" si="41"/>
        <v>0</v>
      </c>
      <c r="Q65" s="148">
        <f t="shared" si="32"/>
        <v>0</v>
      </c>
      <c r="R65" s="148">
        <f t="shared" si="33"/>
        <v>0</v>
      </c>
      <c r="S65" s="148">
        <f t="shared" si="34"/>
        <v>0</v>
      </c>
      <c r="T65" s="148">
        <f t="shared" si="48"/>
        <v>0</v>
      </c>
      <c r="U65" s="148">
        <f t="shared" si="48"/>
        <v>0</v>
      </c>
      <c r="V65" s="148">
        <f t="shared" si="48"/>
        <v>0</v>
      </c>
      <c r="W65" s="148">
        <f t="shared" si="48"/>
        <v>0</v>
      </c>
      <c r="X65" s="148">
        <f t="shared" si="48"/>
        <v>0</v>
      </c>
      <c r="Y65" s="148">
        <f t="shared" si="48"/>
        <v>0</v>
      </c>
      <c r="Z65" s="148">
        <f t="shared" si="48"/>
        <v>0</v>
      </c>
      <c r="AA65" s="148">
        <f t="shared" si="48"/>
        <v>0</v>
      </c>
      <c r="AB65" s="148">
        <f t="shared" si="48"/>
        <v>0</v>
      </c>
      <c r="AC65" s="148">
        <f t="shared" si="48"/>
        <v>0</v>
      </c>
      <c r="AD65" s="148">
        <f t="shared" si="42"/>
        <v>0</v>
      </c>
    </row>
    <row r="66" spans="1:30">
      <c r="A66" s="140">
        <f t="shared" si="43"/>
        <v>0</v>
      </c>
      <c r="B66" s="162" t="str">
        <f t="shared" si="29"/>
        <v>PI</v>
      </c>
      <c r="C66" s="159">
        <f t="shared" si="44"/>
        <v>0</v>
      </c>
      <c r="D66" s="160">
        <f t="shared" si="36"/>
        <v>0</v>
      </c>
      <c r="E66" s="144">
        <f t="shared" si="37"/>
        <v>0</v>
      </c>
      <c r="F66" s="161">
        <f>IF($F$39="No YEAR 2",0,IF(ISNA(VLOOKUP(A66,name_2,$F$9,0)),0,VLOOKUP(A66,name_2,$F$9,0)*(1+'1. SUMMARY'!$C$26)))</f>
        <v>0</v>
      </c>
      <c r="G66" s="146">
        <f t="shared" si="38"/>
        <v>0</v>
      </c>
      <c r="H66" s="146">
        <f t="shared" si="39"/>
        <v>0</v>
      </c>
      <c r="I66" s="147">
        <f t="shared" si="49"/>
        <v>0</v>
      </c>
      <c r="M66" s="148">
        <f t="shared" si="30"/>
        <v>0</v>
      </c>
      <c r="N66" s="148">
        <f t="shared" si="40"/>
        <v>0</v>
      </c>
      <c r="O66" s="148">
        <f t="shared" si="31"/>
        <v>0</v>
      </c>
      <c r="P66" s="148">
        <f t="shared" si="41"/>
        <v>0</v>
      </c>
      <c r="Q66" s="148">
        <f t="shared" si="32"/>
        <v>0</v>
      </c>
      <c r="R66" s="148">
        <f t="shared" si="33"/>
        <v>0</v>
      </c>
      <c r="S66" s="148">
        <f t="shared" si="34"/>
        <v>0</v>
      </c>
      <c r="T66" s="148">
        <f t="shared" si="48"/>
        <v>0</v>
      </c>
      <c r="U66" s="148">
        <f t="shared" si="48"/>
        <v>0</v>
      </c>
      <c r="V66" s="148">
        <f t="shared" si="48"/>
        <v>0</v>
      </c>
      <c r="W66" s="148">
        <f t="shared" si="48"/>
        <v>0</v>
      </c>
      <c r="X66" s="148">
        <f t="shared" si="48"/>
        <v>0</v>
      </c>
      <c r="Y66" s="148">
        <f t="shared" si="48"/>
        <v>0</v>
      </c>
      <c r="Z66" s="148">
        <f t="shared" si="48"/>
        <v>0</v>
      </c>
      <c r="AA66" s="148">
        <f t="shared" si="48"/>
        <v>0</v>
      </c>
      <c r="AB66" s="148">
        <f t="shared" si="48"/>
        <v>0</v>
      </c>
      <c r="AC66" s="148">
        <f t="shared" si="48"/>
        <v>0</v>
      </c>
      <c r="AD66" s="148">
        <f t="shared" si="42"/>
        <v>0</v>
      </c>
    </row>
    <row r="67" spans="1:30" ht="14" thickBot="1">
      <c r="A67" s="117"/>
      <c r="B67" s="117"/>
      <c r="C67" s="150" t="s">
        <v>47</v>
      </c>
      <c r="D67" s="151"/>
      <c r="E67" s="152"/>
      <c r="F67" s="152"/>
      <c r="G67" s="153">
        <f>SUM(G42:G66)</f>
        <v>0</v>
      </c>
      <c r="H67" s="153">
        <f>SUM(H42:H66)</f>
        <v>0</v>
      </c>
      <c r="I67" s="154">
        <f>SUM(I42:I66)</f>
        <v>0</v>
      </c>
      <c r="M67" s="117"/>
      <c r="N67" s="117"/>
      <c r="O67" s="117"/>
      <c r="P67" s="117"/>
      <c r="Q67" s="117"/>
      <c r="R67" s="117"/>
      <c r="S67" s="117"/>
      <c r="T67" s="117"/>
      <c r="U67" s="117"/>
      <c r="V67" s="117"/>
      <c r="W67" s="117"/>
      <c r="X67" s="117"/>
      <c r="Y67" s="117"/>
      <c r="Z67" s="117"/>
      <c r="AA67" s="117"/>
      <c r="AB67" s="117"/>
      <c r="AC67" s="117"/>
      <c r="AD67" s="117"/>
    </row>
    <row r="68" spans="1:30">
      <c r="M68" s="117"/>
      <c r="N68" s="117"/>
      <c r="O68" s="117"/>
      <c r="P68" s="117"/>
      <c r="Q68" s="117"/>
      <c r="R68" s="117"/>
      <c r="S68" s="117"/>
      <c r="T68" s="117"/>
      <c r="U68" s="117"/>
      <c r="V68" s="117"/>
      <c r="W68" s="117"/>
      <c r="X68" s="117"/>
      <c r="Y68" s="117"/>
      <c r="Z68" s="117"/>
      <c r="AA68" s="117"/>
      <c r="AB68" s="117"/>
      <c r="AC68" s="117"/>
      <c r="AD68" s="117"/>
    </row>
    <row r="69" spans="1:30">
      <c r="M69" s="117"/>
      <c r="N69" s="117"/>
      <c r="O69" s="117"/>
      <c r="P69" s="117"/>
      <c r="Q69" s="117"/>
      <c r="R69" s="117"/>
      <c r="S69" s="117"/>
      <c r="T69" s="117"/>
      <c r="U69" s="117"/>
      <c r="V69" s="117"/>
      <c r="W69" s="117"/>
      <c r="X69" s="117"/>
      <c r="Y69" s="117"/>
      <c r="Z69" s="117"/>
      <c r="AA69" s="117"/>
      <c r="AB69" s="117"/>
      <c r="AC69" s="117"/>
      <c r="AD69" s="117"/>
    </row>
    <row r="70" spans="1:30">
      <c r="A70" s="124"/>
      <c r="B70" s="124"/>
      <c r="C70" s="120"/>
      <c r="D70" s="127"/>
      <c r="E70" s="128"/>
      <c r="F70" s="128"/>
      <c r="G70" s="128"/>
      <c r="H70" s="128"/>
      <c r="I70" s="128"/>
      <c r="M70" s="121">
        <f>+Sheet1!$T$8</f>
        <v>44105</v>
      </c>
      <c r="N70" s="121">
        <f>+Sheet1!$U$8</f>
        <v>44470</v>
      </c>
      <c r="O70" s="121">
        <f>+Sheet1!$V$8</f>
        <v>44835</v>
      </c>
      <c r="P70" s="121">
        <f>+Sheet1!$W$8</f>
        <v>45200</v>
      </c>
      <c r="Q70" s="121">
        <f>+Sheet1!$X$8</f>
        <v>45566</v>
      </c>
      <c r="R70" s="121">
        <f>+Sheet1!$Y$8</f>
        <v>45931</v>
      </c>
      <c r="S70" s="121">
        <f>+Sheet1!$Z$8</f>
        <v>46296</v>
      </c>
      <c r="T70" s="121">
        <f>+Sheet1!$AA$8</f>
        <v>46661</v>
      </c>
      <c r="U70" s="121">
        <f>+Sheet1!$AB$8</f>
        <v>47027</v>
      </c>
      <c r="V70" s="121">
        <f>+Sheet1!$AC$8</f>
        <v>47392</v>
      </c>
      <c r="W70" s="121">
        <f>+Sheet1!$AD$8</f>
        <v>47757</v>
      </c>
      <c r="X70" s="121">
        <f>+Sheet1!AE$8</f>
        <v>48122</v>
      </c>
      <c r="Y70" s="121">
        <f>+Sheet1!AF$8</f>
        <v>48488</v>
      </c>
      <c r="Z70" s="121">
        <f>+Sheet1!AG$8</f>
        <v>48853</v>
      </c>
      <c r="AA70" s="121">
        <f>+Sheet1!AH$8</f>
        <v>49218</v>
      </c>
      <c r="AB70" s="121">
        <f>+Sheet1!AI$8</f>
        <v>49583</v>
      </c>
      <c r="AC70" s="121">
        <f>+Sheet1!AJ$8</f>
        <v>49949</v>
      </c>
      <c r="AD70" s="117"/>
    </row>
    <row r="71" spans="1:30">
      <c r="A71" s="118" t="s">
        <v>106</v>
      </c>
      <c r="B71" s="118"/>
      <c r="C71" s="118"/>
      <c r="D71" s="129"/>
      <c r="E71" s="130"/>
      <c r="F71" s="131" t="str">
        <f>IF(F39="No "&amp;A39,"No "&amp;A71,IF(+H39+1&gt;'1. SUMMARY'!$C$18,"No "&amp;A71,+H39+1))</f>
        <v>No YEAR 3</v>
      </c>
      <c r="G71" s="131" t="str">
        <f>"----"</f>
        <v>----</v>
      </c>
      <c r="H71" s="131" t="str">
        <f>IF(F71="No "&amp;A71,"No "&amp;A71,IF(H39='1. SUMMARY'!O81,"a",IF((DATE(YEAR(F71),MONTH(F71)+12,DAY(F71)-1))&lt;=('1. SUMMARY'!$C$18),DATE(YEAR(F71),MONTH(F71)+12,DAY(F71)-1),'1. SUMMARY'!$C$18)))</f>
        <v>No YEAR 3</v>
      </c>
      <c r="I71" s="132"/>
      <c r="M71" s="121">
        <f>+Sheet1!$T$9</f>
        <v>44469</v>
      </c>
      <c r="N71" s="121">
        <f>+Sheet1!$U$9</f>
        <v>44834</v>
      </c>
      <c r="O71" s="121">
        <f>+Sheet1!$V$9</f>
        <v>45199</v>
      </c>
      <c r="P71" s="121">
        <f>+Sheet1!$W$9</f>
        <v>45565</v>
      </c>
      <c r="Q71" s="121">
        <f>+Sheet1!$X$9</f>
        <v>45930</v>
      </c>
      <c r="R71" s="121">
        <f>+Sheet1!$Y$9</f>
        <v>46295</v>
      </c>
      <c r="S71" s="121">
        <f>+Sheet1!$Z$9</f>
        <v>46660</v>
      </c>
      <c r="T71" s="121">
        <f>+Sheet1!$AA$9</f>
        <v>47026</v>
      </c>
      <c r="U71" s="121">
        <f>+Sheet1!$AB$9</f>
        <v>47391</v>
      </c>
      <c r="V71" s="121">
        <f>+Sheet1!$AC$9</f>
        <v>47756</v>
      </c>
      <c r="W71" s="121">
        <f>+Sheet1!$AD$9</f>
        <v>48121</v>
      </c>
      <c r="X71" s="121">
        <f>+Sheet1!AE$9</f>
        <v>48487</v>
      </c>
      <c r="Y71" s="121">
        <f>+Sheet1!AF$9</f>
        <v>48852</v>
      </c>
      <c r="Z71" s="121">
        <f>+Sheet1!AG$9</f>
        <v>49217</v>
      </c>
      <c r="AA71" s="121">
        <f>+Sheet1!AH$9</f>
        <v>49582</v>
      </c>
      <c r="AB71" s="121">
        <f>+Sheet1!AI$9</f>
        <v>49948</v>
      </c>
      <c r="AC71" s="121">
        <f>+Sheet1!AJ$9</f>
        <v>50313</v>
      </c>
      <c r="AD71" s="117"/>
    </row>
    <row r="72" spans="1:30" ht="25.5" customHeight="1">
      <c r="A72" s="133" t="s">
        <v>39</v>
      </c>
      <c r="B72" s="134" t="s">
        <v>40</v>
      </c>
      <c r="C72" s="134" t="s">
        <v>41</v>
      </c>
      <c r="D72" s="135" t="s">
        <v>42</v>
      </c>
      <c r="E72" s="136" t="s">
        <v>43</v>
      </c>
      <c r="F72" s="136" t="s">
        <v>44</v>
      </c>
      <c r="G72" s="136" t="s">
        <v>45</v>
      </c>
      <c r="H72" s="136" t="s">
        <v>46</v>
      </c>
      <c r="I72" s="137" t="s">
        <v>47</v>
      </c>
      <c r="M72" s="117">
        <f>IF(IF(M71&lt;F71,0,DATEDIF(F71,M71+1,"m"))&lt;0,0,IF(M71&lt;F71,0,DATEDIF(F71,M71+1,"m")))</f>
        <v>0</v>
      </c>
      <c r="N72" s="117">
        <f>IF(IF(M72=12,0,IF(N71&gt;H71,12-DATEDIF(H71,N71+1,"m"),IF(N71&lt;F71,0,DATEDIF(F71,N71+1,"m"))))&lt;0,0,IF(M72=12,0,IF(N71&gt;H71,12-DATEDIF(H71,N71+1,"m"),IF(N71&lt;F71,0,DATEDIF(F71,N71+1,"m")))))</f>
        <v>0</v>
      </c>
      <c r="O72" s="117">
        <f>IF(IF(M72+N72=12,0,IF(O71&gt;H71,12-DATEDIF(H71,O71+1,"m"),IF(O71&lt;F71,0,DATEDIF(F71,O71+1,"m"))))&lt;0,0,IF(M72+N72=12,0,IF(O71&gt;H71,12-DATEDIF(H71,O71+1,"m"),IF(O71&lt;F71,0,DATEDIF(F71,O71+1,"m")))))</f>
        <v>0</v>
      </c>
      <c r="P72" s="117">
        <f>IF(IF(N72+O72+M72=12,0,IF(P71&gt;H71,12-DATEDIF(H71,P71+1,"m"),IF(P71&lt;F71,0,DATEDIF(F71,P71+1,"m"))))&lt;0,0,IF(N72+O72+M72=12,0,IF(P71&gt;H71,12-DATEDIF(H71,P71+1,"m"),IF(P71&lt;F71,0,DATEDIF(F71,P71+1,"m")))))</f>
        <v>0</v>
      </c>
      <c r="Q72" s="117">
        <f>IF(IF(O72+P72+N72+M72=12,0,IF(Q71&gt;$H$71,12-DATEDIF($H$71,Q71+1,"m"),IF(Q71&lt;$F$71,0,DATEDIF($F$71,Q71+1,"m"))))&lt;0,0,IF(O72+P72+N72+M72=12,0,IF(Q71&gt;$H$71,12-DATEDIF($H$71,Q71+1,"m"),IF(Q71&lt;$F$71,0,DATEDIF($F$71,Q71+1,"m")))))</f>
        <v>0</v>
      </c>
      <c r="R72" s="117">
        <f>IF(IF(P72+Q72+O72+N72+M72=12,0,IF(R71&gt;$H$71,12-DATEDIF($H$71,R71+1,"m"),IF(R71&lt;$F$71,0,DATEDIF($F$71,R71+1,"m"))))&lt;0,0,IF(P72+Q72+O72+N72+M72=12,0,IF(R71&gt;$H$71,12-DATEDIF($H$71,R71+1,"m"),IF(R71&lt;$F$71,0,DATEDIF($F$71,R71+1,"m")))))</f>
        <v>0</v>
      </c>
      <c r="S72" s="117">
        <f>IF(IF(Q72+R72+P72+O72+N72+M72=12,0,IF(S71&gt;$H$71,12-DATEDIF($H$71,S71+1,"m"),IF(S71&lt;$F$71,0,DATEDIF($F$71,S71+1,"m"))))&lt;0,0,IF(Q72+R72+P72+O72+N72+M72=12,0,IF(S71&gt;$H$71,12-DATEDIF($H$71,S71+1,"m"),IF(S71&lt;$F$71,0,DATEDIF($F$71,S71+1,"m")))))</f>
        <v>0</v>
      </c>
      <c r="T72" s="117">
        <f>IF(IF(R72+S72+Q72+P72+O72+N72+M72=12,0,IF(T71&gt;$H$71,12-DATEDIF($H$71,T71+1,"m"),IF(T71&lt;$F$71,0,DATEDIF($F$71,T71+1,"m"))))&lt;0,0,IF(R72+S72+Q72+P72+O72+N72+M72=12,0,IF(T71&gt;$H$71,12-DATEDIF($H$71,T71+1,"m"),IF(T71&lt;$F$71,0,DATEDIF($F$71,T71+1,"m")))))</f>
        <v>0</v>
      </c>
      <c r="U72" s="117">
        <f>IF(IF(M72+S72+T72+R72+Q72+P72+O72+N72=12,0,IF(U71&gt;$H$71,12-DATEDIF($H$71,U71+1,"m"),IF(U71&lt;$F$71,0,DATEDIF($F$71,U71+1,"m"))))&lt;0,0,IF(M72+S72+T72+R72+Q72+P72+O72+N72=12,0,IF(U71&gt;$H$71,12-DATEDIF($H$71,U71+1,"m"),IF(U71&lt;$F$71,0,DATEDIF($F$71,U71+1,"m")))))</f>
        <v>0</v>
      </c>
      <c r="V72" s="117">
        <f>IF(IF(M72+N72+T72+U72+S72+R72+Q72+P72+O72=12,0,IF(V71&gt;$H$71,12-DATEDIF($H$71,V71+1,"m"),IF(V71&lt;$F$71,0,DATEDIF($F$71,V71+1,"m"))))&lt;0,0,IF(M72+N72+T72+U72+S72+R72+Q72+P72+O72=12,0,IF(V71&gt;$H$71,12-DATEDIF($H$71,V71+1,"m"),IF(V71&lt;$F$71,0,DATEDIF($F$71,V71+1,"m")))))</f>
        <v>0</v>
      </c>
      <c r="W72" s="117">
        <f>IF(IF(+M72+N72+O72+U72+V72+T72+S72+R72+Q72+P72=12,0,IF(W71&gt;$H$71,12-DATEDIF($H$71,W71+1,"m"),IF(W71&lt;$F$71,0,DATEDIF($F$71,W71+1,"m"))))&lt;0,0,IF(M72+N72+O72+U72+V72+T72+S72+R72+Q72+P72=12,0,IF(W71&gt;$H$71,12-DATEDIF($H$71,W71+1,"m"),IF(W71&lt;$F$71,0,DATEDIF($F$71,W71+1,"m")))))</f>
        <v>0</v>
      </c>
      <c r="X72" s="117">
        <f>IF(IF(M72+N72+O72+P72+V72+W72+U72+T72+S72+R72+Q72=12,0,IF(X71&gt;$H$71,12-DATEDIF($H$71,X71+1,"m"),IF(X71&lt;$F$71,0,DATEDIF($F$71,X71+1,"m"))))&lt;0,0,IF(M72+N72+O72+P72+V72+W72+U72+T72+S72+R72+Q72=12,0,IF(X71&gt;$H$71,12-DATEDIF($H$71,X71+1,"m"),IF(X71&lt;$F$71,0,DATEDIF($F$71,X71+1,"m")))))</f>
        <v>0</v>
      </c>
      <c r="Y72" s="117">
        <f>IF(IF(M72+N72+O72+P72+Q72+W72+X72+V72+U72+T72+S72+R72=12,0,IF(Y71&gt;$H$71,12-DATEDIF($H$71,Y71+1,"m"),IF(Y71&lt;$F$71,0,DATEDIF($F$71,Y71+1,"m"))))&lt;0,0,IF(M72+N72+O72+P72+Q72+W72+X72+V72+U72+T72+S72+R72=12,0,IF(Y71&gt;$H$71,12-DATEDIF($H$71,Y71+1,"m"),IF(Y71&lt;$F$71,0,DATEDIF($F$71,Y71+1,"m")))))</f>
        <v>0</v>
      </c>
      <c r="Z72" s="117">
        <f>IF(IF(M72+N72+O72+P72+Q72+R72+X72+Y72+W72+V72+U72+T72+S72=12,0,IF(Z71&gt;$H$71,12-DATEDIF($H$71,Z71+1,"m"),IF(Z71&lt;$F$71,0,DATEDIF($F$71,Z71+1,"m"))))&lt;0,0,IF(M72+N72+O72+P72+Q72+R72+X72+Y72+W72+V72+U72+T72+S72=12,0,IF(Z71&gt;$H$71,12-DATEDIF($H$71,Z71+1,"m"),IF(Z71&lt;$F$71,0,DATEDIF($F$71,Z71+1,"m")))))</f>
        <v>0</v>
      </c>
      <c r="AA72" s="117">
        <f>IF(IF(M72+N72+O72+P72+Q72+R72+S72+Y72+Z72+X72+W72+V72+U72+T72=12,0,IF(AA71&gt;$H$71,12-DATEDIF($H$71,AA71+1,"m"),IF(AA71&lt;$F$71,0,DATEDIF($F$71,AA71+1,"m"))))&lt;0,0,IF(M72+N72+O72+P72+Q72+R72+S72+Y72+Z72+X72+W72+V72+U72+T72=12,0,IF(AA71&gt;$H$71,12-DATEDIF($H$71,AA71+1,"m"),IF(AA71&lt;$F$71,0,DATEDIF($F$71,AA71+1,"m")))))</f>
        <v>0</v>
      </c>
      <c r="AB72" s="117">
        <f>IF(IF(M72+N72+O72+P72+Q72+R72+S72+T72+Z72+AA72+Y72+X72+W72+V72+U72=12,0,IF(AB71&gt;$H$71,12-DATEDIF($H$71,AB71+1,"m"),IF(AB71&lt;$F$71,0,DATEDIF($F$71,AB71+1,"m"))))&lt;0,0,IF(M72+N72+O72+P72+Q72+R72+S72+T72+Z72+AA72+Y72+X72+W72+V72+U72=12,0,IF(AB71&gt;$H$71,12-DATEDIF($H$71,AB71+1,"m"),IF(AB71&lt;$F$71,0,DATEDIF($F$71,AB71+1,"m")))))</f>
        <v>0</v>
      </c>
      <c r="AC72" s="117">
        <f>IF(IF(M72+N72+O72+P72+Q72+R72+S72+T72+U72+AA72+AB72+Z72+Y72+X72+W72+V72=12,0,IF(AC71&gt;$H$71,12-DATEDIF($H$71,AC71+1,"m"),IF(AC71&lt;$F$71,0,DATEDIF($F$71,AC71+1,"m"))))&lt;0,0,IF(M72+N72+O72+P72+Q72+R72+S72+T72+U72+AA72+AB72+Z72+Y72+X72+W72+V72=12,0,IF(AC71&gt;$H$71,12-DATEDIF($H$71,AC71+1,"m"),IF(AC71&lt;$F$71,0,DATEDIF($F$71,AC71+1,"m")))))</f>
        <v>0</v>
      </c>
      <c r="AD72" s="117">
        <f>SUM(M72:AC72)</f>
        <v>0</v>
      </c>
    </row>
    <row r="73" spans="1:30" s="155" customFormat="1" ht="3.75" customHeight="1">
      <c r="D73" s="156"/>
      <c r="M73" s="139"/>
      <c r="N73" s="139"/>
      <c r="O73" s="139"/>
      <c r="P73" s="139"/>
      <c r="Q73" s="139"/>
      <c r="R73" s="139"/>
      <c r="S73" s="139"/>
      <c r="T73" s="139"/>
      <c r="U73" s="139"/>
      <c r="V73" s="139"/>
      <c r="W73" s="139"/>
      <c r="X73" s="139"/>
      <c r="Y73" s="139"/>
      <c r="Z73" s="139"/>
      <c r="AA73" s="139"/>
      <c r="AB73" s="139"/>
      <c r="AC73" s="139"/>
      <c r="AD73" s="139"/>
    </row>
    <row r="74" spans="1:30">
      <c r="A74" s="157">
        <f>+A42</f>
        <v>0</v>
      </c>
      <c r="B74" s="158" t="str">
        <f t="shared" ref="B74:B98" si="50">IF(ISNA(VLOOKUP($A74,name_2,$B$9,0)),"",VLOOKUP($A74,name_2,$B$9,0))</f>
        <v>PI</v>
      </c>
      <c r="C74" s="159">
        <f t="shared" ref="C74:C98" si="51">IF(ISNA(VLOOKUP($A74,name_2,$C$9,0)),"",VLOOKUP($A74,name_2,$C$9,0))</f>
        <v>0</v>
      </c>
      <c r="D74" s="160">
        <f t="shared" ref="D74:D98" si="52">IF(ISNA(VLOOKUP($A74,name_2,$D$9,0)),0,VLOOKUP($A74,name_2,$D$9,0))</f>
        <v>0</v>
      </c>
      <c r="E74" s="144">
        <f>IF(ISNA($AD$72*D74),0,$AD$72*D74)</f>
        <v>0</v>
      </c>
      <c r="F74" s="161">
        <f>IF($F$71="No YEAR 3",0,IF(ISNA(VLOOKUP(A74,name_3,$F$9,0)),0,VLOOKUP(A74,name_3,$F$9,0)*(1+'1. SUMMARY'!$C$26)))</f>
        <v>0</v>
      </c>
      <c r="G74" s="146">
        <f>(F74/12)*$AD$72*D74</f>
        <v>0</v>
      </c>
      <c r="H74" s="146">
        <f>IF(ISNA(+AD74),0,AD74)</f>
        <v>0</v>
      </c>
      <c r="I74" s="147">
        <f>SUM(G74:H74)</f>
        <v>0</v>
      </c>
      <c r="M74" s="148">
        <f t="shared" ref="M74:M87" si="53">IF($M$72=0,0,((G74/$AD$72)*$M$72)*VLOOKUP(C74,benefits,2,0))</f>
        <v>0</v>
      </c>
      <c r="N74" s="148">
        <f t="shared" ref="N74:N98" si="54">IF($N$72=0,0,((G74/$AD$72)*$N$72)*VLOOKUP(C74,benefits,3,0))</f>
        <v>0</v>
      </c>
      <c r="O74" s="148">
        <f t="shared" ref="O74:O98" si="55">IF($O$72=0,0,((G74/$AD$72)*$O$72)*VLOOKUP(C74,benefits,4,0))</f>
        <v>0</v>
      </c>
      <c r="P74" s="148">
        <f t="shared" ref="P74:P98" si="56">IF($P$72=0,0,((G74/$AD$72)*$P$72)*VLOOKUP(C74,benefits,5,0))</f>
        <v>0</v>
      </c>
      <c r="Q74" s="148">
        <f t="shared" ref="Q74:Q98" si="57">IF(Q$72=0,0,(($G74/$AD$72)*Q$72)*VLOOKUP(C74,benefits,6,0))</f>
        <v>0</v>
      </c>
      <c r="R74" s="148">
        <f t="shared" ref="R74:R98" si="58">IF(R$72=0,0,(($G74/$AD$72)*R$72)*VLOOKUP(C74,benefits,7,0))</f>
        <v>0</v>
      </c>
      <c r="S74" s="148">
        <f t="shared" ref="S74:S98" si="59">IF(S$72=0,0,(($G74/$AD$72)*S$72)*VLOOKUP(C74,benefits,8,0))</f>
        <v>0</v>
      </c>
      <c r="T74" s="148">
        <f t="shared" ref="T74:AC83" si="60">IF(T$72=0,0,(($G74/$AD$72)*T$72)*VLOOKUP($C74,benefits,9,0))</f>
        <v>0</v>
      </c>
      <c r="U74" s="148">
        <f t="shared" si="60"/>
        <v>0</v>
      </c>
      <c r="V74" s="148">
        <f t="shared" si="60"/>
        <v>0</v>
      </c>
      <c r="W74" s="148">
        <f t="shared" si="60"/>
        <v>0</v>
      </c>
      <c r="X74" s="148">
        <f t="shared" si="60"/>
        <v>0</v>
      </c>
      <c r="Y74" s="148">
        <f t="shared" si="60"/>
        <v>0</v>
      </c>
      <c r="Z74" s="148">
        <f t="shared" si="60"/>
        <v>0</v>
      </c>
      <c r="AA74" s="148">
        <f t="shared" si="60"/>
        <v>0</v>
      </c>
      <c r="AB74" s="148">
        <f t="shared" si="60"/>
        <v>0</v>
      </c>
      <c r="AC74" s="148">
        <f t="shared" si="60"/>
        <v>0</v>
      </c>
      <c r="AD74" s="148">
        <f>SUM(M74:AC74)</f>
        <v>0</v>
      </c>
    </row>
    <row r="75" spans="1:30">
      <c r="A75" s="140">
        <f>+A43</f>
        <v>0</v>
      </c>
      <c r="B75" s="162" t="str">
        <f t="shared" si="50"/>
        <v>PI</v>
      </c>
      <c r="C75" s="159">
        <f t="shared" si="51"/>
        <v>0</v>
      </c>
      <c r="D75" s="160">
        <f t="shared" si="52"/>
        <v>0</v>
      </c>
      <c r="E75" s="144">
        <f t="shared" ref="E75:E98" si="61">IF(ISNA($AD$72*D75),0,$AD$72*D75)</f>
        <v>0</v>
      </c>
      <c r="F75" s="161">
        <f>IF($F$71="No YEAR 3",0,IF(ISNA(VLOOKUP(A75,name_3,$F$9,0)),0,VLOOKUP(A75,name_3,$F$9,0)*(1+'1. SUMMARY'!$C$26)))</f>
        <v>0</v>
      </c>
      <c r="G75" s="146">
        <f t="shared" ref="G75:G98" si="62">(F75/12)*$AD$72*D75</f>
        <v>0</v>
      </c>
      <c r="H75" s="146">
        <f t="shared" ref="H75:H98" si="63">IF(ISNA(+AD75),0,AD75)</f>
        <v>0</v>
      </c>
      <c r="I75" s="147">
        <f t="shared" ref="I75:I98" si="64">SUM(G75:H75)</f>
        <v>0</v>
      </c>
      <c r="J75" s="163"/>
      <c r="M75" s="148">
        <f t="shared" si="53"/>
        <v>0</v>
      </c>
      <c r="N75" s="148">
        <f t="shared" si="54"/>
        <v>0</v>
      </c>
      <c r="O75" s="148">
        <f t="shared" si="55"/>
        <v>0</v>
      </c>
      <c r="P75" s="148">
        <f t="shared" si="56"/>
        <v>0</v>
      </c>
      <c r="Q75" s="148">
        <f t="shared" si="57"/>
        <v>0</v>
      </c>
      <c r="R75" s="148">
        <f t="shared" si="58"/>
        <v>0</v>
      </c>
      <c r="S75" s="148">
        <f t="shared" si="59"/>
        <v>0</v>
      </c>
      <c r="T75" s="148">
        <f t="shared" si="60"/>
        <v>0</v>
      </c>
      <c r="U75" s="148">
        <f t="shared" si="60"/>
        <v>0</v>
      </c>
      <c r="V75" s="148">
        <f t="shared" si="60"/>
        <v>0</v>
      </c>
      <c r="W75" s="148">
        <f t="shared" si="60"/>
        <v>0</v>
      </c>
      <c r="X75" s="148">
        <f t="shared" si="60"/>
        <v>0</v>
      </c>
      <c r="Y75" s="148">
        <f t="shared" si="60"/>
        <v>0</v>
      </c>
      <c r="Z75" s="148">
        <f t="shared" si="60"/>
        <v>0</v>
      </c>
      <c r="AA75" s="148">
        <f t="shared" si="60"/>
        <v>0</v>
      </c>
      <c r="AB75" s="148">
        <f t="shared" si="60"/>
        <v>0</v>
      </c>
      <c r="AC75" s="148">
        <f t="shared" si="60"/>
        <v>0</v>
      </c>
      <c r="AD75" s="148">
        <f t="shared" ref="AD75:AD98" si="65">SUM(M75:AC75)</f>
        <v>0</v>
      </c>
    </row>
    <row r="76" spans="1:30">
      <c r="A76" s="140">
        <f t="shared" ref="A76:A98" si="66">+A44</f>
        <v>0</v>
      </c>
      <c r="B76" s="162" t="str">
        <f t="shared" si="50"/>
        <v>PI</v>
      </c>
      <c r="C76" s="159">
        <f t="shared" si="51"/>
        <v>0</v>
      </c>
      <c r="D76" s="160">
        <f t="shared" si="52"/>
        <v>0</v>
      </c>
      <c r="E76" s="144">
        <f t="shared" si="61"/>
        <v>0</v>
      </c>
      <c r="F76" s="161">
        <f>IF($F$71="No YEAR 3",0,IF(ISNA(VLOOKUP(A76,name_3,$F$9,0)),0,VLOOKUP(A76,name_3,$F$9,0)*(1+'1. SUMMARY'!$C$26)))</f>
        <v>0</v>
      </c>
      <c r="G76" s="146">
        <f t="shared" si="62"/>
        <v>0</v>
      </c>
      <c r="H76" s="146">
        <f t="shared" si="63"/>
        <v>0</v>
      </c>
      <c r="I76" s="147">
        <f t="shared" si="64"/>
        <v>0</v>
      </c>
      <c r="M76" s="148">
        <f t="shared" si="53"/>
        <v>0</v>
      </c>
      <c r="N76" s="148">
        <f t="shared" si="54"/>
        <v>0</v>
      </c>
      <c r="O76" s="148">
        <f t="shared" si="55"/>
        <v>0</v>
      </c>
      <c r="P76" s="148">
        <f t="shared" si="56"/>
        <v>0</v>
      </c>
      <c r="Q76" s="148">
        <f t="shared" si="57"/>
        <v>0</v>
      </c>
      <c r="R76" s="148">
        <f t="shared" si="58"/>
        <v>0</v>
      </c>
      <c r="S76" s="148">
        <f t="shared" si="59"/>
        <v>0</v>
      </c>
      <c r="T76" s="148">
        <f t="shared" si="60"/>
        <v>0</v>
      </c>
      <c r="U76" s="148">
        <f t="shared" si="60"/>
        <v>0</v>
      </c>
      <c r="V76" s="148">
        <f t="shared" si="60"/>
        <v>0</v>
      </c>
      <c r="W76" s="148">
        <f t="shared" si="60"/>
        <v>0</v>
      </c>
      <c r="X76" s="148">
        <f t="shared" si="60"/>
        <v>0</v>
      </c>
      <c r="Y76" s="148">
        <f t="shared" si="60"/>
        <v>0</v>
      </c>
      <c r="Z76" s="148">
        <f t="shared" si="60"/>
        <v>0</v>
      </c>
      <c r="AA76" s="148">
        <f t="shared" si="60"/>
        <v>0</v>
      </c>
      <c r="AB76" s="148">
        <f t="shared" si="60"/>
        <v>0</v>
      </c>
      <c r="AC76" s="148">
        <f t="shared" si="60"/>
        <v>0</v>
      </c>
      <c r="AD76" s="148">
        <f t="shared" si="65"/>
        <v>0</v>
      </c>
    </row>
    <row r="77" spans="1:30">
      <c r="A77" s="140">
        <f t="shared" si="66"/>
        <v>0</v>
      </c>
      <c r="B77" s="162" t="str">
        <f t="shared" si="50"/>
        <v>PI</v>
      </c>
      <c r="C77" s="159">
        <f t="shared" si="51"/>
        <v>0</v>
      </c>
      <c r="D77" s="160">
        <f t="shared" si="52"/>
        <v>0</v>
      </c>
      <c r="E77" s="144">
        <f t="shared" si="61"/>
        <v>0</v>
      </c>
      <c r="F77" s="161">
        <f>IF($F$71="No YEAR 3",0,IF(ISNA(VLOOKUP(A77,name_3,$F$9,0)),0,VLOOKUP(A77,name_3,$F$9,0)*(1+'1. SUMMARY'!$C$26)))</f>
        <v>0</v>
      </c>
      <c r="G77" s="146">
        <f t="shared" si="62"/>
        <v>0</v>
      </c>
      <c r="H77" s="146">
        <f t="shared" si="63"/>
        <v>0</v>
      </c>
      <c r="I77" s="147">
        <f t="shared" si="64"/>
        <v>0</v>
      </c>
      <c r="M77" s="148">
        <f t="shared" si="53"/>
        <v>0</v>
      </c>
      <c r="N77" s="148">
        <f t="shared" si="54"/>
        <v>0</v>
      </c>
      <c r="O77" s="148">
        <f t="shared" si="55"/>
        <v>0</v>
      </c>
      <c r="P77" s="148">
        <f t="shared" ref="P77:P86" si="67">IF($P$72=0,0,((G77/$AD$72)*$P$72)*VLOOKUP(C77,benefits,5,0))</f>
        <v>0</v>
      </c>
      <c r="Q77" s="148">
        <f t="shared" ref="Q77:Q86" si="68">IF(Q$72=0,0,(($G77/$AD$72)*Q$72)*VLOOKUP(C77,benefits,6,0))</f>
        <v>0</v>
      </c>
      <c r="R77" s="148">
        <f t="shared" ref="R77:R86" si="69">IF(R$72=0,0,(($G77/$AD$72)*R$72)*VLOOKUP(C77,benefits,7,0))</f>
        <v>0</v>
      </c>
      <c r="S77" s="148">
        <f t="shared" ref="S77:S86" si="70">IF(S$72=0,0,(($G77/$AD$72)*S$72)*VLOOKUP(C77,benefits,8,0))</f>
        <v>0</v>
      </c>
      <c r="T77" s="148">
        <f t="shared" si="60"/>
        <v>0</v>
      </c>
      <c r="U77" s="148">
        <f t="shared" si="60"/>
        <v>0</v>
      </c>
      <c r="V77" s="148">
        <f t="shared" si="60"/>
        <v>0</v>
      </c>
      <c r="W77" s="148">
        <f t="shared" si="60"/>
        <v>0</v>
      </c>
      <c r="X77" s="148">
        <f t="shared" si="60"/>
        <v>0</v>
      </c>
      <c r="Y77" s="148">
        <f t="shared" si="60"/>
        <v>0</v>
      </c>
      <c r="Z77" s="148">
        <f t="shared" si="60"/>
        <v>0</v>
      </c>
      <c r="AA77" s="148">
        <f t="shared" si="60"/>
        <v>0</v>
      </c>
      <c r="AB77" s="148">
        <f t="shared" si="60"/>
        <v>0</v>
      </c>
      <c r="AC77" s="148">
        <f t="shared" si="60"/>
        <v>0</v>
      </c>
      <c r="AD77" s="148">
        <f t="shared" si="65"/>
        <v>0</v>
      </c>
    </row>
    <row r="78" spans="1:30">
      <c r="A78" s="140">
        <f t="shared" si="66"/>
        <v>0</v>
      </c>
      <c r="B78" s="162" t="str">
        <f t="shared" si="50"/>
        <v>PI</v>
      </c>
      <c r="C78" s="159">
        <f t="shared" si="51"/>
        <v>0</v>
      </c>
      <c r="D78" s="160">
        <f t="shared" si="52"/>
        <v>0</v>
      </c>
      <c r="E78" s="144">
        <f t="shared" si="61"/>
        <v>0</v>
      </c>
      <c r="F78" s="161">
        <f>IF($F$71="No YEAR 3",0,IF(ISNA(VLOOKUP(A78,name_3,$F$9,0)),0,VLOOKUP(A78,name_3,$F$9,0)*(1+'1. SUMMARY'!$C$26)))</f>
        <v>0</v>
      </c>
      <c r="G78" s="146">
        <f t="shared" si="62"/>
        <v>0</v>
      </c>
      <c r="H78" s="146">
        <f t="shared" si="63"/>
        <v>0</v>
      </c>
      <c r="I78" s="147">
        <f t="shared" si="64"/>
        <v>0</v>
      </c>
      <c r="M78" s="148">
        <f t="shared" si="53"/>
        <v>0</v>
      </c>
      <c r="N78" s="148">
        <f t="shared" si="54"/>
        <v>0</v>
      </c>
      <c r="O78" s="148">
        <f t="shared" si="55"/>
        <v>0</v>
      </c>
      <c r="P78" s="148">
        <f t="shared" si="67"/>
        <v>0</v>
      </c>
      <c r="Q78" s="148">
        <f t="shared" si="68"/>
        <v>0</v>
      </c>
      <c r="R78" s="148">
        <f t="shared" si="69"/>
        <v>0</v>
      </c>
      <c r="S78" s="148">
        <f t="shared" si="70"/>
        <v>0</v>
      </c>
      <c r="T78" s="148">
        <f t="shared" si="60"/>
        <v>0</v>
      </c>
      <c r="U78" s="148">
        <f t="shared" si="60"/>
        <v>0</v>
      </c>
      <c r="V78" s="148">
        <f t="shared" si="60"/>
        <v>0</v>
      </c>
      <c r="W78" s="148">
        <f t="shared" si="60"/>
        <v>0</v>
      </c>
      <c r="X78" s="148">
        <f t="shared" si="60"/>
        <v>0</v>
      </c>
      <c r="Y78" s="148">
        <f t="shared" si="60"/>
        <v>0</v>
      </c>
      <c r="Z78" s="148">
        <f t="shared" si="60"/>
        <v>0</v>
      </c>
      <c r="AA78" s="148">
        <f t="shared" si="60"/>
        <v>0</v>
      </c>
      <c r="AB78" s="148">
        <f t="shared" si="60"/>
        <v>0</v>
      </c>
      <c r="AC78" s="148">
        <f t="shared" si="60"/>
        <v>0</v>
      </c>
      <c r="AD78" s="148">
        <f t="shared" si="65"/>
        <v>0</v>
      </c>
    </row>
    <row r="79" spans="1:30">
      <c r="A79" s="140">
        <f t="shared" si="66"/>
        <v>0</v>
      </c>
      <c r="B79" s="162" t="str">
        <f t="shared" si="50"/>
        <v>PI</v>
      </c>
      <c r="C79" s="159">
        <f t="shared" si="51"/>
        <v>0</v>
      </c>
      <c r="D79" s="160">
        <f t="shared" si="52"/>
        <v>0</v>
      </c>
      <c r="E79" s="144">
        <f t="shared" si="61"/>
        <v>0</v>
      </c>
      <c r="F79" s="161">
        <f>IF($F$71="No YEAR 3",0,IF(ISNA(VLOOKUP(A79,name_3,$F$9,0)),0,VLOOKUP(A79,name_3,$F$9,0)*(1+'1. SUMMARY'!$C$26)))</f>
        <v>0</v>
      </c>
      <c r="G79" s="146">
        <f t="shared" si="62"/>
        <v>0</v>
      </c>
      <c r="H79" s="146">
        <f t="shared" si="63"/>
        <v>0</v>
      </c>
      <c r="I79" s="147">
        <f t="shared" si="64"/>
        <v>0</v>
      </c>
      <c r="M79" s="148">
        <f t="shared" si="53"/>
        <v>0</v>
      </c>
      <c r="N79" s="148">
        <f t="shared" si="54"/>
        <v>0</v>
      </c>
      <c r="O79" s="148">
        <f t="shared" si="55"/>
        <v>0</v>
      </c>
      <c r="P79" s="148">
        <f t="shared" si="67"/>
        <v>0</v>
      </c>
      <c r="Q79" s="148">
        <f t="shared" si="68"/>
        <v>0</v>
      </c>
      <c r="R79" s="148">
        <f t="shared" si="69"/>
        <v>0</v>
      </c>
      <c r="S79" s="148">
        <f t="shared" si="70"/>
        <v>0</v>
      </c>
      <c r="T79" s="148">
        <f t="shared" si="60"/>
        <v>0</v>
      </c>
      <c r="U79" s="148">
        <f t="shared" si="60"/>
        <v>0</v>
      </c>
      <c r="V79" s="148">
        <f t="shared" si="60"/>
        <v>0</v>
      </c>
      <c r="W79" s="148">
        <f t="shared" si="60"/>
        <v>0</v>
      </c>
      <c r="X79" s="148">
        <f t="shared" si="60"/>
        <v>0</v>
      </c>
      <c r="Y79" s="148">
        <f t="shared" si="60"/>
        <v>0</v>
      </c>
      <c r="Z79" s="148">
        <f t="shared" si="60"/>
        <v>0</v>
      </c>
      <c r="AA79" s="148">
        <f t="shared" si="60"/>
        <v>0</v>
      </c>
      <c r="AB79" s="148">
        <f t="shared" si="60"/>
        <v>0</v>
      </c>
      <c r="AC79" s="148">
        <f t="shared" si="60"/>
        <v>0</v>
      </c>
      <c r="AD79" s="148">
        <f t="shared" si="65"/>
        <v>0</v>
      </c>
    </row>
    <row r="80" spans="1:30">
      <c r="A80" s="140">
        <f t="shared" si="66"/>
        <v>0</v>
      </c>
      <c r="B80" s="162" t="str">
        <f t="shared" si="50"/>
        <v>PI</v>
      </c>
      <c r="C80" s="159">
        <f t="shared" si="51"/>
        <v>0</v>
      </c>
      <c r="D80" s="160">
        <f t="shared" si="52"/>
        <v>0</v>
      </c>
      <c r="E80" s="144">
        <f t="shared" si="61"/>
        <v>0</v>
      </c>
      <c r="F80" s="161">
        <f>IF($F$71="No YEAR 3",0,IF(ISNA(VLOOKUP(A80,name_3,$F$9,0)),0,VLOOKUP(A80,name_3,$F$9,0)*(1+'1. SUMMARY'!$C$26)))</f>
        <v>0</v>
      </c>
      <c r="G80" s="146">
        <f t="shared" si="62"/>
        <v>0</v>
      </c>
      <c r="H80" s="146">
        <f t="shared" si="63"/>
        <v>0</v>
      </c>
      <c r="I80" s="147">
        <f t="shared" si="64"/>
        <v>0</v>
      </c>
      <c r="M80" s="148">
        <f t="shared" si="53"/>
        <v>0</v>
      </c>
      <c r="N80" s="148">
        <f t="shared" si="54"/>
        <v>0</v>
      </c>
      <c r="O80" s="148">
        <f t="shared" si="55"/>
        <v>0</v>
      </c>
      <c r="P80" s="148">
        <f t="shared" si="67"/>
        <v>0</v>
      </c>
      <c r="Q80" s="148">
        <f t="shared" si="68"/>
        <v>0</v>
      </c>
      <c r="R80" s="148">
        <f t="shared" si="69"/>
        <v>0</v>
      </c>
      <c r="S80" s="148">
        <f t="shared" si="70"/>
        <v>0</v>
      </c>
      <c r="T80" s="148">
        <f t="shared" si="60"/>
        <v>0</v>
      </c>
      <c r="U80" s="148">
        <f t="shared" si="60"/>
        <v>0</v>
      </c>
      <c r="V80" s="148">
        <f t="shared" si="60"/>
        <v>0</v>
      </c>
      <c r="W80" s="148">
        <f t="shared" si="60"/>
        <v>0</v>
      </c>
      <c r="X80" s="148">
        <f t="shared" si="60"/>
        <v>0</v>
      </c>
      <c r="Y80" s="148">
        <f t="shared" si="60"/>
        <v>0</v>
      </c>
      <c r="Z80" s="148">
        <f t="shared" si="60"/>
        <v>0</v>
      </c>
      <c r="AA80" s="148">
        <f t="shared" si="60"/>
        <v>0</v>
      </c>
      <c r="AB80" s="148">
        <f t="shared" si="60"/>
        <v>0</v>
      </c>
      <c r="AC80" s="148">
        <f t="shared" si="60"/>
        <v>0</v>
      </c>
      <c r="AD80" s="148">
        <f t="shared" si="65"/>
        <v>0</v>
      </c>
    </row>
    <row r="81" spans="1:30">
      <c r="A81" s="140">
        <f t="shared" si="66"/>
        <v>0</v>
      </c>
      <c r="B81" s="162" t="str">
        <f t="shared" si="50"/>
        <v>PI</v>
      </c>
      <c r="C81" s="159">
        <f t="shared" si="51"/>
        <v>0</v>
      </c>
      <c r="D81" s="160">
        <f t="shared" si="52"/>
        <v>0</v>
      </c>
      <c r="E81" s="144">
        <f t="shared" si="61"/>
        <v>0</v>
      </c>
      <c r="F81" s="161">
        <f>IF($F$71="No YEAR 3",0,IF(ISNA(VLOOKUP(A81,name_3,$F$9,0)),0,VLOOKUP(A81,name_3,$F$9,0)*(1+'1. SUMMARY'!$C$26)))</f>
        <v>0</v>
      </c>
      <c r="G81" s="146">
        <f t="shared" si="62"/>
        <v>0</v>
      </c>
      <c r="H81" s="146">
        <f t="shared" si="63"/>
        <v>0</v>
      </c>
      <c r="I81" s="147">
        <f t="shared" si="64"/>
        <v>0</v>
      </c>
      <c r="M81" s="148">
        <f t="shared" si="53"/>
        <v>0</v>
      </c>
      <c r="N81" s="148">
        <f t="shared" si="54"/>
        <v>0</v>
      </c>
      <c r="O81" s="148">
        <f t="shared" si="55"/>
        <v>0</v>
      </c>
      <c r="P81" s="148">
        <f t="shared" si="67"/>
        <v>0</v>
      </c>
      <c r="Q81" s="148">
        <f t="shared" si="68"/>
        <v>0</v>
      </c>
      <c r="R81" s="148">
        <f t="shared" si="69"/>
        <v>0</v>
      </c>
      <c r="S81" s="148">
        <f t="shared" si="70"/>
        <v>0</v>
      </c>
      <c r="T81" s="148">
        <f t="shared" si="60"/>
        <v>0</v>
      </c>
      <c r="U81" s="148">
        <f t="shared" si="60"/>
        <v>0</v>
      </c>
      <c r="V81" s="148">
        <f t="shared" si="60"/>
        <v>0</v>
      </c>
      <c r="W81" s="148">
        <f t="shared" si="60"/>
        <v>0</v>
      </c>
      <c r="X81" s="148">
        <f t="shared" si="60"/>
        <v>0</v>
      </c>
      <c r="Y81" s="148">
        <f t="shared" si="60"/>
        <v>0</v>
      </c>
      <c r="Z81" s="148">
        <f t="shared" si="60"/>
        <v>0</v>
      </c>
      <c r="AA81" s="148">
        <f t="shared" si="60"/>
        <v>0</v>
      </c>
      <c r="AB81" s="148">
        <f t="shared" si="60"/>
        <v>0</v>
      </c>
      <c r="AC81" s="148">
        <f t="shared" si="60"/>
        <v>0</v>
      </c>
      <c r="AD81" s="148">
        <f t="shared" si="65"/>
        <v>0</v>
      </c>
    </row>
    <row r="82" spans="1:30">
      <c r="A82" s="140">
        <f t="shared" si="66"/>
        <v>0</v>
      </c>
      <c r="B82" s="162" t="str">
        <f t="shared" si="50"/>
        <v>PI</v>
      </c>
      <c r="C82" s="159">
        <f t="shared" si="51"/>
        <v>0</v>
      </c>
      <c r="D82" s="160">
        <f t="shared" si="52"/>
        <v>0</v>
      </c>
      <c r="E82" s="144">
        <f t="shared" si="61"/>
        <v>0</v>
      </c>
      <c r="F82" s="161">
        <f>IF($F$71="No YEAR 3",0,IF(ISNA(VLOOKUP(A82,name_3,$F$9,0)),0,VLOOKUP(A82,name_3,$F$9,0)*(1+'1. SUMMARY'!$C$26)))</f>
        <v>0</v>
      </c>
      <c r="G82" s="146">
        <f t="shared" si="62"/>
        <v>0</v>
      </c>
      <c r="H82" s="146">
        <f t="shared" si="63"/>
        <v>0</v>
      </c>
      <c r="I82" s="147">
        <f t="shared" si="64"/>
        <v>0</v>
      </c>
      <c r="M82" s="148">
        <f t="shared" si="53"/>
        <v>0</v>
      </c>
      <c r="N82" s="148">
        <f t="shared" si="54"/>
        <v>0</v>
      </c>
      <c r="O82" s="148">
        <f t="shared" si="55"/>
        <v>0</v>
      </c>
      <c r="P82" s="148">
        <f t="shared" si="67"/>
        <v>0</v>
      </c>
      <c r="Q82" s="148">
        <f t="shared" si="68"/>
        <v>0</v>
      </c>
      <c r="R82" s="148">
        <f t="shared" si="69"/>
        <v>0</v>
      </c>
      <c r="S82" s="148">
        <f t="shared" si="70"/>
        <v>0</v>
      </c>
      <c r="T82" s="148">
        <f t="shared" si="60"/>
        <v>0</v>
      </c>
      <c r="U82" s="148">
        <f t="shared" si="60"/>
        <v>0</v>
      </c>
      <c r="V82" s="148">
        <f t="shared" si="60"/>
        <v>0</v>
      </c>
      <c r="W82" s="148">
        <f t="shared" si="60"/>
        <v>0</v>
      </c>
      <c r="X82" s="148">
        <f t="shared" si="60"/>
        <v>0</v>
      </c>
      <c r="Y82" s="148">
        <f t="shared" si="60"/>
        <v>0</v>
      </c>
      <c r="Z82" s="148">
        <f t="shared" si="60"/>
        <v>0</v>
      </c>
      <c r="AA82" s="148">
        <f t="shared" si="60"/>
        <v>0</v>
      </c>
      <c r="AB82" s="148">
        <f t="shared" si="60"/>
        <v>0</v>
      </c>
      <c r="AC82" s="148">
        <f t="shared" si="60"/>
        <v>0</v>
      </c>
      <c r="AD82" s="148">
        <f t="shared" si="65"/>
        <v>0</v>
      </c>
    </row>
    <row r="83" spans="1:30">
      <c r="A83" s="140">
        <f t="shared" si="66"/>
        <v>0</v>
      </c>
      <c r="B83" s="162" t="str">
        <f t="shared" si="50"/>
        <v>PI</v>
      </c>
      <c r="C83" s="159">
        <f t="shared" si="51"/>
        <v>0</v>
      </c>
      <c r="D83" s="160">
        <f t="shared" si="52"/>
        <v>0</v>
      </c>
      <c r="E83" s="144">
        <f t="shared" si="61"/>
        <v>0</v>
      </c>
      <c r="F83" s="161">
        <f>IF($F$71="No YEAR 3",0,IF(ISNA(VLOOKUP(A83,name_3,$F$9,0)),0,VLOOKUP(A83,name_3,$F$9,0)*(1+'1. SUMMARY'!$C$26)))</f>
        <v>0</v>
      </c>
      <c r="G83" s="146">
        <f t="shared" si="62"/>
        <v>0</v>
      </c>
      <c r="H83" s="146">
        <f t="shared" si="63"/>
        <v>0</v>
      </c>
      <c r="I83" s="147">
        <f t="shared" si="64"/>
        <v>0</v>
      </c>
      <c r="M83" s="148">
        <f t="shared" si="53"/>
        <v>0</v>
      </c>
      <c r="N83" s="148">
        <f t="shared" si="54"/>
        <v>0</v>
      </c>
      <c r="O83" s="148">
        <f t="shared" si="55"/>
        <v>0</v>
      </c>
      <c r="P83" s="148">
        <f t="shared" si="67"/>
        <v>0</v>
      </c>
      <c r="Q83" s="148">
        <f t="shared" si="68"/>
        <v>0</v>
      </c>
      <c r="R83" s="148">
        <f t="shared" si="69"/>
        <v>0</v>
      </c>
      <c r="S83" s="148">
        <f t="shared" si="70"/>
        <v>0</v>
      </c>
      <c r="T83" s="148">
        <f t="shared" si="60"/>
        <v>0</v>
      </c>
      <c r="U83" s="148">
        <f t="shared" si="60"/>
        <v>0</v>
      </c>
      <c r="V83" s="148">
        <f t="shared" si="60"/>
        <v>0</v>
      </c>
      <c r="W83" s="148">
        <f t="shared" si="60"/>
        <v>0</v>
      </c>
      <c r="X83" s="148">
        <f t="shared" si="60"/>
        <v>0</v>
      </c>
      <c r="Y83" s="148">
        <f t="shared" si="60"/>
        <v>0</v>
      </c>
      <c r="Z83" s="148">
        <f t="shared" si="60"/>
        <v>0</v>
      </c>
      <c r="AA83" s="148">
        <f t="shared" si="60"/>
        <v>0</v>
      </c>
      <c r="AB83" s="148">
        <f t="shared" si="60"/>
        <v>0</v>
      </c>
      <c r="AC83" s="148">
        <f t="shared" si="60"/>
        <v>0</v>
      </c>
      <c r="AD83" s="148">
        <f t="shared" si="65"/>
        <v>0</v>
      </c>
    </row>
    <row r="84" spans="1:30">
      <c r="A84" s="140">
        <f t="shared" si="66"/>
        <v>0</v>
      </c>
      <c r="B84" s="162" t="str">
        <f t="shared" si="50"/>
        <v>PI</v>
      </c>
      <c r="C84" s="159">
        <f t="shared" si="51"/>
        <v>0</v>
      </c>
      <c r="D84" s="160">
        <f t="shared" si="52"/>
        <v>0</v>
      </c>
      <c r="E84" s="144">
        <f t="shared" si="61"/>
        <v>0</v>
      </c>
      <c r="F84" s="161">
        <f>IF($F$71="No YEAR 3",0,IF(ISNA(VLOOKUP(A84,name_3,$F$9,0)),0,VLOOKUP(A84,name_3,$F$9,0)*(1+'1. SUMMARY'!$C$26)))</f>
        <v>0</v>
      </c>
      <c r="G84" s="146">
        <f t="shared" si="62"/>
        <v>0</v>
      </c>
      <c r="H84" s="146">
        <f t="shared" si="63"/>
        <v>0</v>
      </c>
      <c r="I84" s="147">
        <f t="shared" si="64"/>
        <v>0</v>
      </c>
      <c r="M84" s="148">
        <f t="shared" si="53"/>
        <v>0</v>
      </c>
      <c r="N84" s="148">
        <f t="shared" si="54"/>
        <v>0</v>
      </c>
      <c r="O84" s="148">
        <f t="shared" si="55"/>
        <v>0</v>
      </c>
      <c r="P84" s="148">
        <f t="shared" si="67"/>
        <v>0</v>
      </c>
      <c r="Q84" s="148">
        <f t="shared" si="68"/>
        <v>0</v>
      </c>
      <c r="R84" s="148">
        <f t="shared" si="69"/>
        <v>0</v>
      </c>
      <c r="S84" s="148">
        <f t="shared" si="70"/>
        <v>0</v>
      </c>
      <c r="T84" s="148">
        <f t="shared" ref="T84:AC98" si="71">IF(T$72=0,0,(($G84/$AD$72)*T$72)*VLOOKUP($C84,benefits,9,0))</f>
        <v>0</v>
      </c>
      <c r="U84" s="148">
        <f t="shared" si="71"/>
        <v>0</v>
      </c>
      <c r="V84" s="148">
        <f t="shared" si="71"/>
        <v>0</v>
      </c>
      <c r="W84" s="148">
        <f t="shared" si="71"/>
        <v>0</v>
      </c>
      <c r="X84" s="148">
        <f t="shared" si="71"/>
        <v>0</v>
      </c>
      <c r="Y84" s="148">
        <f t="shared" si="71"/>
        <v>0</v>
      </c>
      <c r="Z84" s="148">
        <f t="shared" si="71"/>
        <v>0</v>
      </c>
      <c r="AA84" s="148">
        <f t="shared" si="71"/>
        <v>0</v>
      </c>
      <c r="AB84" s="148">
        <f t="shared" si="71"/>
        <v>0</v>
      </c>
      <c r="AC84" s="148">
        <f t="shared" si="71"/>
        <v>0</v>
      </c>
      <c r="AD84" s="148">
        <f t="shared" si="65"/>
        <v>0</v>
      </c>
    </row>
    <row r="85" spans="1:30">
      <c r="A85" s="140">
        <f t="shared" si="66"/>
        <v>0</v>
      </c>
      <c r="B85" s="162" t="str">
        <f t="shared" si="50"/>
        <v>PI</v>
      </c>
      <c r="C85" s="159">
        <f t="shared" si="51"/>
        <v>0</v>
      </c>
      <c r="D85" s="160">
        <f t="shared" si="52"/>
        <v>0</v>
      </c>
      <c r="E85" s="144">
        <f t="shared" si="61"/>
        <v>0</v>
      </c>
      <c r="F85" s="161">
        <f>IF($F$71="No YEAR 3",0,IF(ISNA(VLOOKUP(A85,name_3,$F$9,0)),0,VLOOKUP(A85,name_3,$F$9,0)*(1+'1. SUMMARY'!$C$26)))</f>
        <v>0</v>
      </c>
      <c r="G85" s="146">
        <f t="shared" si="62"/>
        <v>0</v>
      </c>
      <c r="H85" s="146">
        <f t="shared" si="63"/>
        <v>0</v>
      </c>
      <c r="I85" s="147">
        <f t="shared" si="64"/>
        <v>0</v>
      </c>
      <c r="M85" s="148">
        <f t="shared" si="53"/>
        <v>0</v>
      </c>
      <c r="N85" s="148">
        <f t="shared" si="54"/>
        <v>0</v>
      </c>
      <c r="O85" s="148">
        <f t="shared" si="55"/>
        <v>0</v>
      </c>
      <c r="P85" s="148">
        <f t="shared" si="67"/>
        <v>0</v>
      </c>
      <c r="Q85" s="148">
        <f t="shared" si="68"/>
        <v>0</v>
      </c>
      <c r="R85" s="148">
        <f t="shared" si="69"/>
        <v>0</v>
      </c>
      <c r="S85" s="148">
        <f t="shared" si="70"/>
        <v>0</v>
      </c>
      <c r="T85" s="148">
        <f t="shared" si="71"/>
        <v>0</v>
      </c>
      <c r="U85" s="148">
        <f t="shared" si="71"/>
        <v>0</v>
      </c>
      <c r="V85" s="148">
        <f t="shared" si="71"/>
        <v>0</v>
      </c>
      <c r="W85" s="148">
        <f t="shared" si="71"/>
        <v>0</v>
      </c>
      <c r="X85" s="148">
        <f t="shared" si="71"/>
        <v>0</v>
      </c>
      <c r="Y85" s="148">
        <f t="shared" si="71"/>
        <v>0</v>
      </c>
      <c r="Z85" s="148">
        <f t="shared" si="71"/>
        <v>0</v>
      </c>
      <c r="AA85" s="148">
        <f t="shared" si="71"/>
        <v>0</v>
      </c>
      <c r="AB85" s="148">
        <f t="shared" si="71"/>
        <v>0</v>
      </c>
      <c r="AC85" s="148">
        <f t="shared" si="71"/>
        <v>0</v>
      </c>
      <c r="AD85" s="148">
        <f t="shared" si="65"/>
        <v>0</v>
      </c>
    </row>
    <row r="86" spans="1:30">
      <c r="A86" s="140">
        <f t="shared" si="66"/>
        <v>0</v>
      </c>
      <c r="B86" s="162" t="str">
        <f t="shared" si="50"/>
        <v>PI</v>
      </c>
      <c r="C86" s="159">
        <f t="shared" si="51"/>
        <v>0</v>
      </c>
      <c r="D86" s="160">
        <f t="shared" si="52"/>
        <v>0</v>
      </c>
      <c r="E86" s="144">
        <f t="shared" si="61"/>
        <v>0</v>
      </c>
      <c r="F86" s="161">
        <f>IF($F$71="No YEAR 3",0,IF(ISNA(VLOOKUP(A86,name_3,$F$9,0)),0,VLOOKUP(A86,name_3,$F$9,0)*(1+'1. SUMMARY'!$C$26)))</f>
        <v>0</v>
      </c>
      <c r="G86" s="146">
        <f t="shared" si="62"/>
        <v>0</v>
      </c>
      <c r="H86" s="146">
        <f t="shared" si="63"/>
        <v>0</v>
      </c>
      <c r="I86" s="147">
        <f t="shared" si="64"/>
        <v>0</v>
      </c>
      <c r="M86" s="148">
        <f t="shared" si="53"/>
        <v>0</v>
      </c>
      <c r="N86" s="148">
        <f t="shared" si="54"/>
        <v>0</v>
      </c>
      <c r="O86" s="148">
        <f t="shared" si="55"/>
        <v>0</v>
      </c>
      <c r="P86" s="148">
        <f t="shared" si="67"/>
        <v>0</v>
      </c>
      <c r="Q86" s="148">
        <f t="shared" si="68"/>
        <v>0</v>
      </c>
      <c r="R86" s="148">
        <f t="shared" si="69"/>
        <v>0</v>
      </c>
      <c r="S86" s="148">
        <f t="shared" si="70"/>
        <v>0</v>
      </c>
      <c r="T86" s="148">
        <f t="shared" si="71"/>
        <v>0</v>
      </c>
      <c r="U86" s="148">
        <f t="shared" si="71"/>
        <v>0</v>
      </c>
      <c r="V86" s="148">
        <f t="shared" si="71"/>
        <v>0</v>
      </c>
      <c r="W86" s="148">
        <f t="shared" si="71"/>
        <v>0</v>
      </c>
      <c r="X86" s="148">
        <f t="shared" si="71"/>
        <v>0</v>
      </c>
      <c r="Y86" s="148">
        <f t="shared" si="71"/>
        <v>0</v>
      </c>
      <c r="Z86" s="148">
        <f t="shared" si="71"/>
        <v>0</v>
      </c>
      <c r="AA86" s="148">
        <f t="shared" si="71"/>
        <v>0</v>
      </c>
      <c r="AB86" s="148">
        <f t="shared" si="71"/>
        <v>0</v>
      </c>
      <c r="AC86" s="148">
        <f t="shared" si="71"/>
        <v>0</v>
      </c>
      <c r="AD86" s="148">
        <f t="shared" si="65"/>
        <v>0</v>
      </c>
    </row>
    <row r="87" spans="1:30">
      <c r="A87" s="140">
        <f t="shared" si="66"/>
        <v>0</v>
      </c>
      <c r="B87" s="162" t="str">
        <f t="shared" si="50"/>
        <v>PI</v>
      </c>
      <c r="C87" s="159">
        <f t="shared" si="51"/>
        <v>0</v>
      </c>
      <c r="D87" s="160">
        <f t="shared" si="52"/>
        <v>0</v>
      </c>
      <c r="E87" s="144">
        <f t="shared" si="61"/>
        <v>0</v>
      </c>
      <c r="F87" s="161">
        <f>IF($F$71="No YEAR 3",0,IF(ISNA(VLOOKUP(A87,name_3,$F$9,0)),0,VLOOKUP(A87,name_3,$F$9,0)*(1+'1. SUMMARY'!$C$26)))</f>
        <v>0</v>
      </c>
      <c r="G87" s="146">
        <f t="shared" si="62"/>
        <v>0</v>
      </c>
      <c r="H87" s="146">
        <f t="shared" si="63"/>
        <v>0</v>
      </c>
      <c r="I87" s="147">
        <f t="shared" si="64"/>
        <v>0</v>
      </c>
      <c r="M87" s="148">
        <f t="shared" si="53"/>
        <v>0</v>
      </c>
      <c r="N87" s="148">
        <f t="shared" si="54"/>
        <v>0</v>
      </c>
      <c r="O87" s="148">
        <f t="shared" si="55"/>
        <v>0</v>
      </c>
      <c r="P87" s="148">
        <f t="shared" si="56"/>
        <v>0</v>
      </c>
      <c r="Q87" s="148">
        <f t="shared" si="57"/>
        <v>0</v>
      </c>
      <c r="R87" s="148">
        <f t="shared" si="58"/>
        <v>0</v>
      </c>
      <c r="S87" s="148">
        <f t="shared" si="59"/>
        <v>0</v>
      </c>
      <c r="T87" s="148">
        <f t="shared" si="71"/>
        <v>0</v>
      </c>
      <c r="U87" s="148">
        <f t="shared" si="71"/>
        <v>0</v>
      </c>
      <c r="V87" s="148">
        <f t="shared" si="71"/>
        <v>0</v>
      </c>
      <c r="W87" s="148">
        <f t="shared" si="71"/>
        <v>0</v>
      </c>
      <c r="X87" s="148">
        <f t="shared" si="71"/>
        <v>0</v>
      </c>
      <c r="Y87" s="148">
        <f t="shared" si="71"/>
        <v>0</v>
      </c>
      <c r="Z87" s="148">
        <f t="shared" si="71"/>
        <v>0</v>
      </c>
      <c r="AA87" s="148">
        <f t="shared" si="71"/>
        <v>0</v>
      </c>
      <c r="AB87" s="148">
        <f t="shared" si="71"/>
        <v>0</v>
      </c>
      <c r="AC87" s="148">
        <f t="shared" si="71"/>
        <v>0</v>
      </c>
      <c r="AD87" s="148">
        <f t="shared" si="65"/>
        <v>0</v>
      </c>
    </row>
    <row r="88" spans="1:30">
      <c r="A88" s="140">
        <f t="shared" si="66"/>
        <v>0</v>
      </c>
      <c r="B88" s="162" t="str">
        <f t="shared" si="50"/>
        <v>PI</v>
      </c>
      <c r="C88" s="159">
        <f t="shared" si="51"/>
        <v>0</v>
      </c>
      <c r="D88" s="160">
        <f t="shared" si="52"/>
        <v>0</v>
      </c>
      <c r="E88" s="144">
        <f t="shared" si="61"/>
        <v>0</v>
      </c>
      <c r="F88" s="161">
        <f>IF($F$71="No YEAR 3",0,IF(ISNA(VLOOKUP(A88,name_3,$F$9,0)),0,VLOOKUP(A88,name_3,$F$9,0)*(1+'1. SUMMARY'!$C$26)))</f>
        <v>0</v>
      </c>
      <c r="G88" s="146">
        <f t="shared" si="62"/>
        <v>0</v>
      </c>
      <c r="H88" s="146">
        <f t="shared" si="63"/>
        <v>0</v>
      </c>
      <c r="I88" s="147">
        <f t="shared" si="64"/>
        <v>0</v>
      </c>
      <c r="M88" s="148">
        <f t="shared" ref="M88:M98" si="72">IF($M$72=0,0,((G88/$AD$72)*$M$72)*VLOOKUP(C56,benefits,2,0))</f>
        <v>0</v>
      </c>
      <c r="N88" s="148">
        <f t="shared" si="54"/>
        <v>0</v>
      </c>
      <c r="O88" s="148">
        <f t="shared" si="55"/>
        <v>0</v>
      </c>
      <c r="P88" s="148">
        <f t="shared" si="56"/>
        <v>0</v>
      </c>
      <c r="Q88" s="148">
        <f t="shared" si="57"/>
        <v>0</v>
      </c>
      <c r="R88" s="148">
        <f t="shared" si="58"/>
        <v>0</v>
      </c>
      <c r="S88" s="148">
        <f t="shared" si="59"/>
        <v>0</v>
      </c>
      <c r="T88" s="148">
        <f t="shared" si="71"/>
        <v>0</v>
      </c>
      <c r="U88" s="148">
        <f t="shared" si="71"/>
        <v>0</v>
      </c>
      <c r="V88" s="148">
        <f t="shared" si="71"/>
        <v>0</v>
      </c>
      <c r="W88" s="148">
        <f t="shared" si="71"/>
        <v>0</v>
      </c>
      <c r="X88" s="148">
        <f t="shared" si="71"/>
        <v>0</v>
      </c>
      <c r="Y88" s="148">
        <f t="shared" si="71"/>
        <v>0</v>
      </c>
      <c r="Z88" s="148">
        <f t="shared" si="71"/>
        <v>0</v>
      </c>
      <c r="AA88" s="148">
        <f t="shared" si="71"/>
        <v>0</v>
      </c>
      <c r="AB88" s="148">
        <f t="shared" si="71"/>
        <v>0</v>
      </c>
      <c r="AC88" s="148">
        <f t="shared" si="71"/>
        <v>0</v>
      </c>
      <c r="AD88" s="148">
        <f t="shared" si="65"/>
        <v>0</v>
      </c>
    </row>
    <row r="89" spans="1:30">
      <c r="A89" s="140">
        <f t="shared" si="66"/>
        <v>0</v>
      </c>
      <c r="B89" s="162" t="str">
        <f t="shared" si="50"/>
        <v>PI</v>
      </c>
      <c r="C89" s="159">
        <f t="shared" si="51"/>
        <v>0</v>
      </c>
      <c r="D89" s="160">
        <f t="shared" si="52"/>
        <v>0</v>
      </c>
      <c r="E89" s="144">
        <f t="shared" si="61"/>
        <v>0</v>
      </c>
      <c r="F89" s="161">
        <f>IF($F$71="No YEAR 3",0,IF(ISNA(VLOOKUP(A89,name_3,$F$9,0)),0,VLOOKUP(A89,name_3,$F$9,0)*(1+'1. SUMMARY'!$C$26)))</f>
        <v>0</v>
      </c>
      <c r="G89" s="146">
        <f t="shared" si="62"/>
        <v>0</v>
      </c>
      <c r="H89" s="146">
        <f t="shared" si="63"/>
        <v>0</v>
      </c>
      <c r="I89" s="147">
        <f t="shared" si="64"/>
        <v>0</v>
      </c>
      <c r="M89" s="148">
        <f t="shared" si="72"/>
        <v>0</v>
      </c>
      <c r="N89" s="148">
        <f t="shared" si="54"/>
        <v>0</v>
      </c>
      <c r="O89" s="148">
        <f t="shared" si="55"/>
        <v>0</v>
      </c>
      <c r="P89" s="148">
        <f t="shared" si="56"/>
        <v>0</v>
      </c>
      <c r="Q89" s="148">
        <f t="shared" si="57"/>
        <v>0</v>
      </c>
      <c r="R89" s="148">
        <f t="shared" si="58"/>
        <v>0</v>
      </c>
      <c r="S89" s="148">
        <f t="shared" si="59"/>
        <v>0</v>
      </c>
      <c r="T89" s="148">
        <f t="shared" si="71"/>
        <v>0</v>
      </c>
      <c r="U89" s="148">
        <f t="shared" si="71"/>
        <v>0</v>
      </c>
      <c r="V89" s="148">
        <f t="shared" si="71"/>
        <v>0</v>
      </c>
      <c r="W89" s="148">
        <f t="shared" si="71"/>
        <v>0</v>
      </c>
      <c r="X89" s="148">
        <f t="shared" si="71"/>
        <v>0</v>
      </c>
      <c r="Y89" s="148">
        <f t="shared" si="71"/>
        <v>0</v>
      </c>
      <c r="Z89" s="148">
        <f t="shared" si="71"/>
        <v>0</v>
      </c>
      <c r="AA89" s="148">
        <f t="shared" si="71"/>
        <v>0</v>
      </c>
      <c r="AB89" s="148">
        <f t="shared" si="71"/>
        <v>0</v>
      </c>
      <c r="AC89" s="148">
        <f t="shared" si="71"/>
        <v>0</v>
      </c>
      <c r="AD89" s="148">
        <f t="shared" si="65"/>
        <v>0</v>
      </c>
    </row>
    <row r="90" spans="1:30">
      <c r="A90" s="140">
        <f t="shared" si="66"/>
        <v>0</v>
      </c>
      <c r="B90" s="162" t="str">
        <f t="shared" si="50"/>
        <v>PI</v>
      </c>
      <c r="C90" s="159">
        <f t="shared" si="51"/>
        <v>0</v>
      </c>
      <c r="D90" s="160">
        <f t="shared" si="52"/>
        <v>0</v>
      </c>
      <c r="E90" s="144">
        <f t="shared" si="61"/>
        <v>0</v>
      </c>
      <c r="F90" s="161">
        <f>IF($F$71="No YEAR 3",0,IF(ISNA(VLOOKUP(A90,name_3,$F$9,0)),0,VLOOKUP(A90,name_3,$F$9,0)*(1+'1. SUMMARY'!$C$26)))</f>
        <v>0</v>
      </c>
      <c r="G90" s="146">
        <f t="shared" si="62"/>
        <v>0</v>
      </c>
      <c r="H90" s="146">
        <f t="shared" si="63"/>
        <v>0</v>
      </c>
      <c r="I90" s="147">
        <f t="shared" si="64"/>
        <v>0</v>
      </c>
      <c r="M90" s="148">
        <f t="shared" si="72"/>
        <v>0</v>
      </c>
      <c r="N90" s="148">
        <f t="shared" si="54"/>
        <v>0</v>
      </c>
      <c r="O90" s="148">
        <f t="shared" si="55"/>
        <v>0</v>
      </c>
      <c r="P90" s="148">
        <f t="shared" si="56"/>
        <v>0</v>
      </c>
      <c r="Q90" s="148">
        <f t="shared" si="57"/>
        <v>0</v>
      </c>
      <c r="R90" s="148">
        <f t="shared" si="58"/>
        <v>0</v>
      </c>
      <c r="S90" s="148">
        <f t="shared" si="59"/>
        <v>0</v>
      </c>
      <c r="T90" s="148">
        <f t="shared" si="71"/>
        <v>0</v>
      </c>
      <c r="U90" s="148">
        <f t="shared" si="71"/>
        <v>0</v>
      </c>
      <c r="V90" s="148">
        <f t="shared" si="71"/>
        <v>0</v>
      </c>
      <c r="W90" s="148">
        <f t="shared" si="71"/>
        <v>0</v>
      </c>
      <c r="X90" s="148">
        <f t="shared" si="71"/>
        <v>0</v>
      </c>
      <c r="Y90" s="148">
        <f t="shared" si="71"/>
        <v>0</v>
      </c>
      <c r="Z90" s="148">
        <f t="shared" si="71"/>
        <v>0</v>
      </c>
      <c r="AA90" s="148">
        <f t="shared" si="71"/>
        <v>0</v>
      </c>
      <c r="AB90" s="148">
        <f t="shared" si="71"/>
        <v>0</v>
      </c>
      <c r="AC90" s="148">
        <f t="shared" si="71"/>
        <v>0</v>
      </c>
      <c r="AD90" s="148">
        <f t="shared" si="65"/>
        <v>0</v>
      </c>
    </row>
    <row r="91" spans="1:30">
      <c r="A91" s="140">
        <f t="shared" si="66"/>
        <v>0</v>
      </c>
      <c r="B91" s="162" t="str">
        <f t="shared" si="50"/>
        <v>PI</v>
      </c>
      <c r="C91" s="159">
        <f t="shared" si="51"/>
        <v>0</v>
      </c>
      <c r="D91" s="160">
        <f t="shared" si="52"/>
        <v>0</v>
      </c>
      <c r="E91" s="144">
        <f t="shared" si="61"/>
        <v>0</v>
      </c>
      <c r="F91" s="161">
        <f>IF($F$71="No YEAR 3",0,IF(ISNA(VLOOKUP(A91,name_3,$F$9,0)),0,VLOOKUP(A91,name_3,$F$9,0)*(1+'1. SUMMARY'!$C$26)))</f>
        <v>0</v>
      </c>
      <c r="G91" s="146">
        <f t="shared" si="62"/>
        <v>0</v>
      </c>
      <c r="H91" s="146">
        <f t="shared" si="63"/>
        <v>0</v>
      </c>
      <c r="I91" s="147">
        <f t="shared" si="64"/>
        <v>0</v>
      </c>
      <c r="M91" s="148">
        <f t="shared" si="72"/>
        <v>0</v>
      </c>
      <c r="N91" s="148">
        <f t="shared" si="54"/>
        <v>0</v>
      </c>
      <c r="O91" s="148">
        <f t="shared" si="55"/>
        <v>0</v>
      </c>
      <c r="P91" s="148">
        <f t="shared" si="56"/>
        <v>0</v>
      </c>
      <c r="Q91" s="148">
        <f t="shared" si="57"/>
        <v>0</v>
      </c>
      <c r="R91" s="148">
        <f t="shared" si="58"/>
        <v>0</v>
      </c>
      <c r="S91" s="148">
        <f t="shared" si="59"/>
        <v>0</v>
      </c>
      <c r="T91" s="148">
        <f t="shared" si="71"/>
        <v>0</v>
      </c>
      <c r="U91" s="148">
        <f t="shared" si="71"/>
        <v>0</v>
      </c>
      <c r="V91" s="148">
        <f t="shared" si="71"/>
        <v>0</v>
      </c>
      <c r="W91" s="148">
        <f t="shared" si="71"/>
        <v>0</v>
      </c>
      <c r="X91" s="148">
        <f t="shared" si="71"/>
        <v>0</v>
      </c>
      <c r="Y91" s="148">
        <f t="shared" si="71"/>
        <v>0</v>
      </c>
      <c r="Z91" s="148">
        <f t="shared" si="71"/>
        <v>0</v>
      </c>
      <c r="AA91" s="148">
        <f t="shared" si="71"/>
        <v>0</v>
      </c>
      <c r="AB91" s="148">
        <f t="shared" si="71"/>
        <v>0</v>
      </c>
      <c r="AC91" s="148">
        <f t="shared" si="71"/>
        <v>0</v>
      </c>
      <c r="AD91" s="148">
        <f t="shared" si="65"/>
        <v>0</v>
      </c>
    </row>
    <row r="92" spans="1:30">
      <c r="A92" s="140">
        <f t="shared" si="66"/>
        <v>0</v>
      </c>
      <c r="B92" s="162" t="str">
        <f t="shared" si="50"/>
        <v>PI</v>
      </c>
      <c r="C92" s="159">
        <f t="shared" si="51"/>
        <v>0</v>
      </c>
      <c r="D92" s="160">
        <f t="shared" si="52"/>
        <v>0</v>
      </c>
      <c r="E92" s="144">
        <f t="shared" si="61"/>
        <v>0</v>
      </c>
      <c r="F92" s="161">
        <f>IF($F$71="No YEAR 3",0,IF(ISNA(VLOOKUP(A92,name_3,$F$9,0)),0,VLOOKUP(A92,name_3,$F$9,0)*(1+'1. SUMMARY'!$C$26)))</f>
        <v>0</v>
      </c>
      <c r="G92" s="146">
        <f t="shared" si="62"/>
        <v>0</v>
      </c>
      <c r="H92" s="146">
        <f t="shared" si="63"/>
        <v>0</v>
      </c>
      <c r="I92" s="147">
        <f t="shared" si="64"/>
        <v>0</v>
      </c>
      <c r="M92" s="148">
        <f t="shared" si="72"/>
        <v>0</v>
      </c>
      <c r="N92" s="148">
        <f t="shared" si="54"/>
        <v>0</v>
      </c>
      <c r="O92" s="148">
        <f t="shared" si="55"/>
        <v>0</v>
      </c>
      <c r="P92" s="148">
        <f t="shared" si="56"/>
        <v>0</v>
      </c>
      <c r="Q92" s="148">
        <f t="shared" si="57"/>
        <v>0</v>
      </c>
      <c r="R92" s="148">
        <f t="shared" si="58"/>
        <v>0</v>
      </c>
      <c r="S92" s="148">
        <f t="shared" si="59"/>
        <v>0</v>
      </c>
      <c r="T92" s="148">
        <f t="shared" si="71"/>
        <v>0</v>
      </c>
      <c r="U92" s="148">
        <f t="shared" si="71"/>
        <v>0</v>
      </c>
      <c r="V92" s="148">
        <f t="shared" si="71"/>
        <v>0</v>
      </c>
      <c r="W92" s="148">
        <f t="shared" si="71"/>
        <v>0</v>
      </c>
      <c r="X92" s="148">
        <f t="shared" si="71"/>
        <v>0</v>
      </c>
      <c r="Y92" s="148">
        <f t="shared" si="71"/>
        <v>0</v>
      </c>
      <c r="Z92" s="148">
        <f t="shared" si="71"/>
        <v>0</v>
      </c>
      <c r="AA92" s="148">
        <f t="shared" si="71"/>
        <v>0</v>
      </c>
      <c r="AB92" s="148">
        <f t="shared" si="71"/>
        <v>0</v>
      </c>
      <c r="AC92" s="148">
        <f t="shared" si="71"/>
        <v>0</v>
      </c>
      <c r="AD92" s="148">
        <f t="shared" si="65"/>
        <v>0</v>
      </c>
    </row>
    <row r="93" spans="1:30">
      <c r="A93" s="140">
        <f t="shared" si="66"/>
        <v>0</v>
      </c>
      <c r="B93" s="162" t="str">
        <f t="shared" si="50"/>
        <v>PI</v>
      </c>
      <c r="C93" s="159">
        <f t="shared" si="51"/>
        <v>0</v>
      </c>
      <c r="D93" s="160">
        <f t="shared" si="52"/>
        <v>0</v>
      </c>
      <c r="E93" s="144">
        <f>IF(ISNA($AD$72*D93),0,$AD$72*D93)</f>
        <v>0</v>
      </c>
      <c r="F93" s="161">
        <f>IF($F$71="No YEAR 3",0,IF(ISNA(VLOOKUP(A93,name_3,$F$9,0)),0,VLOOKUP(A93,name_3,$F$9,0)*(1+'1. SUMMARY'!$C$26)))</f>
        <v>0</v>
      </c>
      <c r="G93" s="146">
        <f t="shared" si="62"/>
        <v>0</v>
      </c>
      <c r="H93" s="146">
        <f t="shared" si="63"/>
        <v>0</v>
      </c>
      <c r="I93" s="147">
        <f t="shared" si="64"/>
        <v>0</v>
      </c>
      <c r="M93" s="148">
        <f t="shared" si="72"/>
        <v>0</v>
      </c>
      <c r="N93" s="148">
        <f t="shared" si="54"/>
        <v>0</v>
      </c>
      <c r="O93" s="148">
        <f t="shared" si="55"/>
        <v>0</v>
      </c>
      <c r="P93" s="148">
        <f t="shared" si="56"/>
        <v>0</v>
      </c>
      <c r="Q93" s="148">
        <f t="shared" si="57"/>
        <v>0</v>
      </c>
      <c r="R93" s="148">
        <f t="shared" si="58"/>
        <v>0</v>
      </c>
      <c r="S93" s="148">
        <f t="shared" si="59"/>
        <v>0</v>
      </c>
      <c r="T93" s="148">
        <f t="shared" si="71"/>
        <v>0</v>
      </c>
      <c r="U93" s="148">
        <f t="shared" si="71"/>
        <v>0</v>
      </c>
      <c r="V93" s="148">
        <f t="shared" si="71"/>
        <v>0</v>
      </c>
      <c r="W93" s="148">
        <f t="shared" si="71"/>
        <v>0</v>
      </c>
      <c r="X93" s="148">
        <f t="shared" si="71"/>
        <v>0</v>
      </c>
      <c r="Y93" s="148">
        <f t="shared" si="71"/>
        <v>0</v>
      </c>
      <c r="Z93" s="148">
        <f t="shared" si="71"/>
        <v>0</v>
      </c>
      <c r="AA93" s="148">
        <f t="shared" si="71"/>
        <v>0</v>
      </c>
      <c r="AB93" s="148">
        <f t="shared" si="71"/>
        <v>0</v>
      </c>
      <c r="AC93" s="148">
        <f t="shared" si="71"/>
        <v>0</v>
      </c>
      <c r="AD93" s="148">
        <f t="shared" si="65"/>
        <v>0</v>
      </c>
    </row>
    <row r="94" spans="1:30">
      <c r="A94" s="140">
        <f t="shared" si="66"/>
        <v>0</v>
      </c>
      <c r="B94" s="162" t="str">
        <f t="shared" si="50"/>
        <v>PI</v>
      </c>
      <c r="C94" s="159">
        <f t="shared" si="51"/>
        <v>0</v>
      </c>
      <c r="D94" s="160">
        <f t="shared" si="52"/>
        <v>0</v>
      </c>
      <c r="E94" s="144">
        <f t="shared" si="61"/>
        <v>0</v>
      </c>
      <c r="F94" s="161">
        <f>IF($F$71="No YEAR 3",0,IF(ISNA(VLOOKUP(A94,name_3,$F$9,0)),0,VLOOKUP(A94,name_3,$F$9,0)*(1+'1. SUMMARY'!$C$26)))</f>
        <v>0</v>
      </c>
      <c r="G94" s="146">
        <f t="shared" si="62"/>
        <v>0</v>
      </c>
      <c r="H94" s="146">
        <f t="shared" si="63"/>
        <v>0</v>
      </c>
      <c r="I94" s="147">
        <f t="shared" si="64"/>
        <v>0</v>
      </c>
      <c r="M94" s="148">
        <f t="shared" si="72"/>
        <v>0</v>
      </c>
      <c r="N94" s="148">
        <f t="shared" si="54"/>
        <v>0</v>
      </c>
      <c r="O94" s="148">
        <f t="shared" si="55"/>
        <v>0</v>
      </c>
      <c r="P94" s="148">
        <f t="shared" si="56"/>
        <v>0</v>
      </c>
      <c r="Q94" s="148">
        <f t="shared" si="57"/>
        <v>0</v>
      </c>
      <c r="R94" s="148">
        <f t="shared" si="58"/>
        <v>0</v>
      </c>
      <c r="S94" s="148">
        <f t="shared" si="59"/>
        <v>0</v>
      </c>
      <c r="T94" s="148">
        <f t="shared" si="71"/>
        <v>0</v>
      </c>
      <c r="U94" s="148">
        <f t="shared" si="71"/>
        <v>0</v>
      </c>
      <c r="V94" s="148">
        <f t="shared" si="71"/>
        <v>0</v>
      </c>
      <c r="W94" s="148">
        <f t="shared" si="71"/>
        <v>0</v>
      </c>
      <c r="X94" s="148">
        <f t="shared" si="71"/>
        <v>0</v>
      </c>
      <c r="Y94" s="148">
        <f t="shared" si="71"/>
        <v>0</v>
      </c>
      <c r="Z94" s="148">
        <f t="shared" si="71"/>
        <v>0</v>
      </c>
      <c r="AA94" s="148">
        <f t="shared" si="71"/>
        <v>0</v>
      </c>
      <c r="AB94" s="148">
        <f t="shared" si="71"/>
        <v>0</v>
      </c>
      <c r="AC94" s="148">
        <f t="shared" si="71"/>
        <v>0</v>
      </c>
      <c r="AD94" s="148">
        <f t="shared" si="65"/>
        <v>0</v>
      </c>
    </row>
    <row r="95" spans="1:30">
      <c r="A95" s="140">
        <f t="shared" si="66"/>
        <v>0</v>
      </c>
      <c r="B95" s="162" t="str">
        <f t="shared" si="50"/>
        <v>PI</v>
      </c>
      <c r="C95" s="159">
        <f t="shared" si="51"/>
        <v>0</v>
      </c>
      <c r="D95" s="160">
        <f t="shared" si="52"/>
        <v>0</v>
      </c>
      <c r="E95" s="144">
        <f t="shared" si="61"/>
        <v>0</v>
      </c>
      <c r="F95" s="161">
        <f>IF($F$71="No YEAR 3",0,IF(ISNA(VLOOKUP(A95,name_3,$F$9,0)),0,VLOOKUP(A95,name_3,$F$9,0)*(1+'1. SUMMARY'!$C$26)))</f>
        <v>0</v>
      </c>
      <c r="G95" s="146">
        <f t="shared" si="62"/>
        <v>0</v>
      </c>
      <c r="H95" s="146">
        <f t="shared" si="63"/>
        <v>0</v>
      </c>
      <c r="I95" s="147">
        <f t="shared" si="64"/>
        <v>0</v>
      </c>
      <c r="M95" s="148">
        <f t="shared" si="72"/>
        <v>0</v>
      </c>
      <c r="N95" s="148">
        <f t="shared" si="54"/>
        <v>0</v>
      </c>
      <c r="O95" s="148">
        <f t="shared" si="55"/>
        <v>0</v>
      </c>
      <c r="P95" s="148">
        <f t="shared" si="56"/>
        <v>0</v>
      </c>
      <c r="Q95" s="148">
        <f t="shared" si="57"/>
        <v>0</v>
      </c>
      <c r="R95" s="148">
        <f t="shared" si="58"/>
        <v>0</v>
      </c>
      <c r="S95" s="148">
        <f t="shared" si="59"/>
        <v>0</v>
      </c>
      <c r="T95" s="148">
        <f t="shared" si="71"/>
        <v>0</v>
      </c>
      <c r="U95" s="148">
        <f t="shared" si="71"/>
        <v>0</v>
      </c>
      <c r="V95" s="148">
        <f t="shared" si="71"/>
        <v>0</v>
      </c>
      <c r="W95" s="148">
        <f t="shared" si="71"/>
        <v>0</v>
      </c>
      <c r="X95" s="148">
        <f t="shared" si="71"/>
        <v>0</v>
      </c>
      <c r="Y95" s="148">
        <f t="shared" si="71"/>
        <v>0</v>
      </c>
      <c r="Z95" s="148">
        <f t="shared" si="71"/>
        <v>0</v>
      </c>
      <c r="AA95" s="148">
        <f t="shared" si="71"/>
        <v>0</v>
      </c>
      <c r="AB95" s="148">
        <f t="shared" si="71"/>
        <v>0</v>
      </c>
      <c r="AC95" s="148">
        <f t="shared" si="71"/>
        <v>0</v>
      </c>
      <c r="AD95" s="148">
        <f t="shared" si="65"/>
        <v>0</v>
      </c>
    </row>
    <row r="96" spans="1:30">
      <c r="A96" s="140">
        <f t="shared" si="66"/>
        <v>0</v>
      </c>
      <c r="B96" s="162" t="str">
        <f t="shared" si="50"/>
        <v>PI</v>
      </c>
      <c r="C96" s="159">
        <f t="shared" si="51"/>
        <v>0</v>
      </c>
      <c r="D96" s="160">
        <f t="shared" si="52"/>
        <v>0</v>
      </c>
      <c r="E96" s="144">
        <f t="shared" si="61"/>
        <v>0</v>
      </c>
      <c r="F96" s="161">
        <f>IF($F$71="No YEAR 3",0,IF(ISNA(VLOOKUP(A96,name_3,$F$9,0)),0,VLOOKUP(A96,name_3,$F$9,0)*(1+'1. SUMMARY'!$C$26)))</f>
        <v>0</v>
      </c>
      <c r="G96" s="146">
        <f t="shared" si="62"/>
        <v>0</v>
      </c>
      <c r="H96" s="146">
        <f t="shared" si="63"/>
        <v>0</v>
      </c>
      <c r="I96" s="147">
        <f t="shared" si="64"/>
        <v>0</v>
      </c>
      <c r="M96" s="148">
        <f t="shared" si="72"/>
        <v>0</v>
      </c>
      <c r="N96" s="148">
        <f t="shared" si="54"/>
        <v>0</v>
      </c>
      <c r="O96" s="148">
        <f t="shared" si="55"/>
        <v>0</v>
      </c>
      <c r="P96" s="148">
        <f t="shared" si="56"/>
        <v>0</v>
      </c>
      <c r="Q96" s="148">
        <f t="shared" si="57"/>
        <v>0</v>
      </c>
      <c r="R96" s="148">
        <f t="shared" si="58"/>
        <v>0</v>
      </c>
      <c r="S96" s="148">
        <f t="shared" si="59"/>
        <v>0</v>
      </c>
      <c r="T96" s="148">
        <f t="shared" si="71"/>
        <v>0</v>
      </c>
      <c r="U96" s="148">
        <f t="shared" si="71"/>
        <v>0</v>
      </c>
      <c r="V96" s="148">
        <f t="shared" si="71"/>
        <v>0</v>
      </c>
      <c r="W96" s="148">
        <f t="shared" si="71"/>
        <v>0</v>
      </c>
      <c r="X96" s="148">
        <f t="shared" si="71"/>
        <v>0</v>
      </c>
      <c r="Y96" s="148">
        <f t="shared" si="71"/>
        <v>0</v>
      </c>
      <c r="Z96" s="148">
        <f t="shared" si="71"/>
        <v>0</v>
      </c>
      <c r="AA96" s="148">
        <f t="shared" si="71"/>
        <v>0</v>
      </c>
      <c r="AB96" s="148">
        <f t="shared" si="71"/>
        <v>0</v>
      </c>
      <c r="AC96" s="148">
        <f t="shared" si="71"/>
        <v>0</v>
      </c>
      <c r="AD96" s="148">
        <f t="shared" si="65"/>
        <v>0</v>
      </c>
    </row>
    <row r="97" spans="1:30">
      <c r="A97" s="140">
        <f t="shared" si="66"/>
        <v>0</v>
      </c>
      <c r="B97" s="162" t="str">
        <f t="shared" si="50"/>
        <v>PI</v>
      </c>
      <c r="C97" s="159">
        <f t="shared" si="51"/>
        <v>0</v>
      </c>
      <c r="D97" s="160">
        <f t="shared" si="52"/>
        <v>0</v>
      </c>
      <c r="E97" s="144">
        <f t="shared" si="61"/>
        <v>0</v>
      </c>
      <c r="F97" s="161">
        <f>IF($F$71="No YEAR 3",0,IF(ISNA(VLOOKUP(A97,name_3,$F$9,0)),0,VLOOKUP(A97,name_3,$F$9,0)*(1+'1. SUMMARY'!$C$26)))</f>
        <v>0</v>
      </c>
      <c r="G97" s="146">
        <f t="shared" si="62"/>
        <v>0</v>
      </c>
      <c r="H97" s="146">
        <f t="shared" si="63"/>
        <v>0</v>
      </c>
      <c r="I97" s="147">
        <f t="shared" si="64"/>
        <v>0</v>
      </c>
      <c r="M97" s="148">
        <f t="shared" si="72"/>
        <v>0</v>
      </c>
      <c r="N97" s="148">
        <f t="shared" si="54"/>
        <v>0</v>
      </c>
      <c r="O97" s="148">
        <f t="shared" si="55"/>
        <v>0</v>
      </c>
      <c r="P97" s="148">
        <f t="shared" si="56"/>
        <v>0</v>
      </c>
      <c r="Q97" s="148">
        <f t="shared" si="57"/>
        <v>0</v>
      </c>
      <c r="R97" s="148">
        <f t="shared" si="58"/>
        <v>0</v>
      </c>
      <c r="S97" s="148">
        <f t="shared" si="59"/>
        <v>0</v>
      </c>
      <c r="T97" s="148">
        <f t="shared" si="71"/>
        <v>0</v>
      </c>
      <c r="U97" s="148">
        <f t="shared" si="71"/>
        <v>0</v>
      </c>
      <c r="V97" s="148">
        <f t="shared" si="71"/>
        <v>0</v>
      </c>
      <c r="W97" s="148">
        <f t="shared" si="71"/>
        <v>0</v>
      </c>
      <c r="X97" s="148">
        <f t="shared" si="71"/>
        <v>0</v>
      </c>
      <c r="Y97" s="148">
        <f t="shared" si="71"/>
        <v>0</v>
      </c>
      <c r="Z97" s="148">
        <f t="shared" si="71"/>
        <v>0</v>
      </c>
      <c r="AA97" s="148">
        <f t="shared" si="71"/>
        <v>0</v>
      </c>
      <c r="AB97" s="148">
        <f t="shared" si="71"/>
        <v>0</v>
      </c>
      <c r="AC97" s="148">
        <f t="shared" si="71"/>
        <v>0</v>
      </c>
      <c r="AD97" s="148">
        <f t="shared" si="65"/>
        <v>0</v>
      </c>
    </row>
    <row r="98" spans="1:30">
      <c r="A98" s="140">
        <f t="shared" si="66"/>
        <v>0</v>
      </c>
      <c r="B98" s="162" t="str">
        <f t="shared" si="50"/>
        <v>PI</v>
      </c>
      <c r="C98" s="159">
        <f t="shared" si="51"/>
        <v>0</v>
      </c>
      <c r="D98" s="160">
        <f t="shared" si="52"/>
        <v>0</v>
      </c>
      <c r="E98" s="144">
        <f t="shared" si="61"/>
        <v>0</v>
      </c>
      <c r="F98" s="161">
        <f>IF($F$71="No YEAR 3",0,IF(ISNA(VLOOKUP(A98,name_3,$F$9,0)),0,VLOOKUP(A98,name_3,$F$9,0)*(1+'1. SUMMARY'!$C$26)))</f>
        <v>0</v>
      </c>
      <c r="G98" s="146">
        <f t="shared" si="62"/>
        <v>0</v>
      </c>
      <c r="H98" s="146">
        <f t="shared" si="63"/>
        <v>0</v>
      </c>
      <c r="I98" s="147">
        <f t="shared" si="64"/>
        <v>0</v>
      </c>
      <c r="M98" s="148">
        <f t="shared" si="72"/>
        <v>0</v>
      </c>
      <c r="N98" s="148">
        <f t="shared" si="54"/>
        <v>0</v>
      </c>
      <c r="O98" s="148">
        <f t="shared" si="55"/>
        <v>0</v>
      </c>
      <c r="P98" s="148">
        <f t="shared" si="56"/>
        <v>0</v>
      </c>
      <c r="Q98" s="148">
        <f t="shared" si="57"/>
        <v>0</v>
      </c>
      <c r="R98" s="148">
        <f t="shared" si="58"/>
        <v>0</v>
      </c>
      <c r="S98" s="148">
        <f t="shared" si="59"/>
        <v>0</v>
      </c>
      <c r="T98" s="148">
        <f t="shared" si="71"/>
        <v>0</v>
      </c>
      <c r="U98" s="148">
        <f t="shared" si="71"/>
        <v>0</v>
      </c>
      <c r="V98" s="148">
        <f t="shared" si="71"/>
        <v>0</v>
      </c>
      <c r="W98" s="148">
        <f t="shared" si="71"/>
        <v>0</v>
      </c>
      <c r="X98" s="148">
        <f t="shared" si="71"/>
        <v>0</v>
      </c>
      <c r="Y98" s="148">
        <f t="shared" si="71"/>
        <v>0</v>
      </c>
      <c r="Z98" s="148">
        <f t="shared" si="71"/>
        <v>0</v>
      </c>
      <c r="AA98" s="148">
        <f t="shared" si="71"/>
        <v>0</v>
      </c>
      <c r="AB98" s="148">
        <f t="shared" si="71"/>
        <v>0</v>
      </c>
      <c r="AC98" s="148">
        <f t="shared" si="71"/>
        <v>0</v>
      </c>
      <c r="AD98" s="148">
        <f t="shared" si="65"/>
        <v>0</v>
      </c>
    </row>
    <row r="99" spans="1:30" ht="14" thickBot="1">
      <c r="A99" s="117"/>
      <c r="B99" s="117"/>
      <c r="C99" s="150" t="s">
        <v>47</v>
      </c>
      <c r="D99" s="151"/>
      <c r="E99" s="152"/>
      <c r="F99" s="152"/>
      <c r="G99" s="153">
        <f>SUM(G74:G98)</f>
        <v>0</v>
      </c>
      <c r="H99" s="153">
        <f>SUM(H74:H98)</f>
        <v>0</v>
      </c>
      <c r="I99" s="154">
        <f>SUM(I74:I98)</f>
        <v>0</v>
      </c>
      <c r="M99" s="148"/>
      <c r="N99" s="117"/>
      <c r="O99" s="117"/>
      <c r="P99" s="117"/>
      <c r="Q99" s="117"/>
      <c r="R99" s="117"/>
      <c r="S99" s="117"/>
      <c r="T99" s="117"/>
      <c r="U99" s="117"/>
      <c r="V99" s="117"/>
      <c r="W99" s="117"/>
      <c r="X99" s="117"/>
      <c r="Y99" s="117"/>
      <c r="Z99" s="117"/>
      <c r="AA99" s="117"/>
      <c r="AB99" s="117"/>
      <c r="AC99" s="117"/>
      <c r="AD99" s="117"/>
    </row>
    <row r="100" spans="1:30">
      <c r="M100" s="148"/>
      <c r="N100" s="117"/>
      <c r="O100" s="117"/>
      <c r="P100" s="117"/>
      <c r="Q100" s="117"/>
      <c r="R100" s="117"/>
      <c r="S100" s="117"/>
      <c r="T100" s="117"/>
      <c r="U100" s="117"/>
      <c r="V100" s="117"/>
      <c r="W100" s="117"/>
      <c r="X100" s="117"/>
      <c r="Y100" s="117"/>
      <c r="Z100" s="117"/>
      <c r="AA100" s="117"/>
      <c r="AB100" s="117"/>
      <c r="AC100" s="117"/>
      <c r="AD100" s="117"/>
    </row>
    <row r="101" spans="1:30">
      <c r="M101" s="148"/>
      <c r="N101" s="117"/>
      <c r="O101" s="117"/>
      <c r="P101" s="117"/>
      <c r="Q101" s="117"/>
      <c r="R101" s="117"/>
      <c r="S101" s="117"/>
      <c r="T101" s="117"/>
      <c r="U101" s="117"/>
      <c r="V101" s="117"/>
      <c r="W101" s="117"/>
      <c r="X101" s="117"/>
      <c r="Y101" s="117"/>
      <c r="Z101" s="117"/>
      <c r="AA101" s="117"/>
      <c r="AB101" s="117"/>
      <c r="AC101" s="117"/>
      <c r="AD101" s="117"/>
    </row>
    <row r="102" spans="1:30">
      <c r="A102" s="124"/>
      <c r="B102" s="124"/>
      <c r="C102" s="120"/>
      <c r="D102" s="127"/>
      <c r="E102" s="128"/>
      <c r="F102" s="128"/>
      <c r="G102" s="128"/>
      <c r="H102" s="128"/>
      <c r="I102" s="128"/>
      <c r="M102" s="121">
        <f>+Sheet1!$T$8</f>
        <v>44105</v>
      </c>
      <c r="N102" s="121">
        <f>+Sheet1!$U$8</f>
        <v>44470</v>
      </c>
      <c r="O102" s="121">
        <f>+Sheet1!$V$8</f>
        <v>44835</v>
      </c>
      <c r="P102" s="121">
        <f>+Sheet1!$W$8</f>
        <v>45200</v>
      </c>
      <c r="Q102" s="121">
        <f>+Sheet1!$X$8</f>
        <v>45566</v>
      </c>
      <c r="R102" s="121">
        <f>+Sheet1!$Y$8</f>
        <v>45931</v>
      </c>
      <c r="S102" s="121">
        <f>+Sheet1!$Z$8</f>
        <v>46296</v>
      </c>
      <c r="T102" s="121">
        <f>+Sheet1!$AA$8</f>
        <v>46661</v>
      </c>
      <c r="U102" s="121">
        <f>+Sheet1!$AB$8</f>
        <v>47027</v>
      </c>
      <c r="V102" s="121">
        <f>+Sheet1!$AC$8</f>
        <v>47392</v>
      </c>
      <c r="W102" s="121">
        <f>+Sheet1!$AD$8</f>
        <v>47757</v>
      </c>
      <c r="X102" s="121">
        <f>+Sheet1!AE$8</f>
        <v>48122</v>
      </c>
      <c r="Y102" s="121">
        <f>+Sheet1!AF$8</f>
        <v>48488</v>
      </c>
      <c r="Z102" s="121">
        <f>+Sheet1!AG$8</f>
        <v>48853</v>
      </c>
      <c r="AA102" s="121">
        <f>+Sheet1!AH$8</f>
        <v>49218</v>
      </c>
      <c r="AB102" s="121">
        <f>+Sheet1!AI$8</f>
        <v>49583</v>
      </c>
      <c r="AC102" s="121">
        <f>+Sheet1!AJ$8</f>
        <v>49949</v>
      </c>
      <c r="AD102" s="117"/>
    </row>
    <row r="103" spans="1:30">
      <c r="A103" s="118" t="s">
        <v>107</v>
      </c>
      <c r="B103" s="118"/>
      <c r="C103" s="118"/>
      <c r="D103" s="129"/>
      <c r="E103" s="130"/>
      <c r="F103" s="131" t="str">
        <f>IF(F71="No "&amp;A71,"No "&amp;A103,IF(+H71+1&gt;'1. SUMMARY'!$C$18,"No "&amp;A103,+H71+1))</f>
        <v>No YEAR 4</v>
      </c>
      <c r="G103" s="131" t="str">
        <f>"----"</f>
        <v>----</v>
      </c>
      <c r="H103" s="131" t="str">
        <f>IF(F103="No "&amp;A103,"No "&amp;A103,IF(H71='1. SUMMARY'!P79,"a",IF((DATE(YEAR(F103),MONTH(F103)+12,DAY(F103)-1))&lt;=('1. SUMMARY'!$C$18),DATE(YEAR(F103),MONTH(F103)+12,DAY(F103)-1),'1. SUMMARY'!$C$18)))</f>
        <v>No YEAR 4</v>
      </c>
      <c r="I103" s="132"/>
      <c r="M103" s="121">
        <f>+Sheet1!$T$9</f>
        <v>44469</v>
      </c>
      <c r="N103" s="121">
        <f>+Sheet1!$U$9</f>
        <v>44834</v>
      </c>
      <c r="O103" s="121">
        <f>+Sheet1!$V$9</f>
        <v>45199</v>
      </c>
      <c r="P103" s="121">
        <f>+Sheet1!$W$9</f>
        <v>45565</v>
      </c>
      <c r="Q103" s="121">
        <f>+Sheet1!$X$9</f>
        <v>45930</v>
      </c>
      <c r="R103" s="121">
        <f>+Sheet1!$Y$9</f>
        <v>46295</v>
      </c>
      <c r="S103" s="121">
        <f>+Sheet1!$Z$9</f>
        <v>46660</v>
      </c>
      <c r="T103" s="121">
        <f>+Sheet1!$AA$9</f>
        <v>47026</v>
      </c>
      <c r="U103" s="121">
        <f>+Sheet1!$AB$9</f>
        <v>47391</v>
      </c>
      <c r="V103" s="121">
        <f>+Sheet1!$AC$9</f>
        <v>47756</v>
      </c>
      <c r="W103" s="121">
        <f>+Sheet1!$AD$9</f>
        <v>48121</v>
      </c>
      <c r="X103" s="121">
        <f>+Sheet1!AE$9</f>
        <v>48487</v>
      </c>
      <c r="Y103" s="121">
        <f>+Sheet1!AF$9</f>
        <v>48852</v>
      </c>
      <c r="Z103" s="121">
        <f>+Sheet1!AG$9</f>
        <v>49217</v>
      </c>
      <c r="AA103" s="121">
        <f>+Sheet1!AH$9</f>
        <v>49582</v>
      </c>
      <c r="AB103" s="121">
        <f>+Sheet1!AI$9</f>
        <v>49948</v>
      </c>
      <c r="AC103" s="121">
        <f>+Sheet1!AJ$9</f>
        <v>50313</v>
      </c>
      <c r="AD103" s="117"/>
    </row>
    <row r="104" spans="1:30" ht="25.5" customHeight="1">
      <c r="A104" s="133" t="s">
        <v>39</v>
      </c>
      <c r="B104" s="134" t="s">
        <v>40</v>
      </c>
      <c r="C104" s="134" t="s">
        <v>41</v>
      </c>
      <c r="D104" s="135" t="s">
        <v>42</v>
      </c>
      <c r="E104" s="136" t="s">
        <v>43</v>
      </c>
      <c r="F104" s="136" t="s">
        <v>44</v>
      </c>
      <c r="G104" s="136" t="s">
        <v>45</v>
      </c>
      <c r="H104" s="136" t="s">
        <v>46</v>
      </c>
      <c r="I104" s="137" t="s">
        <v>47</v>
      </c>
      <c r="M104" s="117">
        <f>IF(IF(M103&lt;F103,0,DATEDIF(F103,M103+1,"m"))&lt;0,0,IF(M103&lt;F103,0,DATEDIF(F103,M103+1,"m")))</f>
        <v>0</v>
      </c>
      <c r="N104" s="117">
        <f>IF(IF(M104=12,0,IF(N103&gt;H103,12-DATEDIF(H103,N103+1,"m"),IF(N103&lt;F103,0,DATEDIF(F103,N103+1,"m"))))&lt;0,0,IF(M104=12,0,IF(N103&gt;H103,12-DATEDIF(H103,N103+1,"m"),IF(N103&lt;F103,0,DATEDIF(F103,N103+1,"m")))))</f>
        <v>0</v>
      </c>
      <c r="O104" s="117">
        <f>IF(IF(M104+N104=12,0,IF(O103&gt;H103,12-DATEDIF(H103,O103+1,"m"),IF(O103&lt;F103,0,DATEDIF(F103,O103+1,"m"))))&lt;0,0,IF(M104+N104=12,0,IF(O103&gt;H103,12-DATEDIF(H103,O103+1,"m"),IF(O103&lt;F103,0,DATEDIF(F103,O103+1,"m")))))</f>
        <v>0</v>
      </c>
      <c r="P104" s="117">
        <f>IF(IF(N104+O104+M104=12,0,IF(P103&gt;H103,12-DATEDIF(H103,P103+1,"m"),IF(P103&lt;F103,0,DATEDIF(F103,P103+1,"m"))))&lt;0,0,IF(N104+O104+M104=12,0,IF(P103&gt;H103,12-DATEDIF(H103,P103+1,"m"),IF(P103&lt;F103,0,DATEDIF(F103,P103+1,"m")))))</f>
        <v>0</v>
      </c>
      <c r="Q104" s="117">
        <f>IF(IF(O104+P104+N104+M104=12,0,IF(Q103&gt;$H$103,12-DATEDIF($H$103,Q103+1,"m"),IF(Q103&lt;$F$103,0,DATEDIF($F$103,Q103+1,"m"))))&lt;0,0,IF(O104+P104+N104+M104=12,0,IF(Q103&gt;$H$103,12-DATEDIF($H$103,Q103+1,"m"),IF(Q103&lt;$F$103,0,DATEDIF($F$103,Q103+1,"m")))))</f>
        <v>0</v>
      </c>
      <c r="R104" s="117">
        <f>IF(IF(P104+Q104+O104+N104+M104=12,0,IF(R103&gt;$H$103,12-DATEDIF($H$103,R103+1,"m"),IF(R103&lt;$F$103,0,DATEDIF($F$103,R103+1,"m"))))&lt;0,0,IF(P104+Q104+O104+N104+M104=12,0,IF(R103&gt;$H$103,12-DATEDIF($H$103,R103+1,"m"),IF(R103&lt;$F$103,0,DATEDIF($F$103,R103+1,"m")))))</f>
        <v>0</v>
      </c>
      <c r="S104" s="117">
        <f>IF(IF(Q104+R104+P104+O104+N104+M104=12,0,IF(S103&gt;$H$103,12-DATEDIF($H$103,S103+1,"m"),IF(S103&lt;$F$103,0,DATEDIF($F$103,S103+1,"m"))))&lt;0,0,IF(Q104+R104+P104+O104+N104+M104=12,0,IF(S103&gt;$H$103,12-DATEDIF($H$103,S103+1,"m"),IF(S103&lt;$F$103,0,DATEDIF($F$103,S103+1,"m")))))</f>
        <v>0</v>
      </c>
      <c r="T104" s="117">
        <f>IF(IF(R104+S104+Q104+P104+O104+N104+M104=12,0,IF(T103&gt;$H$103,12-DATEDIF($H$103,T103+1,"m"),IF(T103&lt;$F$103,0,DATEDIF($F$103,T103+1,"m"))))&lt;0,0,IF(R104+S104+Q104+P104+O104+N104+M104=12,0,IF(T103&gt;$H$103,12-DATEDIF($H$103,T103+1,"m"),IF(T103&lt;$F$103,0,DATEDIF($F$103,T103+1,"m")))))</f>
        <v>0</v>
      </c>
      <c r="U104" s="117">
        <f>IF(IF(M104+S104+T104+R104+Q104+P104+O104+N104=12,0,IF(U103&gt;$H$103,12-DATEDIF($H$103,U103+1,"m"),IF(U103&lt;$F$103,0,DATEDIF($F$103,U103+1,"m"))))&lt;0,0,IF(M104+S104+T104+R104+Q104+P104+O104+N104=12,0,IF(U103&gt;$H$103,12-DATEDIF($H$103,U103+1,"m"),IF(U103&lt;$F$103,0,DATEDIF($F$103,U103+1,"m")))))</f>
        <v>0</v>
      </c>
      <c r="V104" s="117">
        <f>IF(IF(+M104+N104+T104+U104+S104+R104+Q104+P104+O104=12,0,IF(V103&gt;$H$103,12-DATEDIF($H$103,V103+1,"m"),IF(V103&lt;$F$103,0,DATEDIF($F$103,V103+1,"m"))))&lt;0,0,IF(M104+N104+T104+U104+S104+R104+Q104+P104+O104=12,0,IF(V103&gt;$H$103,12-DATEDIF($H$103,V103+1,"m"),IF(V103&lt;$F$103,0,DATEDIF($F$103,V103+1,"m")))))</f>
        <v>0</v>
      </c>
      <c r="W104" s="117">
        <f>IF(IF(M104+N104+O104+U104+V104+T104+S104+R104+Q104+P104=12,0,IF(W103&gt;$H$103,12-DATEDIF($H$103,W103+1,"m"),IF(W103&lt;$F$103,0,DATEDIF($F$103,W103+1,"m"))))&lt;0,0,IF(M104+N104+O104+U104+V104+T104+S104+R104+Q104+P104=12,0,IF(W103&gt;$H$103,12-DATEDIF($H$103,W103+1,"m"),IF(W103&lt;$F$103,0,DATEDIF($F$103,W103+1,"m")))))</f>
        <v>0</v>
      </c>
      <c r="X104" s="117">
        <f>IF(IF(+M104+N104+O104+P104+V104+W104+U104+T104+S104+R104+Q104=12,0,IF(X103&gt;$H$7,12-DATEDIF($H$7,X103+1,"m"),IF(X103&lt;$F$7,0,DATEDIF($F$7,X103+1,"m"))))&lt;0,0,IF(M104+N104+O104+P104+V104+W104+U104+T104+S104+R104+Q104=12,0,IF(X103&gt;$H$7,12-DATEDIF($H$7,X103+1,"m"),IF(X103&lt;$F$7,0,DATEDIF($F$7,X103+1,"m")))))</f>
        <v>0</v>
      </c>
      <c r="Y104" s="117">
        <f>IF(IF(M104+N104+O104+P104+Q104+W104+X104+V104+U104+T104+S104+R104=12,0,IF(Y103&gt;$H$103,12-DATEDIF($H$103,Y103+1,"m"),IF(Y103&lt;$F$103,0,DATEDIF($F$103,Y103+1,"m"))))&lt;0,0,IF(M104+N104+O104+P104+Q104+W104+X104+V104+U104+T104+S104+R104=12,0,IF(Y103&gt;$H$103,12-DATEDIF($H$103,Y103+1,"m"),IF(Y103&lt;$F$103,0,DATEDIF($F$103,Y103+1,"m")))))</f>
        <v>0</v>
      </c>
      <c r="Z104" s="117">
        <f>IF(IF(M104+N104+O104+P104+Q104+R104+X104+Y104+W104+V104+U104+T104+S104=12,0,IF(Z103&gt;$H$103,12-DATEDIF($H$103,Z103+1,"m"),IF(Z103&lt;$F$103,0,DATEDIF($F$103,Z103+1,"m"))))&lt;0,0,IF(M104+N104+O104+P104+Q104+R104+X104+Y104+W104+V104+U104+T104+S104=12,0,IF(Z103&gt;$H$103,12-DATEDIF($H$103,Z103+1,"m"),IF(Z103&lt;$F$103,0,DATEDIF($F$103,Z103+1,"m")))))</f>
        <v>0</v>
      </c>
      <c r="AA104" s="117">
        <f>IF(IF(M104+N104+O104+P104+Q104+R104+S104+Y104+Z104+X104+W104+V104+U104+T104=12,0,IF(AA103&gt;$H$103,12-DATEDIF($H$103,AA103+1,"m"),IF(AA103&lt;$F$103,0,DATEDIF($F$103,AA103+1,"m"))))&lt;0,0,IF(M104+N104+O104+P104+Q104+R104+S104+Y104+Z104+X104+W104+V104+U104+T104=12,0,IF(AA103&gt;$H$103,12-DATEDIF($H$103,AA103+1,"m"),IF(AA103&lt;$F$103,0,DATEDIF($F$103,AA103+1,"m")))))</f>
        <v>0</v>
      </c>
      <c r="AB104" s="117">
        <f>IF(IF(M104+N104+O104+P104+Q104+R104+S104+T104+Z104+AA104+Y104+X104+W104+V104+U104=12,0,IF(AB103&gt;$H$103,12-DATEDIF($H$103,AB103+1,"m"),IF(AB103&lt;$F$103,0,DATEDIF($F$103,AB103+1,"m"))))&lt;0,0,IF(M104+N104+O104+P104+Q104+R104+S104+T104+Z104+AA104+Y104+X104+W104+V104+U104=12,0,IF(AB103&gt;$H$103,12-DATEDIF($H$103,AB103+1,"m"),IF(AB103&lt;$F$103,0,DATEDIF($F$103,AB103+1,"m")))))</f>
        <v>0</v>
      </c>
      <c r="AC104" s="117">
        <f>IF(IF(M104+N104+O104+P104+Q104+R104+S104+T104+U104+AA104+AB104+Z104+Y104+X104+W104+V104=12,0,IF(AC103&gt;$H$103,12-DATEDIF($H$103,AC103+1,"m"),IF(AC103&lt;$F$103,0,DATEDIF($F$103,AC103+1,"m"))))&lt;0,0,IF(M104+N104+O104+P104+Q104+R104+S104+T104+U104+AA104+AB104+Z104+Y104+X104+W104+V104=12,0,IF(AC103&gt;$H$103,12-DATEDIF($H$103,AC103+1,"m"),IF(AC103&lt;$F$103,0,DATEDIF($F$103,AC103+1,"m")))))</f>
        <v>0</v>
      </c>
      <c r="AD104" s="117">
        <f>SUM(M104:AC104)</f>
        <v>0</v>
      </c>
    </row>
    <row r="105" spans="1:30" s="155" customFormat="1" ht="3.75" customHeight="1">
      <c r="D105" s="156"/>
      <c r="M105" s="148"/>
      <c r="N105" s="139"/>
      <c r="O105" s="139"/>
      <c r="P105" s="139"/>
      <c r="Q105" s="139"/>
      <c r="R105" s="139"/>
      <c r="S105" s="139"/>
      <c r="T105" s="139"/>
      <c r="U105" s="139"/>
      <c r="V105" s="139"/>
      <c r="W105" s="139"/>
      <c r="X105" s="139"/>
      <c r="Y105" s="139"/>
      <c r="Z105" s="139"/>
      <c r="AA105" s="139"/>
      <c r="AB105" s="139"/>
      <c r="AC105" s="139"/>
      <c r="AD105" s="139"/>
    </row>
    <row r="106" spans="1:30">
      <c r="A106" s="157">
        <f>+A74</f>
        <v>0</v>
      </c>
      <c r="B106" s="158" t="str">
        <f t="shared" ref="B106:B130" si="73">IF(ISNA(VLOOKUP($A106,name_2,$B$9,0)),"",VLOOKUP($A106,name_2,$B$9,0))</f>
        <v>PI</v>
      </c>
      <c r="C106" s="159">
        <f t="shared" ref="C106:C130" si="74">IF(ISNA(VLOOKUP($A106,name_2,$C$9,0)),"",VLOOKUP($A106,name_2,$C$9,0))</f>
        <v>0</v>
      </c>
      <c r="D106" s="160">
        <f t="shared" ref="D106:D130" si="75">IF(ISNA(VLOOKUP($A106,name_2,$D$9,0)),0,VLOOKUP($A106,name_2,$D$9,0))</f>
        <v>0</v>
      </c>
      <c r="E106" s="144">
        <f>IF(ISNA($AD$104*D106),0,$AD$104*D106)</f>
        <v>0</v>
      </c>
      <c r="F106" s="161">
        <f>IF($F$103="No YEAR 4",0,IF(ISNA(VLOOKUP(A106,name_4,$F$9,0)),0,VLOOKUP(A106,name_4,$F$9,0)*(1+'1. SUMMARY'!$C$26)))</f>
        <v>0</v>
      </c>
      <c r="G106" s="146">
        <f>(F106/12)*$AD$104*D106</f>
        <v>0</v>
      </c>
      <c r="H106" s="146">
        <f>IF(ISNA(+AD106),0,AD106)</f>
        <v>0</v>
      </c>
      <c r="I106" s="147">
        <f>SUM(G106:H106)</f>
        <v>0</v>
      </c>
      <c r="M106" s="148">
        <f t="shared" ref="M106:M118" si="76">IF($M$104=0,0,((G106/$AD$104)*$M$104)*VLOOKUP(C106,benefits,2,0))</f>
        <v>0</v>
      </c>
      <c r="N106" s="148">
        <f t="shared" ref="N106:N130" si="77">IF($N$104=0,0,((G106/$AD$104)*$N$104)*VLOOKUP(C106,benefits,3,0))</f>
        <v>0</v>
      </c>
      <c r="O106" s="148">
        <f t="shared" ref="O106:O130" si="78">IF($O$104=0,0,((G106/$AD$104)*$O$104)*VLOOKUP(C106,benefits,4,0))</f>
        <v>0</v>
      </c>
      <c r="P106" s="148">
        <f t="shared" ref="P106:P130" si="79">IF($P$104=0,0,((G106/$AD$104)*$P$104)*VLOOKUP(C106,benefits,5,0))</f>
        <v>0</v>
      </c>
      <c r="Q106" s="148">
        <f t="shared" ref="Q106:Q130" si="80">IF(Q$104=0,0,(($G106/$AD$104)*Q$104)*VLOOKUP(C106,benefits,6,0))</f>
        <v>0</v>
      </c>
      <c r="R106" s="148">
        <f t="shared" ref="R106:R130" si="81">IF(R$104=0,0,(($G106/$AD$104)*R$104)*VLOOKUP(C106,benefits,7,0))</f>
        <v>0</v>
      </c>
      <c r="S106" s="148">
        <f t="shared" ref="S106:S130" si="82">IF(S$104=0,0,(($G106/$AD$104)*S$104)*VLOOKUP(C106,benefits,8,0))</f>
        <v>0</v>
      </c>
      <c r="T106" s="148">
        <f t="shared" ref="T106:AC115" si="83">IF(T$104=0,0,(($G106/$AD$104)*T$104)*VLOOKUP($C106,benefits,9,0))</f>
        <v>0</v>
      </c>
      <c r="U106" s="148">
        <f t="shared" si="83"/>
        <v>0</v>
      </c>
      <c r="V106" s="148">
        <f t="shared" si="83"/>
        <v>0</v>
      </c>
      <c r="W106" s="148">
        <f t="shared" si="83"/>
        <v>0</v>
      </c>
      <c r="X106" s="148">
        <f t="shared" si="83"/>
        <v>0</v>
      </c>
      <c r="Y106" s="148">
        <f t="shared" si="83"/>
        <v>0</v>
      </c>
      <c r="Z106" s="148">
        <f t="shared" si="83"/>
        <v>0</v>
      </c>
      <c r="AA106" s="148">
        <f t="shared" si="83"/>
        <v>0</v>
      </c>
      <c r="AB106" s="148">
        <f t="shared" si="83"/>
        <v>0</v>
      </c>
      <c r="AC106" s="148">
        <f t="shared" si="83"/>
        <v>0</v>
      </c>
      <c r="AD106" s="148">
        <f>SUM(M106:AC106)</f>
        <v>0</v>
      </c>
    </row>
    <row r="107" spans="1:30">
      <c r="A107" s="140">
        <f>+A75</f>
        <v>0</v>
      </c>
      <c r="B107" s="162" t="str">
        <f t="shared" si="73"/>
        <v>PI</v>
      </c>
      <c r="C107" s="159">
        <f t="shared" si="74"/>
        <v>0</v>
      </c>
      <c r="D107" s="160">
        <f t="shared" si="75"/>
        <v>0</v>
      </c>
      <c r="E107" s="144">
        <f t="shared" ref="E107:E130" si="84">IF(ISNA($AD$104*D107),0,$AD$104*D107)</f>
        <v>0</v>
      </c>
      <c r="F107" s="161">
        <f>IF($F$103="No YEAR 4",0,IF(ISNA(VLOOKUP(A107,name_4,$F$9,0)),0,VLOOKUP(A107,name_4,$F$9,0)*(1+'1. SUMMARY'!$C$26)))</f>
        <v>0</v>
      </c>
      <c r="G107" s="146">
        <f t="shared" ref="G107:G130" si="85">(F107/12)*$AD$104*D107</f>
        <v>0</v>
      </c>
      <c r="H107" s="146">
        <f t="shared" ref="H107:H130" si="86">IF(ISNA(+AD107),0,AD107)</f>
        <v>0</v>
      </c>
      <c r="I107" s="147">
        <f t="shared" ref="I107:I130" si="87">SUM(G107:H107)</f>
        <v>0</v>
      </c>
      <c r="M107" s="148">
        <f t="shared" si="76"/>
        <v>0</v>
      </c>
      <c r="N107" s="148">
        <f t="shared" si="77"/>
        <v>0</v>
      </c>
      <c r="O107" s="148">
        <f t="shared" si="78"/>
        <v>0</v>
      </c>
      <c r="P107" s="148">
        <f t="shared" si="79"/>
        <v>0</v>
      </c>
      <c r="Q107" s="148">
        <f t="shared" si="80"/>
        <v>0</v>
      </c>
      <c r="R107" s="148">
        <f t="shared" si="81"/>
        <v>0</v>
      </c>
      <c r="S107" s="148">
        <f t="shared" si="82"/>
        <v>0</v>
      </c>
      <c r="T107" s="148">
        <f t="shared" si="83"/>
        <v>0</v>
      </c>
      <c r="U107" s="148">
        <f t="shared" si="83"/>
        <v>0</v>
      </c>
      <c r="V107" s="148">
        <f t="shared" si="83"/>
        <v>0</v>
      </c>
      <c r="W107" s="148">
        <f t="shared" si="83"/>
        <v>0</v>
      </c>
      <c r="X107" s="148">
        <f t="shared" si="83"/>
        <v>0</v>
      </c>
      <c r="Y107" s="148">
        <f t="shared" si="83"/>
        <v>0</v>
      </c>
      <c r="Z107" s="148">
        <f t="shared" si="83"/>
        <v>0</v>
      </c>
      <c r="AA107" s="148">
        <f t="shared" si="83"/>
        <v>0</v>
      </c>
      <c r="AB107" s="148">
        <f t="shared" si="83"/>
        <v>0</v>
      </c>
      <c r="AC107" s="148">
        <f t="shared" si="83"/>
        <v>0</v>
      </c>
      <c r="AD107" s="148">
        <f t="shared" ref="AD107:AD130" si="88">SUM(M107:AC107)</f>
        <v>0</v>
      </c>
    </row>
    <row r="108" spans="1:30">
      <c r="A108" s="140">
        <f t="shared" ref="A108:A130" si="89">+A76</f>
        <v>0</v>
      </c>
      <c r="B108" s="162" t="str">
        <f t="shared" si="73"/>
        <v>PI</v>
      </c>
      <c r="C108" s="159">
        <f t="shared" si="74"/>
        <v>0</v>
      </c>
      <c r="D108" s="160">
        <f t="shared" si="75"/>
        <v>0</v>
      </c>
      <c r="E108" s="144">
        <f t="shared" si="84"/>
        <v>0</v>
      </c>
      <c r="F108" s="161">
        <f>IF($F$103="No YEAR 4",0,IF(ISNA(VLOOKUP(A108,name_4,$F$9,0)),0,VLOOKUP(A108,name_4,$F$9,0)*(1+'1. SUMMARY'!$C$26)))</f>
        <v>0</v>
      </c>
      <c r="G108" s="146">
        <f t="shared" si="85"/>
        <v>0</v>
      </c>
      <c r="H108" s="146">
        <f t="shared" si="86"/>
        <v>0</v>
      </c>
      <c r="I108" s="147">
        <f t="shared" si="87"/>
        <v>0</v>
      </c>
      <c r="M108" s="148">
        <f t="shared" si="76"/>
        <v>0</v>
      </c>
      <c r="N108" s="148">
        <f t="shared" si="77"/>
        <v>0</v>
      </c>
      <c r="O108" s="148">
        <f t="shared" si="78"/>
        <v>0</v>
      </c>
      <c r="P108" s="148">
        <f t="shared" si="79"/>
        <v>0</v>
      </c>
      <c r="Q108" s="148">
        <f t="shared" si="80"/>
        <v>0</v>
      </c>
      <c r="R108" s="148">
        <f t="shared" si="81"/>
        <v>0</v>
      </c>
      <c r="S108" s="148">
        <f t="shared" si="82"/>
        <v>0</v>
      </c>
      <c r="T108" s="148">
        <f t="shared" si="83"/>
        <v>0</v>
      </c>
      <c r="U108" s="148">
        <f t="shared" si="83"/>
        <v>0</v>
      </c>
      <c r="V108" s="148">
        <f t="shared" si="83"/>
        <v>0</v>
      </c>
      <c r="W108" s="148">
        <f t="shared" si="83"/>
        <v>0</v>
      </c>
      <c r="X108" s="148">
        <f t="shared" si="83"/>
        <v>0</v>
      </c>
      <c r="Y108" s="148">
        <f t="shared" si="83"/>
        <v>0</v>
      </c>
      <c r="Z108" s="148">
        <f t="shared" si="83"/>
        <v>0</v>
      </c>
      <c r="AA108" s="148">
        <f t="shared" si="83"/>
        <v>0</v>
      </c>
      <c r="AB108" s="148">
        <f t="shared" si="83"/>
        <v>0</v>
      </c>
      <c r="AC108" s="148">
        <f t="shared" si="83"/>
        <v>0</v>
      </c>
      <c r="AD108" s="148">
        <f t="shared" si="88"/>
        <v>0</v>
      </c>
    </row>
    <row r="109" spans="1:30">
      <c r="A109" s="140">
        <f t="shared" si="89"/>
        <v>0</v>
      </c>
      <c r="B109" s="162" t="str">
        <f t="shared" si="73"/>
        <v>PI</v>
      </c>
      <c r="C109" s="159">
        <f t="shared" si="74"/>
        <v>0</v>
      </c>
      <c r="D109" s="160">
        <f t="shared" si="75"/>
        <v>0</v>
      </c>
      <c r="E109" s="144">
        <f t="shared" si="84"/>
        <v>0</v>
      </c>
      <c r="F109" s="161">
        <f>IF($F$103="No YEAR 4",0,IF(ISNA(VLOOKUP(A109,name_4,$F$9,0)),0,VLOOKUP(A109,name_4,$F$9,0)*(1+'1. SUMMARY'!$C$26)))</f>
        <v>0</v>
      </c>
      <c r="G109" s="146">
        <f t="shared" si="85"/>
        <v>0</v>
      </c>
      <c r="H109" s="146">
        <f t="shared" si="86"/>
        <v>0</v>
      </c>
      <c r="I109" s="147">
        <f t="shared" si="87"/>
        <v>0</v>
      </c>
      <c r="M109" s="148">
        <f t="shared" si="76"/>
        <v>0</v>
      </c>
      <c r="N109" s="148">
        <f t="shared" ref="N109:N118" si="90">IF($N$104=0,0,((G109/$AD$104)*$N$104)*VLOOKUP(C109,benefits,3,0))</f>
        <v>0</v>
      </c>
      <c r="O109" s="148">
        <f t="shared" ref="O109:O118" si="91">IF($O$104=0,0,((G109/$AD$104)*$O$104)*VLOOKUP(C109,benefits,4,0))</f>
        <v>0</v>
      </c>
      <c r="P109" s="148">
        <f t="shared" ref="P109:P118" si="92">IF($P$104=0,0,((G109/$AD$104)*$P$104)*VLOOKUP(C109,benefits,5,0))</f>
        <v>0</v>
      </c>
      <c r="Q109" s="148">
        <f t="shared" ref="Q109:Q118" si="93">IF(Q$104=0,0,(($G109/$AD$104)*Q$104)*VLOOKUP(C109,benefits,6,0))</f>
        <v>0</v>
      </c>
      <c r="R109" s="148">
        <f t="shared" ref="R109:R118" si="94">IF(R$104=0,0,(($G109/$AD$104)*R$104)*VLOOKUP(C109,benefits,7,0))</f>
        <v>0</v>
      </c>
      <c r="S109" s="148">
        <f t="shared" ref="S109:S118" si="95">IF(S$104=0,0,(($G109/$AD$104)*S$104)*VLOOKUP(C109,benefits,8,0))</f>
        <v>0</v>
      </c>
      <c r="T109" s="148">
        <f t="shared" si="83"/>
        <v>0</v>
      </c>
      <c r="U109" s="148">
        <f t="shared" si="83"/>
        <v>0</v>
      </c>
      <c r="V109" s="148">
        <f t="shared" si="83"/>
        <v>0</v>
      </c>
      <c r="W109" s="148">
        <f t="shared" si="83"/>
        <v>0</v>
      </c>
      <c r="X109" s="148">
        <f t="shared" si="83"/>
        <v>0</v>
      </c>
      <c r="Y109" s="148">
        <f t="shared" si="83"/>
        <v>0</v>
      </c>
      <c r="Z109" s="148">
        <f t="shared" si="83"/>
        <v>0</v>
      </c>
      <c r="AA109" s="148">
        <f t="shared" si="83"/>
        <v>0</v>
      </c>
      <c r="AB109" s="148">
        <f t="shared" si="83"/>
        <v>0</v>
      </c>
      <c r="AC109" s="148">
        <f t="shared" si="83"/>
        <v>0</v>
      </c>
      <c r="AD109" s="148">
        <f t="shared" si="88"/>
        <v>0</v>
      </c>
    </row>
    <row r="110" spans="1:30">
      <c r="A110" s="140">
        <f t="shared" si="89"/>
        <v>0</v>
      </c>
      <c r="B110" s="162" t="str">
        <f t="shared" si="73"/>
        <v>PI</v>
      </c>
      <c r="C110" s="159">
        <f t="shared" si="74"/>
        <v>0</v>
      </c>
      <c r="D110" s="160">
        <f t="shared" si="75"/>
        <v>0</v>
      </c>
      <c r="E110" s="144">
        <f t="shared" si="84"/>
        <v>0</v>
      </c>
      <c r="F110" s="161">
        <f>IF($F$103="No YEAR 4",0,IF(ISNA(VLOOKUP(A110,name_4,$F$9,0)),0,VLOOKUP(A110,name_4,$F$9,0)*(1+'1. SUMMARY'!$C$26)))</f>
        <v>0</v>
      </c>
      <c r="G110" s="146">
        <f t="shared" si="85"/>
        <v>0</v>
      </c>
      <c r="H110" s="146">
        <f t="shared" si="86"/>
        <v>0</v>
      </c>
      <c r="I110" s="147">
        <f t="shared" si="87"/>
        <v>0</v>
      </c>
      <c r="M110" s="148">
        <f t="shared" si="76"/>
        <v>0</v>
      </c>
      <c r="N110" s="148">
        <f t="shared" si="90"/>
        <v>0</v>
      </c>
      <c r="O110" s="148">
        <f t="shared" si="91"/>
        <v>0</v>
      </c>
      <c r="P110" s="148">
        <f t="shared" si="92"/>
        <v>0</v>
      </c>
      <c r="Q110" s="148">
        <f t="shared" si="93"/>
        <v>0</v>
      </c>
      <c r="R110" s="148">
        <f t="shared" si="94"/>
        <v>0</v>
      </c>
      <c r="S110" s="148">
        <f t="shared" si="95"/>
        <v>0</v>
      </c>
      <c r="T110" s="148">
        <f t="shared" si="83"/>
        <v>0</v>
      </c>
      <c r="U110" s="148">
        <f t="shared" si="83"/>
        <v>0</v>
      </c>
      <c r="V110" s="148">
        <f t="shared" si="83"/>
        <v>0</v>
      </c>
      <c r="W110" s="148">
        <f t="shared" si="83"/>
        <v>0</v>
      </c>
      <c r="X110" s="148">
        <f t="shared" si="83"/>
        <v>0</v>
      </c>
      <c r="Y110" s="148">
        <f t="shared" si="83"/>
        <v>0</v>
      </c>
      <c r="Z110" s="148">
        <f t="shared" si="83"/>
        <v>0</v>
      </c>
      <c r="AA110" s="148">
        <f t="shared" si="83"/>
        <v>0</v>
      </c>
      <c r="AB110" s="148">
        <f t="shared" si="83"/>
        <v>0</v>
      </c>
      <c r="AC110" s="148">
        <f t="shared" si="83"/>
        <v>0</v>
      </c>
      <c r="AD110" s="148">
        <f t="shared" si="88"/>
        <v>0</v>
      </c>
    </row>
    <row r="111" spans="1:30">
      <c r="A111" s="140">
        <f t="shared" si="89"/>
        <v>0</v>
      </c>
      <c r="B111" s="162" t="str">
        <f t="shared" si="73"/>
        <v>PI</v>
      </c>
      <c r="C111" s="159">
        <f t="shared" si="74"/>
        <v>0</v>
      </c>
      <c r="D111" s="160">
        <f t="shared" si="75"/>
        <v>0</v>
      </c>
      <c r="E111" s="144">
        <f t="shared" si="84"/>
        <v>0</v>
      </c>
      <c r="F111" s="161">
        <f>IF($F$103="No YEAR 4",0,IF(ISNA(VLOOKUP(A111,name_4,$F$9,0)),0,VLOOKUP(A111,name_4,$F$9,0)*(1+'1. SUMMARY'!$C$26)))</f>
        <v>0</v>
      </c>
      <c r="G111" s="146">
        <f t="shared" si="85"/>
        <v>0</v>
      </c>
      <c r="H111" s="146">
        <f t="shared" si="86"/>
        <v>0</v>
      </c>
      <c r="I111" s="147">
        <f t="shared" si="87"/>
        <v>0</v>
      </c>
      <c r="M111" s="148">
        <f t="shared" si="76"/>
        <v>0</v>
      </c>
      <c r="N111" s="148">
        <f t="shared" si="90"/>
        <v>0</v>
      </c>
      <c r="O111" s="148">
        <f t="shared" si="91"/>
        <v>0</v>
      </c>
      <c r="P111" s="148">
        <f t="shared" si="92"/>
        <v>0</v>
      </c>
      <c r="Q111" s="148">
        <f t="shared" si="93"/>
        <v>0</v>
      </c>
      <c r="R111" s="148">
        <f t="shared" si="94"/>
        <v>0</v>
      </c>
      <c r="S111" s="148">
        <f t="shared" si="95"/>
        <v>0</v>
      </c>
      <c r="T111" s="148">
        <f t="shared" si="83"/>
        <v>0</v>
      </c>
      <c r="U111" s="148">
        <f t="shared" si="83"/>
        <v>0</v>
      </c>
      <c r="V111" s="148">
        <f t="shared" si="83"/>
        <v>0</v>
      </c>
      <c r="W111" s="148">
        <f t="shared" si="83"/>
        <v>0</v>
      </c>
      <c r="X111" s="148">
        <f t="shared" si="83"/>
        <v>0</v>
      </c>
      <c r="Y111" s="148">
        <f t="shared" si="83"/>
        <v>0</v>
      </c>
      <c r="Z111" s="148">
        <f t="shared" si="83"/>
        <v>0</v>
      </c>
      <c r="AA111" s="148">
        <f t="shared" si="83"/>
        <v>0</v>
      </c>
      <c r="AB111" s="148">
        <f t="shared" si="83"/>
        <v>0</v>
      </c>
      <c r="AC111" s="148">
        <f t="shared" si="83"/>
        <v>0</v>
      </c>
      <c r="AD111" s="148">
        <f t="shared" si="88"/>
        <v>0</v>
      </c>
    </row>
    <row r="112" spans="1:30">
      <c r="A112" s="140">
        <f t="shared" si="89"/>
        <v>0</v>
      </c>
      <c r="B112" s="162" t="str">
        <f t="shared" si="73"/>
        <v>PI</v>
      </c>
      <c r="C112" s="159">
        <f t="shared" si="74"/>
        <v>0</v>
      </c>
      <c r="D112" s="160">
        <f t="shared" si="75"/>
        <v>0</v>
      </c>
      <c r="E112" s="144">
        <f t="shared" si="84"/>
        <v>0</v>
      </c>
      <c r="F112" s="161">
        <f>IF($F$103="No YEAR 4",0,IF(ISNA(VLOOKUP(A112,name_4,$F$9,0)),0,VLOOKUP(A112,name_4,$F$9,0)*(1+'1. SUMMARY'!$C$26)))</f>
        <v>0</v>
      </c>
      <c r="G112" s="146">
        <f t="shared" si="85"/>
        <v>0</v>
      </c>
      <c r="H112" s="146">
        <f t="shared" si="86"/>
        <v>0</v>
      </c>
      <c r="I112" s="147">
        <f t="shared" si="87"/>
        <v>0</v>
      </c>
      <c r="M112" s="148">
        <f t="shared" si="76"/>
        <v>0</v>
      </c>
      <c r="N112" s="148">
        <f t="shared" si="90"/>
        <v>0</v>
      </c>
      <c r="O112" s="148">
        <f t="shared" si="91"/>
        <v>0</v>
      </c>
      <c r="P112" s="148">
        <f t="shared" si="92"/>
        <v>0</v>
      </c>
      <c r="Q112" s="148">
        <f t="shared" si="93"/>
        <v>0</v>
      </c>
      <c r="R112" s="148">
        <f t="shared" si="94"/>
        <v>0</v>
      </c>
      <c r="S112" s="148">
        <f t="shared" si="95"/>
        <v>0</v>
      </c>
      <c r="T112" s="148">
        <f t="shared" si="83"/>
        <v>0</v>
      </c>
      <c r="U112" s="148">
        <f t="shared" si="83"/>
        <v>0</v>
      </c>
      <c r="V112" s="148">
        <f t="shared" si="83"/>
        <v>0</v>
      </c>
      <c r="W112" s="148">
        <f t="shared" si="83"/>
        <v>0</v>
      </c>
      <c r="X112" s="148">
        <f t="shared" si="83"/>
        <v>0</v>
      </c>
      <c r="Y112" s="148">
        <f t="shared" si="83"/>
        <v>0</v>
      </c>
      <c r="Z112" s="148">
        <f t="shared" si="83"/>
        <v>0</v>
      </c>
      <c r="AA112" s="148">
        <f t="shared" si="83"/>
        <v>0</v>
      </c>
      <c r="AB112" s="148">
        <f t="shared" si="83"/>
        <v>0</v>
      </c>
      <c r="AC112" s="148">
        <f t="shared" si="83"/>
        <v>0</v>
      </c>
      <c r="AD112" s="148">
        <f t="shared" si="88"/>
        <v>0</v>
      </c>
    </row>
    <row r="113" spans="1:30">
      <c r="A113" s="140">
        <f t="shared" si="89"/>
        <v>0</v>
      </c>
      <c r="B113" s="162" t="str">
        <f t="shared" si="73"/>
        <v>PI</v>
      </c>
      <c r="C113" s="159">
        <f t="shared" si="74"/>
        <v>0</v>
      </c>
      <c r="D113" s="160">
        <f t="shared" si="75"/>
        <v>0</v>
      </c>
      <c r="E113" s="144">
        <f t="shared" si="84"/>
        <v>0</v>
      </c>
      <c r="F113" s="161">
        <f>IF($F$103="No YEAR 4",0,IF(ISNA(VLOOKUP(A113,name_4,$F$9,0)),0,VLOOKUP(A113,name_4,$F$9,0)*(1+'1. SUMMARY'!$C$26)))</f>
        <v>0</v>
      </c>
      <c r="G113" s="146">
        <f t="shared" si="85"/>
        <v>0</v>
      </c>
      <c r="H113" s="146">
        <f t="shared" si="86"/>
        <v>0</v>
      </c>
      <c r="I113" s="147">
        <f t="shared" si="87"/>
        <v>0</v>
      </c>
      <c r="M113" s="148">
        <f t="shared" si="76"/>
        <v>0</v>
      </c>
      <c r="N113" s="148">
        <f t="shared" si="90"/>
        <v>0</v>
      </c>
      <c r="O113" s="148">
        <f t="shared" si="91"/>
        <v>0</v>
      </c>
      <c r="P113" s="148">
        <f t="shared" si="92"/>
        <v>0</v>
      </c>
      <c r="Q113" s="148">
        <f t="shared" si="93"/>
        <v>0</v>
      </c>
      <c r="R113" s="148">
        <f t="shared" si="94"/>
        <v>0</v>
      </c>
      <c r="S113" s="148">
        <f t="shared" si="95"/>
        <v>0</v>
      </c>
      <c r="T113" s="148">
        <f t="shared" si="83"/>
        <v>0</v>
      </c>
      <c r="U113" s="148">
        <f t="shared" si="83"/>
        <v>0</v>
      </c>
      <c r="V113" s="148">
        <f t="shared" si="83"/>
        <v>0</v>
      </c>
      <c r="W113" s="148">
        <f t="shared" si="83"/>
        <v>0</v>
      </c>
      <c r="X113" s="148">
        <f t="shared" si="83"/>
        <v>0</v>
      </c>
      <c r="Y113" s="148">
        <f t="shared" si="83"/>
        <v>0</v>
      </c>
      <c r="Z113" s="148">
        <f t="shared" si="83"/>
        <v>0</v>
      </c>
      <c r="AA113" s="148">
        <f t="shared" si="83"/>
        <v>0</v>
      </c>
      <c r="AB113" s="148">
        <f t="shared" si="83"/>
        <v>0</v>
      </c>
      <c r="AC113" s="148">
        <f t="shared" si="83"/>
        <v>0</v>
      </c>
      <c r="AD113" s="148">
        <f t="shared" si="88"/>
        <v>0</v>
      </c>
    </row>
    <row r="114" spans="1:30">
      <c r="A114" s="140">
        <f t="shared" si="89"/>
        <v>0</v>
      </c>
      <c r="B114" s="162" t="str">
        <f t="shared" si="73"/>
        <v>PI</v>
      </c>
      <c r="C114" s="159">
        <f t="shared" si="74"/>
        <v>0</v>
      </c>
      <c r="D114" s="160">
        <f t="shared" si="75"/>
        <v>0</v>
      </c>
      <c r="E114" s="144">
        <f t="shared" si="84"/>
        <v>0</v>
      </c>
      <c r="F114" s="161">
        <f>IF($F$103="No YEAR 4",0,IF(ISNA(VLOOKUP(A114,name_4,$F$9,0)),0,VLOOKUP(A114,name_4,$F$9,0)*(1+'1. SUMMARY'!$C$26)))</f>
        <v>0</v>
      </c>
      <c r="G114" s="146">
        <f t="shared" si="85"/>
        <v>0</v>
      </c>
      <c r="H114" s="146">
        <f t="shared" si="86"/>
        <v>0</v>
      </c>
      <c r="I114" s="147">
        <f t="shared" si="87"/>
        <v>0</v>
      </c>
      <c r="M114" s="148">
        <f t="shared" si="76"/>
        <v>0</v>
      </c>
      <c r="N114" s="148">
        <f t="shared" si="90"/>
        <v>0</v>
      </c>
      <c r="O114" s="148">
        <f t="shared" si="91"/>
        <v>0</v>
      </c>
      <c r="P114" s="148">
        <f t="shared" si="92"/>
        <v>0</v>
      </c>
      <c r="Q114" s="148">
        <f t="shared" si="93"/>
        <v>0</v>
      </c>
      <c r="R114" s="148">
        <f t="shared" si="94"/>
        <v>0</v>
      </c>
      <c r="S114" s="148">
        <f t="shared" si="95"/>
        <v>0</v>
      </c>
      <c r="T114" s="148">
        <f t="shared" si="83"/>
        <v>0</v>
      </c>
      <c r="U114" s="148">
        <f t="shared" si="83"/>
        <v>0</v>
      </c>
      <c r="V114" s="148">
        <f t="shared" si="83"/>
        <v>0</v>
      </c>
      <c r="W114" s="148">
        <f t="shared" si="83"/>
        <v>0</v>
      </c>
      <c r="X114" s="148">
        <f t="shared" si="83"/>
        <v>0</v>
      </c>
      <c r="Y114" s="148">
        <f t="shared" si="83"/>
        <v>0</v>
      </c>
      <c r="Z114" s="148">
        <f t="shared" si="83"/>
        <v>0</v>
      </c>
      <c r="AA114" s="148">
        <f t="shared" si="83"/>
        <v>0</v>
      </c>
      <c r="AB114" s="148">
        <f t="shared" si="83"/>
        <v>0</v>
      </c>
      <c r="AC114" s="148">
        <f t="shared" si="83"/>
        <v>0</v>
      </c>
      <c r="AD114" s="148">
        <f t="shared" si="88"/>
        <v>0</v>
      </c>
    </row>
    <row r="115" spans="1:30">
      <c r="A115" s="140">
        <f t="shared" si="89"/>
        <v>0</v>
      </c>
      <c r="B115" s="162" t="str">
        <f t="shared" si="73"/>
        <v>PI</v>
      </c>
      <c r="C115" s="159">
        <f t="shared" si="74"/>
        <v>0</v>
      </c>
      <c r="D115" s="160">
        <f t="shared" si="75"/>
        <v>0</v>
      </c>
      <c r="E115" s="144">
        <f t="shared" si="84"/>
        <v>0</v>
      </c>
      <c r="F115" s="161">
        <f>IF($F$103="No YEAR 4",0,IF(ISNA(VLOOKUP(A115,name_4,$F$9,0)),0,VLOOKUP(A115,name_4,$F$9,0)*(1+'1. SUMMARY'!$C$26)))</f>
        <v>0</v>
      </c>
      <c r="G115" s="146">
        <f t="shared" si="85"/>
        <v>0</v>
      </c>
      <c r="H115" s="146">
        <f t="shared" si="86"/>
        <v>0</v>
      </c>
      <c r="I115" s="147">
        <f t="shared" si="87"/>
        <v>0</v>
      </c>
      <c r="M115" s="148">
        <f t="shared" si="76"/>
        <v>0</v>
      </c>
      <c r="N115" s="148">
        <f t="shared" si="90"/>
        <v>0</v>
      </c>
      <c r="O115" s="148">
        <f t="shared" si="91"/>
        <v>0</v>
      </c>
      <c r="P115" s="148">
        <f t="shared" si="92"/>
        <v>0</v>
      </c>
      <c r="Q115" s="148">
        <f t="shared" si="93"/>
        <v>0</v>
      </c>
      <c r="R115" s="148">
        <f t="shared" si="94"/>
        <v>0</v>
      </c>
      <c r="S115" s="148">
        <f t="shared" si="95"/>
        <v>0</v>
      </c>
      <c r="T115" s="148">
        <f t="shared" si="83"/>
        <v>0</v>
      </c>
      <c r="U115" s="148">
        <f t="shared" si="83"/>
        <v>0</v>
      </c>
      <c r="V115" s="148">
        <f t="shared" si="83"/>
        <v>0</v>
      </c>
      <c r="W115" s="148">
        <f t="shared" si="83"/>
        <v>0</v>
      </c>
      <c r="X115" s="148">
        <f t="shared" si="83"/>
        <v>0</v>
      </c>
      <c r="Y115" s="148">
        <f t="shared" si="83"/>
        <v>0</v>
      </c>
      <c r="Z115" s="148">
        <f t="shared" si="83"/>
        <v>0</v>
      </c>
      <c r="AA115" s="148">
        <f t="shared" si="83"/>
        <v>0</v>
      </c>
      <c r="AB115" s="148">
        <f t="shared" si="83"/>
        <v>0</v>
      </c>
      <c r="AC115" s="148">
        <f t="shared" si="83"/>
        <v>0</v>
      </c>
      <c r="AD115" s="148">
        <f t="shared" si="88"/>
        <v>0</v>
      </c>
    </row>
    <row r="116" spans="1:30">
      <c r="A116" s="140">
        <f t="shared" si="89"/>
        <v>0</v>
      </c>
      <c r="B116" s="162" t="str">
        <f t="shared" si="73"/>
        <v>PI</v>
      </c>
      <c r="C116" s="159">
        <f t="shared" si="74"/>
        <v>0</v>
      </c>
      <c r="D116" s="160">
        <f t="shared" si="75"/>
        <v>0</v>
      </c>
      <c r="E116" s="144">
        <f t="shared" si="84"/>
        <v>0</v>
      </c>
      <c r="F116" s="161">
        <f>IF($F$103="No YEAR 4",0,IF(ISNA(VLOOKUP(A116,name_4,$F$9,0)),0,VLOOKUP(A116,name_4,$F$9,0)*(1+'1. SUMMARY'!$C$26)))</f>
        <v>0</v>
      </c>
      <c r="G116" s="146">
        <f t="shared" si="85"/>
        <v>0</v>
      </c>
      <c r="H116" s="146">
        <f t="shared" si="86"/>
        <v>0</v>
      </c>
      <c r="I116" s="147">
        <f t="shared" si="87"/>
        <v>0</v>
      </c>
      <c r="M116" s="148">
        <f t="shared" si="76"/>
        <v>0</v>
      </c>
      <c r="N116" s="148">
        <f t="shared" si="90"/>
        <v>0</v>
      </c>
      <c r="O116" s="148">
        <f t="shared" si="91"/>
        <v>0</v>
      </c>
      <c r="P116" s="148">
        <f t="shared" si="92"/>
        <v>0</v>
      </c>
      <c r="Q116" s="148">
        <f t="shared" si="93"/>
        <v>0</v>
      </c>
      <c r="R116" s="148">
        <f t="shared" si="94"/>
        <v>0</v>
      </c>
      <c r="S116" s="148">
        <f t="shared" si="95"/>
        <v>0</v>
      </c>
      <c r="T116" s="148">
        <f t="shared" ref="T116:AC130" si="96">IF(T$104=0,0,(($G116/$AD$104)*T$104)*VLOOKUP($C116,benefits,9,0))</f>
        <v>0</v>
      </c>
      <c r="U116" s="148">
        <f t="shared" si="96"/>
        <v>0</v>
      </c>
      <c r="V116" s="148">
        <f t="shared" si="96"/>
        <v>0</v>
      </c>
      <c r="W116" s="148">
        <f t="shared" si="96"/>
        <v>0</v>
      </c>
      <c r="X116" s="148">
        <f t="shared" si="96"/>
        <v>0</v>
      </c>
      <c r="Y116" s="148">
        <f t="shared" si="96"/>
        <v>0</v>
      </c>
      <c r="Z116" s="148">
        <f t="shared" si="96"/>
        <v>0</v>
      </c>
      <c r="AA116" s="148">
        <f t="shared" si="96"/>
        <v>0</v>
      </c>
      <c r="AB116" s="148">
        <f t="shared" si="96"/>
        <v>0</v>
      </c>
      <c r="AC116" s="148">
        <f t="shared" si="96"/>
        <v>0</v>
      </c>
      <c r="AD116" s="148">
        <f t="shared" si="88"/>
        <v>0</v>
      </c>
    </row>
    <row r="117" spans="1:30">
      <c r="A117" s="140">
        <f t="shared" si="89"/>
        <v>0</v>
      </c>
      <c r="B117" s="162" t="str">
        <f t="shared" si="73"/>
        <v>PI</v>
      </c>
      <c r="C117" s="159">
        <f t="shared" si="74"/>
        <v>0</v>
      </c>
      <c r="D117" s="160">
        <f t="shared" si="75"/>
        <v>0</v>
      </c>
      <c r="E117" s="144">
        <f>IF(ISNA($AD$104*D117),0,$AD$104*D117)</f>
        <v>0</v>
      </c>
      <c r="F117" s="161">
        <f>IF($F$103="No YEAR 4",0,IF(ISNA(VLOOKUP(A117,name_4,$F$9,0)),0,VLOOKUP(A117,name_4,$F$9,0)*(1+'1. SUMMARY'!$C$26)))</f>
        <v>0</v>
      </c>
      <c r="G117" s="146">
        <f t="shared" si="85"/>
        <v>0</v>
      </c>
      <c r="H117" s="146">
        <f t="shared" si="86"/>
        <v>0</v>
      </c>
      <c r="I117" s="147">
        <f t="shared" si="87"/>
        <v>0</v>
      </c>
      <c r="M117" s="148">
        <f t="shared" si="76"/>
        <v>0</v>
      </c>
      <c r="N117" s="148">
        <f t="shared" si="90"/>
        <v>0</v>
      </c>
      <c r="O117" s="148">
        <f t="shared" si="91"/>
        <v>0</v>
      </c>
      <c r="P117" s="148">
        <f t="shared" si="92"/>
        <v>0</v>
      </c>
      <c r="Q117" s="148">
        <f t="shared" si="93"/>
        <v>0</v>
      </c>
      <c r="R117" s="148">
        <f t="shared" si="94"/>
        <v>0</v>
      </c>
      <c r="S117" s="148">
        <f t="shared" si="95"/>
        <v>0</v>
      </c>
      <c r="T117" s="148">
        <f t="shared" si="96"/>
        <v>0</v>
      </c>
      <c r="U117" s="148">
        <f t="shared" si="96"/>
        <v>0</v>
      </c>
      <c r="V117" s="148">
        <f t="shared" si="96"/>
        <v>0</v>
      </c>
      <c r="W117" s="148">
        <f t="shared" si="96"/>
        <v>0</v>
      </c>
      <c r="X117" s="148">
        <f t="shared" si="96"/>
        <v>0</v>
      </c>
      <c r="Y117" s="148">
        <f t="shared" si="96"/>
        <v>0</v>
      </c>
      <c r="Z117" s="148">
        <f t="shared" si="96"/>
        <v>0</v>
      </c>
      <c r="AA117" s="148">
        <f t="shared" si="96"/>
        <v>0</v>
      </c>
      <c r="AB117" s="148">
        <f t="shared" si="96"/>
        <v>0</v>
      </c>
      <c r="AC117" s="148">
        <f t="shared" si="96"/>
        <v>0</v>
      </c>
      <c r="AD117" s="148">
        <f t="shared" si="88"/>
        <v>0</v>
      </c>
    </row>
    <row r="118" spans="1:30">
      <c r="A118" s="140">
        <f t="shared" si="89"/>
        <v>0</v>
      </c>
      <c r="B118" s="162" t="str">
        <f t="shared" si="73"/>
        <v>PI</v>
      </c>
      <c r="C118" s="159">
        <f t="shared" si="74"/>
        <v>0</v>
      </c>
      <c r="D118" s="160">
        <f t="shared" si="75"/>
        <v>0</v>
      </c>
      <c r="E118" s="144">
        <f t="shared" si="84"/>
        <v>0</v>
      </c>
      <c r="F118" s="161">
        <f>IF($F$103="No YEAR 4",0,IF(ISNA(VLOOKUP(A118,name_4,$F$9,0)),0,VLOOKUP(A118,name_4,$F$9,0)*(1+'1. SUMMARY'!$C$26)))</f>
        <v>0</v>
      </c>
      <c r="G118" s="146">
        <f t="shared" si="85"/>
        <v>0</v>
      </c>
      <c r="H118" s="146">
        <f t="shared" si="86"/>
        <v>0</v>
      </c>
      <c r="I118" s="147">
        <f t="shared" si="87"/>
        <v>0</v>
      </c>
      <c r="M118" s="148">
        <f t="shared" si="76"/>
        <v>0</v>
      </c>
      <c r="N118" s="148">
        <f t="shared" si="90"/>
        <v>0</v>
      </c>
      <c r="O118" s="148">
        <f t="shared" si="91"/>
        <v>0</v>
      </c>
      <c r="P118" s="148">
        <f t="shared" si="92"/>
        <v>0</v>
      </c>
      <c r="Q118" s="148">
        <f t="shared" si="93"/>
        <v>0</v>
      </c>
      <c r="R118" s="148">
        <f t="shared" si="94"/>
        <v>0</v>
      </c>
      <c r="S118" s="148">
        <f t="shared" si="95"/>
        <v>0</v>
      </c>
      <c r="T118" s="148">
        <f t="shared" si="96"/>
        <v>0</v>
      </c>
      <c r="U118" s="148">
        <f t="shared" si="96"/>
        <v>0</v>
      </c>
      <c r="V118" s="148">
        <f t="shared" si="96"/>
        <v>0</v>
      </c>
      <c r="W118" s="148">
        <f t="shared" si="96"/>
        <v>0</v>
      </c>
      <c r="X118" s="148">
        <f t="shared" si="96"/>
        <v>0</v>
      </c>
      <c r="Y118" s="148">
        <f t="shared" si="96"/>
        <v>0</v>
      </c>
      <c r="Z118" s="148">
        <f t="shared" si="96"/>
        <v>0</v>
      </c>
      <c r="AA118" s="148">
        <f t="shared" si="96"/>
        <v>0</v>
      </c>
      <c r="AB118" s="148">
        <f t="shared" si="96"/>
        <v>0</v>
      </c>
      <c r="AC118" s="148">
        <f t="shared" si="96"/>
        <v>0</v>
      </c>
      <c r="AD118" s="148">
        <f t="shared" si="88"/>
        <v>0</v>
      </c>
    </row>
    <row r="119" spans="1:30">
      <c r="A119" s="140">
        <f t="shared" si="89"/>
        <v>0</v>
      </c>
      <c r="B119" s="162" t="str">
        <f t="shared" si="73"/>
        <v>PI</v>
      </c>
      <c r="C119" s="159">
        <f t="shared" si="74"/>
        <v>0</v>
      </c>
      <c r="D119" s="160">
        <f t="shared" si="75"/>
        <v>0</v>
      </c>
      <c r="E119" s="144">
        <f t="shared" si="84"/>
        <v>0</v>
      </c>
      <c r="F119" s="161">
        <f>IF($F$103="No YEAR 4",0,IF(ISNA(VLOOKUP(A119,name_4,$F$9,0)),0,VLOOKUP(A119,name_4,$F$9,0)*(1+'1. SUMMARY'!$C$26)))</f>
        <v>0</v>
      </c>
      <c r="G119" s="146">
        <f t="shared" si="85"/>
        <v>0</v>
      </c>
      <c r="H119" s="146">
        <f t="shared" si="86"/>
        <v>0</v>
      </c>
      <c r="I119" s="147">
        <f t="shared" si="87"/>
        <v>0</v>
      </c>
      <c r="M119" s="148">
        <f t="shared" ref="M119:M130" si="97">IF($M$104=0,0,((G119/$AD$104)*$M$104)*VLOOKUP(C87,benefits,2,0))</f>
        <v>0</v>
      </c>
      <c r="N119" s="148">
        <f t="shared" si="77"/>
        <v>0</v>
      </c>
      <c r="O119" s="148">
        <f t="shared" si="78"/>
        <v>0</v>
      </c>
      <c r="P119" s="148">
        <f t="shared" si="79"/>
        <v>0</v>
      </c>
      <c r="Q119" s="148">
        <f t="shared" si="80"/>
        <v>0</v>
      </c>
      <c r="R119" s="148">
        <f t="shared" si="81"/>
        <v>0</v>
      </c>
      <c r="S119" s="148">
        <f t="shared" si="82"/>
        <v>0</v>
      </c>
      <c r="T119" s="148">
        <f t="shared" si="96"/>
        <v>0</v>
      </c>
      <c r="U119" s="148">
        <f t="shared" si="96"/>
        <v>0</v>
      </c>
      <c r="V119" s="148">
        <f t="shared" si="96"/>
        <v>0</v>
      </c>
      <c r="W119" s="148">
        <f t="shared" si="96"/>
        <v>0</v>
      </c>
      <c r="X119" s="148">
        <f t="shared" si="96"/>
        <v>0</v>
      </c>
      <c r="Y119" s="148">
        <f t="shared" si="96"/>
        <v>0</v>
      </c>
      <c r="Z119" s="148">
        <f t="shared" si="96"/>
        <v>0</v>
      </c>
      <c r="AA119" s="148">
        <f t="shared" si="96"/>
        <v>0</v>
      </c>
      <c r="AB119" s="148">
        <f t="shared" si="96"/>
        <v>0</v>
      </c>
      <c r="AC119" s="148">
        <f t="shared" si="96"/>
        <v>0</v>
      </c>
      <c r="AD119" s="148">
        <f t="shared" si="88"/>
        <v>0</v>
      </c>
    </row>
    <row r="120" spans="1:30">
      <c r="A120" s="140">
        <f t="shared" si="89"/>
        <v>0</v>
      </c>
      <c r="B120" s="162" t="str">
        <f t="shared" si="73"/>
        <v>PI</v>
      </c>
      <c r="C120" s="159">
        <f t="shared" si="74"/>
        <v>0</v>
      </c>
      <c r="D120" s="160">
        <f t="shared" si="75"/>
        <v>0</v>
      </c>
      <c r="E120" s="144">
        <f t="shared" si="84"/>
        <v>0</v>
      </c>
      <c r="F120" s="161">
        <f>IF($F$103="No YEAR 4",0,IF(ISNA(VLOOKUP(A120,name_4,$F$9,0)),0,VLOOKUP(A120,name_4,$F$9,0)*(1+'1. SUMMARY'!$C$26)))</f>
        <v>0</v>
      </c>
      <c r="G120" s="146">
        <f t="shared" si="85"/>
        <v>0</v>
      </c>
      <c r="H120" s="146">
        <f t="shared" si="86"/>
        <v>0</v>
      </c>
      <c r="I120" s="147">
        <f t="shared" si="87"/>
        <v>0</v>
      </c>
      <c r="M120" s="148">
        <f t="shared" si="97"/>
        <v>0</v>
      </c>
      <c r="N120" s="148">
        <f t="shared" si="77"/>
        <v>0</v>
      </c>
      <c r="O120" s="148">
        <f t="shared" si="78"/>
        <v>0</v>
      </c>
      <c r="P120" s="148">
        <f t="shared" si="79"/>
        <v>0</v>
      </c>
      <c r="Q120" s="148">
        <f t="shared" si="80"/>
        <v>0</v>
      </c>
      <c r="R120" s="148">
        <f t="shared" si="81"/>
        <v>0</v>
      </c>
      <c r="S120" s="148">
        <f t="shared" si="82"/>
        <v>0</v>
      </c>
      <c r="T120" s="148">
        <f t="shared" si="96"/>
        <v>0</v>
      </c>
      <c r="U120" s="148">
        <f t="shared" si="96"/>
        <v>0</v>
      </c>
      <c r="V120" s="148">
        <f t="shared" si="96"/>
        <v>0</v>
      </c>
      <c r="W120" s="148">
        <f t="shared" si="96"/>
        <v>0</v>
      </c>
      <c r="X120" s="148">
        <f t="shared" si="96"/>
        <v>0</v>
      </c>
      <c r="Y120" s="148">
        <f t="shared" si="96"/>
        <v>0</v>
      </c>
      <c r="Z120" s="148">
        <f t="shared" si="96"/>
        <v>0</v>
      </c>
      <c r="AA120" s="148">
        <f t="shared" si="96"/>
        <v>0</v>
      </c>
      <c r="AB120" s="148">
        <f t="shared" si="96"/>
        <v>0</v>
      </c>
      <c r="AC120" s="148">
        <f t="shared" si="96"/>
        <v>0</v>
      </c>
      <c r="AD120" s="148">
        <f t="shared" si="88"/>
        <v>0</v>
      </c>
    </row>
    <row r="121" spans="1:30">
      <c r="A121" s="140">
        <f t="shared" si="89"/>
        <v>0</v>
      </c>
      <c r="B121" s="162" t="str">
        <f t="shared" si="73"/>
        <v>PI</v>
      </c>
      <c r="C121" s="159">
        <f t="shared" si="74"/>
        <v>0</v>
      </c>
      <c r="D121" s="160">
        <f t="shared" si="75"/>
        <v>0</v>
      </c>
      <c r="E121" s="144">
        <f t="shared" si="84"/>
        <v>0</v>
      </c>
      <c r="F121" s="161">
        <f>IF($F$103="No YEAR 4",0,IF(ISNA(VLOOKUP(A121,name_4,$F$9,0)),0,VLOOKUP(A121,name_4,$F$9,0)*(1+'1. SUMMARY'!$C$26)))</f>
        <v>0</v>
      </c>
      <c r="G121" s="146">
        <f t="shared" si="85"/>
        <v>0</v>
      </c>
      <c r="H121" s="146">
        <f t="shared" si="86"/>
        <v>0</v>
      </c>
      <c r="I121" s="147">
        <f t="shared" si="87"/>
        <v>0</v>
      </c>
      <c r="M121" s="148">
        <f t="shared" si="97"/>
        <v>0</v>
      </c>
      <c r="N121" s="148">
        <f t="shared" si="77"/>
        <v>0</v>
      </c>
      <c r="O121" s="148">
        <f t="shared" si="78"/>
        <v>0</v>
      </c>
      <c r="P121" s="148">
        <f t="shared" si="79"/>
        <v>0</v>
      </c>
      <c r="Q121" s="148">
        <f t="shared" si="80"/>
        <v>0</v>
      </c>
      <c r="R121" s="148">
        <f t="shared" si="81"/>
        <v>0</v>
      </c>
      <c r="S121" s="148">
        <f t="shared" si="82"/>
        <v>0</v>
      </c>
      <c r="T121" s="148">
        <f t="shared" si="96"/>
        <v>0</v>
      </c>
      <c r="U121" s="148">
        <f t="shared" si="96"/>
        <v>0</v>
      </c>
      <c r="V121" s="148">
        <f t="shared" si="96"/>
        <v>0</v>
      </c>
      <c r="W121" s="148">
        <f t="shared" si="96"/>
        <v>0</v>
      </c>
      <c r="X121" s="148">
        <f t="shared" si="96"/>
        <v>0</v>
      </c>
      <c r="Y121" s="148">
        <f t="shared" si="96"/>
        <v>0</v>
      </c>
      <c r="Z121" s="148">
        <f t="shared" si="96"/>
        <v>0</v>
      </c>
      <c r="AA121" s="148">
        <f t="shared" si="96"/>
        <v>0</v>
      </c>
      <c r="AB121" s="148">
        <f t="shared" si="96"/>
        <v>0</v>
      </c>
      <c r="AC121" s="148">
        <f t="shared" si="96"/>
        <v>0</v>
      </c>
      <c r="AD121" s="148">
        <f t="shared" si="88"/>
        <v>0</v>
      </c>
    </row>
    <row r="122" spans="1:30">
      <c r="A122" s="140">
        <f t="shared" si="89"/>
        <v>0</v>
      </c>
      <c r="B122" s="162" t="str">
        <f t="shared" si="73"/>
        <v>PI</v>
      </c>
      <c r="C122" s="159">
        <f t="shared" si="74"/>
        <v>0</v>
      </c>
      <c r="D122" s="160">
        <f t="shared" si="75"/>
        <v>0</v>
      </c>
      <c r="E122" s="144">
        <f t="shared" si="84"/>
        <v>0</v>
      </c>
      <c r="F122" s="161">
        <f>IF($F$103="No YEAR 4",0,IF(ISNA(VLOOKUP(A122,name_4,$F$9,0)),0,VLOOKUP(A122,name_4,$F$9,0)*(1+'1. SUMMARY'!$C$26)))</f>
        <v>0</v>
      </c>
      <c r="G122" s="146">
        <f t="shared" si="85"/>
        <v>0</v>
      </c>
      <c r="H122" s="146">
        <f t="shared" si="86"/>
        <v>0</v>
      </c>
      <c r="I122" s="147">
        <f t="shared" si="87"/>
        <v>0</v>
      </c>
      <c r="M122" s="148">
        <f t="shared" si="97"/>
        <v>0</v>
      </c>
      <c r="N122" s="148">
        <f t="shared" si="77"/>
        <v>0</v>
      </c>
      <c r="O122" s="148">
        <f t="shared" si="78"/>
        <v>0</v>
      </c>
      <c r="P122" s="148">
        <f t="shared" si="79"/>
        <v>0</v>
      </c>
      <c r="Q122" s="148">
        <f t="shared" si="80"/>
        <v>0</v>
      </c>
      <c r="R122" s="148">
        <f t="shared" si="81"/>
        <v>0</v>
      </c>
      <c r="S122" s="148">
        <f t="shared" si="82"/>
        <v>0</v>
      </c>
      <c r="T122" s="148">
        <f t="shared" si="96"/>
        <v>0</v>
      </c>
      <c r="U122" s="148">
        <f t="shared" si="96"/>
        <v>0</v>
      </c>
      <c r="V122" s="148">
        <f t="shared" si="96"/>
        <v>0</v>
      </c>
      <c r="W122" s="148">
        <f t="shared" si="96"/>
        <v>0</v>
      </c>
      <c r="X122" s="148">
        <f t="shared" si="96"/>
        <v>0</v>
      </c>
      <c r="Y122" s="148">
        <f t="shared" si="96"/>
        <v>0</v>
      </c>
      <c r="Z122" s="148">
        <f t="shared" si="96"/>
        <v>0</v>
      </c>
      <c r="AA122" s="148">
        <f t="shared" si="96"/>
        <v>0</v>
      </c>
      <c r="AB122" s="148">
        <f t="shared" si="96"/>
        <v>0</v>
      </c>
      <c r="AC122" s="148">
        <f t="shared" si="96"/>
        <v>0</v>
      </c>
      <c r="AD122" s="148">
        <f t="shared" si="88"/>
        <v>0</v>
      </c>
    </row>
    <row r="123" spans="1:30">
      <c r="A123" s="140">
        <f t="shared" si="89"/>
        <v>0</v>
      </c>
      <c r="B123" s="162" t="str">
        <f t="shared" si="73"/>
        <v>PI</v>
      </c>
      <c r="C123" s="159">
        <f t="shared" si="74"/>
        <v>0</v>
      </c>
      <c r="D123" s="160">
        <f t="shared" si="75"/>
        <v>0</v>
      </c>
      <c r="E123" s="144">
        <f t="shared" si="84"/>
        <v>0</v>
      </c>
      <c r="F123" s="161">
        <f>IF($F$103="No YEAR 4",0,IF(ISNA(VLOOKUP(A123,name_4,$F$9,0)),0,VLOOKUP(A123,name_4,$F$9,0)*(1+'1. SUMMARY'!$C$26)))</f>
        <v>0</v>
      </c>
      <c r="G123" s="146">
        <f t="shared" si="85"/>
        <v>0</v>
      </c>
      <c r="H123" s="146">
        <f t="shared" si="86"/>
        <v>0</v>
      </c>
      <c r="I123" s="147">
        <f t="shared" si="87"/>
        <v>0</v>
      </c>
      <c r="M123" s="148">
        <f t="shared" si="97"/>
        <v>0</v>
      </c>
      <c r="N123" s="148">
        <f t="shared" si="77"/>
        <v>0</v>
      </c>
      <c r="O123" s="148">
        <f t="shared" si="78"/>
        <v>0</v>
      </c>
      <c r="P123" s="148">
        <f t="shared" si="79"/>
        <v>0</v>
      </c>
      <c r="Q123" s="148">
        <f t="shared" si="80"/>
        <v>0</v>
      </c>
      <c r="R123" s="148">
        <f t="shared" si="81"/>
        <v>0</v>
      </c>
      <c r="S123" s="148">
        <f t="shared" si="82"/>
        <v>0</v>
      </c>
      <c r="T123" s="148">
        <f t="shared" si="96"/>
        <v>0</v>
      </c>
      <c r="U123" s="148">
        <f t="shared" si="96"/>
        <v>0</v>
      </c>
      <c r="V123" s="148">
        <f t="shared" si="96"/>
        <v>0</v>
      </c>
      <c r="W123" s="148">
        <f t="shared" si="96"/>
        <v>0</v>
      </c>
      <c r="X123" s="148">
        <f t="shared" si="96"/>
        <v>0</v>
      </c>
      <c r="Y123" s="148">
        <f t="shared" si="96"/>
        <v>0</v>
      </c>
      <c r="Z123" s="148">
        <f t="shared" si="96"/>
        <v>0</v>
      </c>
      <c r="AA123" s="148">
        <f t="shared" si="96"/>
        <v>0</v>
      </c>
      <c r="AB123" s="148">
        <f t="shared" si="96"/>
        <v>0</v>
      </c>
      <c r="AC123" s="148">
        <f t="shared" si="96"/>
        <v>0</v>
      </c>
      <c r="AD123" s="148">
        <f t="shared" si="88"/>
        <v>0</v>
      </c>
    </row>
    <row r="124" spans="1:30">
      <c r="A124" s="140">
        <f t="shared" si="89"/>
        <v>0</v>
      </c>
      <c r="B124" s="162" t="str">
        <f t="shared" si="73"/>
        <v>PI</v>
      </c>
      <c r="C124" s="159">
        <f t="shared" si="74"/>
        <v>0</v>
      </c>
      <c r="D124" s="160">
        <f t="shared" si="75"/>
        <v>0</v>
      </c>
      <c r="E124" s="144">
        <f t="shared" si="84"/>
        <v>0</v>
      </c>
      <c r="F124" s="161">
        <f>IF($F$103="No YEAR 4",0,IF(ISNA(VLOOKUP(A124,name_4,$F$9,0)),0,VLOOKUP(A124,name_4,$F$9,0)*(1+'1. SUMMARY'!$C$26)))</f>
        <v>0</v>
      </c>
      <c r="G124" s="146">
        <f t="shared" si="85"/>
        <v>0</v>
      </c>
      <c r="H124" s="146">
        <f t="shared" si="86"/>
        <v>0</v>
      </c>
      <c r="I124" s="147">
        <f t="shared" si="87"/>
        <v>0</v>
      </c>
      <c r="M124" s="148">
        <f t="shared" si="97"/>
        <v>0</v>
      </c>
      <c r="N124" s="148">
        <f t="shared" si="77"/>
        <v>0</v>
      </c>
      <c r="O124" s="148">
        <f t="shared" si="78"/>
        <v>0</v>
      </c>
      <c r="P124" s="148">
        <f t="shared" si="79"/>
        <v>0</v>
      </c>
      <c r="Q124" s="148">
        <f t="shared" si="80"/>
        <v>0</v>
      </c>
      <c r="R124" s="148">
        <f t="shared" si="81"/>
        <v>0</v>
      </c>
      <c r="S124" s="148">
        <f t="shared" si="82"/>
        <v>0</v>
      </c>
      <c r="T124" s="148">
        <f t="shared" si="96"/>
        <v>0</v>
      </c>
      <c r="U124" s="148">
        <f t="shared" si="96"/>
        <v>0</v>
      </c>
      <c r="V124" s="148">
        <f t="shared" si="96"/>
        <v>0</v>
      </c>
      <c r="W124" s="148">
        <f t="shared" si="96"/>
        <v>0</v>
      </c>
      <c r="X124" s="148">
        <f t="shared" si="96"/>
        <v>0</v>
      </c>
      <c r="Y124" s="148">
        <f t="shared" si="96"/>
        <v>0</v>
      </c>
      <c r="Z124" s="148">
        <f t="shared" si="96"/>
        <v>0</v>
      </c>
      <c r="AA124" s="148">
        <f t="shared" si="96"/>
        <v>0</v>
      </c>
      <c r="AB124" s="148">
        <f t="shared" si="96"/>
        <v>0</v>
      </c>
      <c r="AC124" s="148">
        <f t="shared" si="96"/>
        <v>0</v>
      </c>
      <c r="AD124" s="148">
        <f t="shared" si="88"/>
        <v>0</v>
      </c>
    </row>
    <row r="125" spans="1:30">
      <c r="A125" s="140">
        <f t="shared" si="89"/>
        <v>0</v>
      </c>
      <c r="B125" s="162" t="str">
        <f t="shared" si="73"/>
        <v>PI</v>
      </c>
      <c r="C125" s="159">
        <f t="shared" si="74"/>
        <v>0</v>
      </c>
      <c r="D125" s="160">
        <f t="shared" si="75"/>
        <v>0</v>
      </c>
      <c r="E125" s="144">
        <f t="shared" si="84"/>
        <v>0</v>
      </c>
      <c r="F125" s="161">
        <f>IF($F$103="No YEAR 4",0,IF(ISNA(VLOOKUP(A125,name_4,$F$9,0)),0,VLOOKUP(A125,name_4,$F$9,0)*(1+'1. SUMMARY'!$C$26)))</f>
        <v>0</v>
      </c>
      <c r="G125" s="146">
        <f t="shared" si="85"/>
        <v>0</v>
      </c>
      <c r="H125" s="146">
        <f t="shared" si="86"/>
        <v>0</v>
      </c>
      <c r="I125" s="147">
        <f t="shared" si="87"/>
        <v>0</v>
      </c>
      <c r="M125" s="148">
        <f t="shared" si="97"/>
        <v>0</v>
      </c>
      <c r="N125" s="148">
        <f t="shared" si="77"/>
        <v>0</v>
      </c>
      <c r="O125" s="148">
        <f t="shared" si="78"/>
        <v>0</v>
      </c>
      <c r="P125" s="148">
        <f t="shared" si="79"/>
        <v>0</v>
      </c>
      <c r="Q125" s="148">
        <f t="shared" si="80"/>
        <v>0</v>
      </c>
      <c r="R125" s="148">
        <f t="shared" si="81"/>
        <v>0</v>
      </c>
      <c r="S125" s="148">
        <f t="shared" si="82"/>
        <v>0</v>
      </c>
      <c r="T125" s="148">
        <f t="shared" si="96"/>
        <v>0</v>
      </c>
      <c r="U125" s="148">
        <f t="shared" si="96"/>
        <v>0</v>
      </c>
      <c r="V125" s="148">
        <f t="shared" si="96"/>
        <v>0</v>
      </c>
      <c r="W125" s="148">
        <f t="shared" si="96"/>
        <v>0</v>
      </c>
      <c r="X125" s="148">
        <f t="shared" si="96"/>
        <v>0</v>
      </c>
      <c r="Y125" s="148">
        <f t="shared" si="96"/>
        <v>0</v>
      </c>
      <c r="Z125" s="148">
        <f t="shared" si="96"/>
        <v>0</v>
      </c>
      <c r="AA125" s="148">
        <f t="shared" si="96"/>
        <v>0</v>
      </c>
      <c r="AB125" s="148">
        <f t="shared" si="96"/>
        <v>0</v>
      </c>
      <c r="AC125" s="148">
        <f t="shared" si="96"/>
        <v>0</v>
      </c>
      <c r="AD125" s="148">
        <f t="shared" si="88"/>
        <v>0</v>
      </c>
    </row>
    <row r="126" spans="1:30">
      <c r="A126" s="140">
        <f t="shared" si="89"/>
        <v>0</v>
      </c>
      <c r="B126" s="162" t="str">
        <f t="shared" si="73"/>
        <v>PI</v>
      </c>
      <c r="C126" s="159">
        <f t="shared" si="74"/>
        <v>0</v>
      </c>
      <c r="D126" s="160">
        <f t="shared" si="75"/>
        <v>0</v>
      </c>
      <c r="E126" s="144">
        <f t="shared" si="84"/>
        <v>0</v>
      </c>
      <c r="F126" s="161">
        <f>IF($F$103="No YEAR 4",0,IF(ISNA(VLOOKUP(A126,name_4,$F$9,0)),0,VLOOKUP(A126,name_4,$F$9,0)*(1+'1. SUMMARY'!$C$26)))</f>
        <v>0</v>
      </c>
      <c r="G126" s="146">
        <f t="shared" si="85"/>
        <v>0</v>
      </c>
      <c r="H126" s="146">
        <f t="shared" si="86"/>
        <v>0</v>
      </c>
      <c r="I126" s="147">
        <f t="shared" si="87"/>
        <v>0</v>
      </c>
      <c r="M126" s="148">
        <f t="shared" si="97"/>
        <v>0</v>
      </c>
      <c r="N126" s="148">
        <f t="shared" si="77"/>
        <v>0</v>
      </c>
      <c r="O126" s="148">
        <f t="shared" si="78"/>
        <v>0</v>
      </c>
      <c r="P126" s="148">
        <f t="shared" si="79"/>
        <v>0</v>
      </c>
      <c r="Q126" s="148">
        <f t="shared" si="80"/>
        <v>0</v>
      </c>
      <c r="R126" s="148">
        <f t="shared" si="81"/>
        <v>0</v>
      </c>
      <c r="S126" s="148">
        <f t="shared" si="82"/>
        <v>0</v>
      </c>
      <c r="T126" s="148">
        <f t="shared" si="96"/>
        <v>0</v>
      </c>
      <c r="U126" s="148">
        <f t="shared" si="96"/>
        <v>0</v>
      </c>
      <c r="V126" s="148">
        <f t="shared" si="96"/>
        <v>0</v>
      </c>
      <c r="W126" s="148">
        <f t="shared" si="96"/>
        <v>0</v>
      </c>
      <c r="X126" s="148">
        <f t="shared" si="96"/>
        <v>0</v>
      </c>
      <c r="Y126" s="148">
        <f t="shared" si="96"/>
        <v>0</v>
      </c>
      <c r="Z126" s="148">
        <f t="shared" si="96"/>
        <v>0</v>
      </c>
      <c r="AA126" s="148">
        <f t="shared" si="96"/>
        <v>0</v>
      </c>
      <c r="AB126" s="148">
        <f t="shared" si="96"/>
        <v>0</v>
      </c>
      <c r="AC126" s="148">
        <f t="shared" si="96"/>
        <v>0</v>
      </c>
      <c r="AD126" s="148">
        <f t="shared" si="88"/>
        <v>0</v>
      </c>
    </row>
    <row r="127" spans="1:30">
      <c r="A127" s="140">
        <f t="shared" si="89"/>
        <v>0</v>
      </c>
      <c r="B127" s="162" t="str">
        <f t="shared" si="73"/>
        <v>PI</v>
      </c>
      <c r="C127" s="159">
        <f t="shared" si="74"/>
        <v>0</v>
      </c>
      <c r="D127" s="160">
        <f t="shared" si="75"/>
        <v>0</v>
      </c>
      <c r="E127" s="144">
        <f t="shared" si="84"/>
        <v>0</v>
      </c>
      <c r="F127" s="161">
        <f>IF($F$103="No YEAR 4",0,IF(ISNA(VLOOKUP(A127,name_4,$F$9,0)),0,VLOOKUP(A127,name_4,$F$9,0)*(1+'1. SUMMARY'!$C$26)))</f>
        <v>0</v>
      </c>
      <c r="G127" s="146">
        <f t="shared" si="85"/>
        <v>0</v>
      </c>
      <c r="H127" s="146">
        <f t="shared" si="86"/>
        <v>0</v>
      </c>
      <c r="I127" s="147">
        <f t="shared" si="87"/>
        <v>0</v>
      </c>
      <c r="M127" s="148">
        <f t="shared" si="97"/>
        <v>0</v>
      </c>
      <c r="N127" s="148">
        <f t="shared" si="77"/>
        <v>0</v>
      </c>
      <c r="O127" s="148">
        <f t="shared" si="78"/>
        <v>0</v>
      </c>
      <c r="P127" s="148">
        <f t="shared" si="79"/>
        <v>0</v>
      </c>
      <c r="Q127" s="148">
        <f t="shared" si="80"/>
        <v>0</v>
      </c>
      <c r="R127" s="148">
        <f t="shared" si="81"/>
        <v>0</v>
      </c>
      <c r="S127" s="148">
        <f t="shared" si="82"/>
        <v>0</v>
      </c>
      <c r="T127" s="148">
        <f t="shared" si="96"/>
        <v>0</v>
      </c>
      <c r="U127" s="148">
        <f t="shared" si="96"/>
        <v>0</v>
      </c>
      <c r="V127" s="148">
        <f t="shared" si="96"/>
        <v>0</v>
      </c>
      <c r="W127" s="148">
        <f t="shared" si="96"/>
        <v>0</v>
      </c>
      <c r="X127" s="148">
        <f t="shared" si="96"/>
        <v>0</v>
      </c>
      <c r="Y127" s="148">
        <f t="shared" si="96"/>
        <v>0</v>
      </c>
      <c r="Z127" s="148">
        <f t="shared" si="96"/>
        <v>0</v>
      </c>
      <c r="AA127" s="148">
        <f t="shared" si="96"/>
        <v>0</v>
      </c>
      <c r="AB127" s="148">
        <f t="shared" si="96"/>
        <v>0</v>
      </c>
      <c r="AC127" s="148">
        <f t="shared" si="96"/>
        <v>0</v>
      </c>
      <c r="AD127" s="148">
        <f t="shared" si="88"/>
        <v>0</v>
      </c>
    </row>
    <row r="128" spans="1:30">
      <c r="A128" s="140">
        <f t="shared" si="89"/>
        <v>0</v>
      </c>
      <c r="B128" s="162" t="str">
        <f t="shared" si="73"/>
        <v>PI</v>
      </c>
      <c r="C128" s="159">
        <f t="shared" si="74"/>
        <v>0</v>
      </c>
      <c r="D128" s="160">
        <f t="shared" si="75"/>
        <v>0</v>
      </c>
      <c r="E128" s="144">
        <f t="shared" si="84"/>
        <v>0</v>
      </c>
      <c r="F128" s="161">
        <f>IF($F$103="No YEAR 4",0,IF(ISNA(VLOOKUP(A128,name_4,$F$9,0)),0,VLOOKUP(A128,name_4,$F$9,0)*(1+'1. SUMMARY'!$C$26)))</f>
        <v>0</v>
      </c>
      <c r="G128" s="146">
        <f t="shared" si="85"/>
        <v>0</v>
      </c>
      <c r="H128" s="146">
        <f t="shared" si="86"/>
        <v>0</v>
      </c>
      <c r="I128" s="147">
        <f t="shared" si="87"/>
        <v>0</v>
      </c>
      <c r="M128" s="148">
        <f t="shared" si="97"/>
        <v>0</v>
      </c>
      <c r="N128" s="148">
        <f t="shared" si="77"/>
        <v>0</v>
      </c>
      <c r="O128" s="148">
        <f t="shared" si="78"/>
        <v>0</v>
      </c>
      <c r="P128" s="148">
        <f t="shared" si="79"/>
        <v>0</v>
      </c>
      <c r="Q128" s="148">
        <f t="shared" si="80"/>
        <v>0</v>
      </c>
      <c r="R128" s="148">
        <f t="shared" si="81"/>
        <v>0</v>
      </c>
      <c r="S128" s="148">
        <f t="shared" si="82"/>
        <v>0</v>
      </c>
      <c r="T128" s="148">
        <f t="shared" si="96"/>
        <v>0</v>
      </c>
      <c r="U128" s="148">
        <f t="shared" si="96"/>
        <v>0</v>
      </c>
      <c r="V128" s="148">
        <f t="shared" si="96"/>
        <v>0</v>
      </c>
      <c r="W128" s="148">
        <f t="shared" si="96"/>
        <v>0</v>
      </c>
      <c r="X128" s="148">
        <f t="shared" si="96"/>
        <v>0</v>
      </c>
      <c r="Y128" s="148">
        <f t="shared" si="96"/>
        <v>0</v>
      </c>
      <c r="Z128" s="148">
        <f t="shared" si="96"/>
        <v>0</v>
      </c>
      <c r="AA128" s="148">
        <f t="shared" si="96"/>
        <v>0</v>
      </c>
      <c r="AB128" s="148">
        <f t="shared" si="96"/>
        <v>0</v>
      </c>
      <c r="AC128" s="148">
        <f t="shared" si="96"/>
        <v>0</v>
      </c>
      <c r="AD128" s="148">
        <f t="shared" si="88"/>
        <v>0</v>
      </c>
    </row>
    <row r="129" spans="1:30">
      <c r="A129" s="140">
        <f t="shared" si="89"/>
        <v>0</v>
      </c>
      <c r="B129" s="162" t="str">
        <f t="shared" si="73"/>
        <v>PI</v>
      </c>
      <c r="C129" s="159">
        <f t="shared" si="74"/>
        <v>0</v>
      </c>
      <c r="D129" s="160">
        <f t="shared" si="75"/>
        <v>0</v>
      </c>
      <c r="E129" s="144">
        <f t="shared" si="84"/>
        <v>0</v>
      </c>
      <c r="F129" s="161">
        <f>IF($F$103="No YEAR 4",0,IF(ISNA(VLOOKUP(A129,name_4,$F$9,0)),0,VLOOKUP(A129,name_4,$F$9,0)*(1+'1. SUMMARY'!$C$26)))</f>
        <v>0</v>
      </c>
      <c r="G129" s="146">
        <f>(F129/12)*$AD$104*D129</f>
        <v>0</v>
      </c>
      <c r="H129" s="146">
        <f t="shared" si="86"/>
        <v>0</v>
      </c>
      <c r="I129" s="147">
        <f t="shared" si="87"/>
        <v>0</v>
      </c>
      <c r="M129" s="148">
        <f t="shared" si="97"/>
        <v>0</v>
      </c>
      <c r="N129" s="148">
        <f t="shared" si="77"/>
        <v>0</v>
      </c>
      <c r="O129" s="148">
        <f t="shared" si="78"/>
        <v>0</v>
      </c>
      <c r="P129" s="148">
        <f t="shared" si="79"/>
        <v>0</v>
      </c>
      <c r="Q129" s="148">
        <f t="shared" si="80"/>
        <v>0</v>
      </c>
      <c r="R129" s="148">
        <f t="shared" si="81"/>
        <v>0</v>
      </c>
      <c r="S129" s="148">
        <f t="shared" si="82"/>
        <v>0</v>
      </c>
      <c r="T129" s="148">
        <f t="shared" si="96"/>
        <v>0</v>
      </c>
      <c r="U129" s="148">
        <f t="shared" si="96"/>
        <v>0</v>
      </c>
      <c r="V129" s="148">
        <f t="shared" si="96"/>
        <v>0</v>
      </c>
      <c r="W129" s="148">
        <f t="shared" si="96"/>
        <v>0</v>
      </c>
      <c r="X129" s="148">
        <f t="shared" si="96"/>
        <v>0</v>
      </c>
      <c r="Y129" s="148">
        <f t="shared" si="96"/>
        <v>0</v>
      </c>
      <c r="Z129" s="148">
        <f t="shared" si="96"/>
        <v>0</v>
      </c>
      <c r="AA129" s="148">
        <f t="shared" si="96"/>
        <v>0</v>
      </c>
      <c r="AB129" s="148">
        <f t="shared" si="96"/>
        <v>0</v>
      </c>
      <c r="AC129" s="148">
        <f t="shared" si="96"/>
        <v>0</v>
      </c>
      <c r="AD129" s="148">
        <f t="shared" si="88"/>
        <v>0</v>
      </c>
    </row>
    <row r="130" spans="1:30">
      <c r="A130" s="140">
        <f t="shared" si="89"/>
        <v>0</v>
      </c>
      <c r="B130" s="162" t="str">
        <f t="shared" si="73"/>
        <v>PI</v>
      </c>
      <c r="C130" s="159">
        <f t="shared" si="74"/>
        <v>0</v>
      </c>
      <c r="D130" s="160">
        <f t="shared" si="75"/>
        <v>0</v>
      </c>
      <c r="E130" s="144">
        <f t="shared" si="84"/>
        <v>0</v>
      </c>
      <c r="F130" s="161">
        <f>IF($F$103="No YEAR 4",0,IF(ISNA(VLOOKUP(A130,name_4,$F$9,0)),0,VLOOKUP(A130,name_4,$F$9,0)*(1+'1. SUMMARY'!$C$26)))</f>
        <v>0</v>
      </c>
      <c r="G130" s="146">
        <f t="shared" si="85"/>
        <v>0</v>
      </c>
      <c r="H130" s="146">
        <f t="shared" si="86"/>
        <v>0</v>
      </c>
      <c r="I130" s="147">
        <f t="shared" si="87"/>
        <v>0</v>
      </c>
      <c r="M130" s="148">
        <f t="shared" si="97"/>
        <v>0</v>
      </c>
      <c r="N130" s="148">
        <f t="shared" si="77"/>
        <v>0</v>
      </c>
      <c r="O130" s="148">
        <f t="shared" si="78"/>
        <v>0</v>
      </c>
      <c r="P130" s="148">
        <f t="shared" si="79"/>
        <v>0</v>
      </c>
      <c r="Q130" s="148">
        <f t="shared" si="80"/>
        <v>0</v>
      </c>
      <c r="R130" s="148">
        <f t="shared" si="81"/>
        <v>0</v>
      </c>
      <c r="S130" s="148">
        <f t="shared" si="82"/>
        <v>0</v>
      </c>
      <c r="T130" s="148">
        <f t="shared" si="96"/>
        <v>0</v>
      </c>
      <c r="U130" s="148">
        <f t="shared" si="96"/>
        <v>0</v>
      </c>
      <c r="V130" s="148">
        <f t="shared" si="96"/>
        <v>0</v>
      </c>
      <c r="W130" s="148">
        <f t="shared" si="96"/>
        <v>0</v>
      </c>
      <c r="X130" s="148">
        <f t="shared" si="96"/>
        <v>0</v>
      </c>
      <c r="Y130" s="148">
        <f t="shared" si="96"/>
        <v>0</v>
      </c>
      <c r="Z130" s="148">
        <f t="shared" si="96"/>
        <v>0</v>
      </c>
      <c r="AA130" s="148">
        <f t="shared" si="96"/>
        <v>0</v>
      </c>
      <c r="AB130" s="148">
        <f t="shared" si="96"/>
        <v>0</v>
      </c>
      <c r="AC130" s="148">
        <f t="shared" si="96"/>
        <v>0</v>
      </c>
      <c r="AD130" s="148">
        <f t="shared" si="88"/>
        <v>0</v>
      </c>
    </row>
    <row r="131" spans="1:30" ht="14" thickBot="1">
      <c r="A131" s="117"/>
      <c r="B131" s="117"/>
      <c r="C131" s="150" t="s">
        <v>47</v>
      </c>
      <c r="D131" s="151"/>
      <c r="E131" s="152"/>
      <c r="F131" s="152"/>
      <c r="G131" s="153">
        <f>SUM(G106:G130)</f>
        <v>0</v>
      </c>
      <c r="H131" s="153">
        <f>SUM(H106:H130)</f>
        <v>0</v>
      </c>
      <c r="I131" s="154">
        <f>SUM(I106:I130)</f>
        <v>0</v>
      </c>
      <c r="M131" s="148"/>
      <c r="N131" s="117"/>
      <c r="O131" s="117"/>
      <c r="P131" s="117"/>
      <c r="Q131" s="117"/>
      <c r="R131" s="117"/>
      <c r="S131" s="117"/>
      <c r="T131" s="117"/>
      <c r="U131" s="117"/>
      <c r="V131" s="117"/>
      <c r="W131" s="117"/>
      <c r="X131" s="117"/>
      <c r="Y131" s="117"/>
      <c r="Z131" s="117"/>
      <c r="AA131" s="117"/>
      <c r="AB131" s="117"/>
      <c r="AC131" s="117"/>
      <c r="AD131" s="117"/>
    </row>
    <row r="132" spans="1:30">
      <c r="M132" s="148"/>
      <c r="N132" s="117"/>
      <c r="O132" s="117"/>
      <c r="P132" s="117"/>
      <c r="Q132" s="117"/>
      <c r="R132" s="117"/>
      <c r="S132" s="117"/>
      <c r="T132" s="117"/>
      <c r="U132" s="117"/>
      <c r="V132" s="117"/>
      <c r="W132" s="117"/>
      <c r="X132" s="117"/>
      <c r="Y132" s="117"/>
      <c r="Z132" s="117"/>
      <c r="AA132" s="117"/>
      <c r="AB132" s="117"/>
      <c r="AC132" s="117"/>
      <c r="AD132" s="117"/>
    </row>
    <row r="133" spans="1:30">
      <c r="M133" s="148"/>
      <c r="N133" s="117"/>
      <c r="O133" s="117"/>
      <c r="P133" s="117"/>
      <c r="Q133" s="117"/>
      <c r="R133" s="117"/>
      <c r="S133" s="117"/>
      <c r="T133" s="117"/>
      <c r="U133" s="117"/>
      <c r="V133" s="117"/>
      <c r="W133" s="117"/>
      <c r="X133" s="117"/>
      <c r="Y133" s="117"/>
      <c r="Z133" s="117"/>
      <c r="AA133" s="117"/>
      <c r="AB133" s="117"/>
      <c r="AC133" s="117"/>
      <c r="AD133" s="117"/>
    </row>
    <row r="134" spans="1:30">
      <c r="A134" s="124"/>
      <c r="B134" s="124"/>
      <c r="C134" s="120"/>
      <c r="D134" s="127"/>
      <c r="E134" s="128"/>
      <c r="F134" s="128"/>
      <c r="G134" s="128"/>
      <c r="H134" s="128"/>
      <c r="I134" s="128"/>
      <c r="M134" s="121">
        <f>+Sheet1!$T$8</f>
        <v>44105</v>
      </c>
      <c r="N134" s="121">
        <f>+Sheet1!$U$8</f>
        <v>44470</v>
      </c>
      <c r="O134" s="121">
        <f>+Sheet1!$V$8</f>
        <v>44835</v>
      </c>
      <c r="P134" s="121">
        <f>+Sheet1!$W$8</f>
        <v>45200</v>
      </c>
      <c r="Q134" s="121">
        <f>+Sheet1!$X$8</f>
        <v>45566</v>
      </c>
      <c r="R134" s="121">
        <f>+Sheet1!$Y$8</f>
        <v>45931</v>
      </c>
      <c r="S134" s="121">
        <f>+Sheet1!$Z$8</f>
        <v>46296</v>
      </c>
      <c r="T134" s="121">
        <f>+Sheet1!$AA$8</f>
        <v>46661</v>
      </c>
      <c r="U134" s="121">
        <f>+Sheet1!$AB$8</f>
        <v>47027</v>
      </c>
      <c r="V134" s="121">
        <f>+Sheet1!$AC$8</f>
        <v>47392</v>
      </c>
      <c r="W134" s="121">
        <f>+Sheet1!$AD$8</f>
        <v>47757</v>
      </c>
      <c r="X134" s="121">
        <f>+Sheet1!AE$8</f>
        <v>48122</v>
      </c>
      <c r="Y134" s="121">
        <f>+Sheet1!AF$8</f>
        <v>48488</v>
      </c>
      <c r="Z134" s="121">
        <f>+Sheet1!AG$8</f>
        <v>48853</v>
      </c>
      <c r="AA134" s="121">
        <f>+Sheet1!AH$8</f>
        <v>49218</v>
      </c>
      <c r="AB134" s="121">
        <f>+Sheet1!AI$8</f>
        <v>49583</v>
      </c>
      <c r="AC134" s="121">
        <f>+Sheet1!AJ$8</f>
        <v>49949</v>
      </c>
      <c r="AD134" s="117"/>
    </row>
    <row r="135" spans="1:30">
      <c r="A135" s="118" t="s">
        <v>108</v>
      </c>
      <c r="B135" s="118"/>
      <c r="C135" s="118"/>
      <c r="D135" s="129"/>
      <c r="E135" s="130"/>
      <c r="F135" s="131" t="str">
        <f>IF(F103="No "&amp;A103,"No "&amp;A135,IF(+H103+1&gt;'1. SUMMARY'!$C$18,"No "&amp;A135,+H103+1))</f>
        <v>No YEAR 5</v>
      </c>
      <c r="G135" s="131" t="str">
        <f>"----"</f>
        <v>----</v>
      </c>
      <c r="H135" s="131" t="str">
        <f>IF(F135="No "&amp;A135,"No "&amp;A135,IF(H103='1. SUMMARY'!Q79,"a",IF((DATE(YEAR(F135),MONTH(F135)+12,DAY(F135)-1))&lt;=('1. SUMMARY'!$C$18),DATE(YEAR(F135),MONTH(F135)+12,DAY(F135)-1),'1. SUMMARY'!$C$18)))</f>
        <v>No YEAR 5</v>
      </c>
      <c r="I135" s="132"/>
      <c r="M135" s="121">
        <f>+Sheet1!$T$9</f>
        <v>44469</v>
      </c>
      <c r="N135" s="121">
        <f>+Sheet1!$U$9</f>
        <v>44834</v>
      </c>
      <c r="O135" s="121">
        <f>+Sheet1!$V$9</f>
        <v>45199</v>
      </c>
      <c r="P135" s="121">
        <f>+Sheet1!$W$9</f>
        <v>45565</v>
      </c>
      <c r="Q135" s="121">
        <f>+Sheet1!$X$9</f>
        <v>45930</v>
      </c>
      <c r="R135" s="121">
        <f>+Sheet1!$Y$9</f>
        <v>46295</v>
      </c>
      <c r="S135" s="121">
        <f>+Sheet1!$Z$9</f>
        <v>46660</v>
      </c>
      <c r="T135" s="121">
        <f>+Sheet1!$AA$9</f>
        <v>47026</v>
      </c>
      <c r="U135" s="121">
        <f>+Sheet1!$AB$9</f>
        <v>47391</v>
      </c>
      <c r="V135" s="121">
        <f>+Sheet1!$AC$9</f>
        <v>47756</v>
      </c>
      <c r="W135" s="121">
        <f>+Sheet1!$AD$9</f>
        <v>48121</v>
      </c>
      <c r="X135" s="121">
        <f>+Sheet1!AE$9</f>
        <v>48487</v>
      </c>
      <c r="Y135" s="121">
        <f>+Sheet1!AF$9</f>
        <v>48852</v>
      </c>
      <c r="Z135" s="121">
        <f>+Sheet1!AG$9</f>
        <v>49217</v>
      </c>
      <c r="AA135" s="121">
        <f>+Sheet1!AH$9</f>
        <v>49582</v>
      </c>
      <c r="AB135" s="121">
        <f>+Sheet1!AI$9</f>
        <v>49948</v>
      </c>
      <c r="AC135" s="121">
        <f>+Sheet1!AJ$9</f>
        <v>50313</v>
      </c>
      <c r="AD135" s="117"/>
    </row>
    <row r="136" spans="1:30" ht="25.5" customHeight="1">
      <c r="A136" s="133" t="s">
        <v>39</v>
      </c>
      <c r="B136" s="134" t="s">
        <v>40</v>
      </c>
      <c r="C136" s="134" t="s">
        <v>41</v>
      </c>
      <c r="D136" s="135" t="s">
        <v>42</v>
      </c>
      <c r="E136" s="136" t="s">
        <v>43</v>
      </c>
      <c r="F136" s="136" t="s">
        <v>44</v>
      </c>
      <c r="G136" s="136" t="s">
        <v>45</v>
      </c>
      <c r="H136" s="136" t="s">
        <v>46</v>
      </c>
      <c r="I136" s="137" t="s">
        <v>47</v>
      </c>
      <c r="M136" s="117">
        <f>IF(IF(M135&lt;F135,0,DATEDIF(F135,M135+1,"m"))&lt;0,0,IF(M135&lt;F135,0,DATEDIF(F135,M135+1,"m")))</f>
        <v>0</v>
      </c>
      <c r="N136" s="117">
        <f>IF(IF(M136=12,0,IF(N135&gt;H135,12-DATEDIF(H135,N135+1,"m"),IF(N135&lt;F135,0,DATEDIF(F135,N135+1,"m"))))&lt;0,0,IF(M136=12,0,IF(N135&gt;H135,12-DATEDIF(H135,N135+1,"m"),IF(N135&lt;F135,0,DATEDIF(F135,N135+1,"m")))))</f>
        <v>0</v>
      </c>
      <c r="O136" s="117">
        <f>IF(IF(M136+N136=12,0,IF(O135&gt;H135,12-DATEDIF(H135,O135+1,"m"),IF(O135&lt;F135,0,DATEDIF(F135,O135+1,"m"))))&lt;0,0,IF(M136+N136=12,0,IF(O135&gt;H135,12-DATEDIF(H135,O135+1,"m"),IF(O135&lt;F135,0,DATEDIF(F135,O135+1,"m")))))</f>
        <v>0</v>
      </c>
      <c r="P136" s="117">
        <f>IF(IF(N136+O136+M136=12,0,IF(P135&gt;H135,12-DATEDIF(H135,P135+1,"m"),IF(P135&lt;F135,0,DATEDIF(F135,P135+1,"m"))))&lt;0,0,IF(N136+O136+M136=12,0,IF(P135&gt;H135,12-DATEDIF(H135,P135+1,"m"),IF(P135&lt;F135,0,DATEDIF(F135,P135+1,"m")))))</f>
        <v>0</v>
      </c>
      <c r="Q136" s="117">
        <f>IF(IF(O136+P136+N136+M136=12,0,IF(Q135&gt;$H$135,12-DATEDIF($H$135,Q135+1,"m"),IF(Q135&lt;$F$135,0,DATEDIF($F$135,Q135+1,"m"))))&lt;0,0,IF(O136+P136+N136+M136=12,0,IF(Q135&gt;$H$135,12-DATEDIF($H$135,Q135+1,"m"),IF(Q135&lt;$F$135,0,DATEDIF($F$135,Q135+1,"m")))))</f>
        <v>0</v>
      </c>
      <c r="R136" s="117">
        <f>IF(IF(P136+Q136+O136+N136+M136=12,0,IF(R135&gt;$H$135,12-DATEDIF($H$135,R135+1,"m"),IF(R135&lt;$F$135,0,DATEDIF($F$135,R135+1,"m"))))&lt;0,0,IF(P136+Q136+O136+N136+M136=12,0,IF(R135&gt;$H$135,12-DATEDIF($H$135,R135+1,"m"),IF(R135&lt;$F$135,0,DATEDIF($F$135,R135+1,"m")))))</f>
        <v>0</v>
      </c>
      <c r="S136" s="117">
        <f>IF(IF(Q136+R136+P136+O136+N136+M136=12,0,IF(S135&gt;$H$135,12-DATEDIF($H$135,S135+1,"m"),IF(S135&lt;$F$135,0,DATEDIF($F$135,S135+1,"m"))))&lt;0,0,IF(Q136+R136+P136+O136+N136+M136=12,0,IF(S135&gt;$H$135,12-DATEDIF($H$135,S135+1,"m"),IF(S135&lt;$F$135,0,DATEDIF($F$135,S135+1,"m")))))</f>
        <v>0</v>
      </c>
      <c r="T136" s="117">
        <f>IF(IF(R136+S136+Q136+P136+O136+N136+M136=12,0,IF(T135&gt;$H$135,12-DATEDIF($H$135,T135+1,"m"),IF(T135&lt;$F$135,0,DATEDIF($F$135,T135+1,"m"))))&lt;0,0,IF(R136+S136+Q136+P136+O136+N136+M136=12,0,IF(T135&gt;$H$135,12-DATEDIF($H$135,T135+1,"m"),IF(T135&lt;$F$135,0,DATEDIF($F$135,T135+1,"m")))))</f>
        <v>0</v>
      </c>
      <c r="U136" s="117">
        <f>IF(IF(M136+S136+T136+R136+Q136+P136+O136+N136=12,0,IF(U135&gt;$H$135,12-DATEDIF($H$135,U135+1,"m"),IF(U135&lt;$F$135,0,DATEDIF($F$135,U135+1,"m"))))&lt;0,0,IF(M136+S136+T136+R136+Q136+P136+O136+N136=12,0,IF(U135&gt;$H$135,12-DATEDIF($H$135,U135+1,"m"),IF(U135&lt;$F$135,0,DATEDIF($F$135,U135+1,"m")))))</f>
        <v>0</v>
      </c>
      <c r="V136" s="117">
        <f>IF(IF(M136+N136+T136+U136+S136+R136+Q136+P136+O136=12,0,IF(V135&gt;$H$135,12-DATEDIF($H$135,V135+1,"m"),IF(V135&lt;$F$135,0,DATEDIF($F$135,V135+1,"m"))))&lt;0,0,IF(M136+N136+T136+U136+S136+R136+Q136+P136+O136=12,0,IF(V135&gt;$H$135,12-DATEDIF($H$135,V135+1,"m"),IF(V135&lt;$F$135,0,DATEDIF($F$135,V135+1,"m")))))</f>
        <v>0</v>
      </c>
      <c r="W136" s="117">
        <f>IF(IF(M136+N136+O136+U136+V136+T136+S136+R136+Q136+P136=12,0,IF(W135&gt;$H$135,12-DATEDIF($H$135,W135+1,"m"),IF(W135&lt;$F$135,0,DATEDIF($F$135,W135+1,"m"))))&lt;0,0,IF(M136+N136+O136+U136+V136+T136+S136+R136+Q136+P136=12,0,IF(W135&gt;$H$135,12-DATEDIF($H$135,W135+1,"m"),IF(W135&lt;$F$135,0,DATEDIF($F$135,W135+1,"m")))))</f>
        <v>0</v>
      </c>
      <c r="X136" s="117">
        <f>IF(IF(M136+N136+O136+P136+V136+W136+U136+T136+S136+R136+Q136=12,0,IF(X135&gt;$H$135,12-DATEDIF($H$135,X135+1,"m"),IF(X135&lt;$F$135,0,DATEDIF($F$135,X135+1,"m"))))&lt;0,0,IF(M136+N136+O136+P136+V136+W136+U136+T136+S136+R136+Q136=12,0,IF(X135&gt;$H$135,12-DATEDIF($H$135,X135+1,"m"),IF(X135&lt;$F$135,0,DATEDIF($F$135,X135+1,"m")))))</f>
        <v>0</v>
      </c>
      <c r="Y136" s="117">
        <f>IF(IF(M136+N136+O136+P136+Q136+W136+X136+V136+U136+T136+S136+R136=12,0,IF(Y135&gt;$H$135,12-DATEDIF($H$135,Y135+1,"m"),IF(Y135&lt;$F$135,0,DATEDIF($F$135,Y135+1,"m"))))&lt;0,0,IF(M136+N136+O136+P136+Q136+W136+X136+V136+U136+T136+S136+R136=12,0,IF(Y135&gt;$H$135,12-DATEDIF($H$135,Y135+1,"m"),IF(Y135&lt;$F$135,0,DATEDIF($F$135,Y135+1,"m")))))</f>
        <v>0</v>
      </c>
      <c r="Z136" s="117">
        <f>IF(IF(M136+N136+O136+P136+Q136+R136+X136+Y136+W136+V136+U136+T136+S136=12,0,IF(Z135&gt;$H$135,12-DATEDIF($H$135,Z135+1,"m"),IF(Z135&lt;$F$135,0,DATEDIF($F$135,Z135+1,"m"))))&lt;0,0,IF(M136+N136+O136+P136+Q136+R136+X136+Y136+W136+V136+U136+T136+S136=12,0,IF(Z135&gt;$H$135,12-DATEDIF($H$135,Z135+1,"m"),IF(Z135&lt;$F$135,0,DATEDIF($F$135,Z135+1,"m")))))</f>
        <v>0</v>
      </c>
      <c r="AA136" s="117">
        <f>IF(IF(M136+N136+O136+P136+Q136+R136+S136+Y136+Z136+X136+W136+V136+U136+T136=12,0,IF(AA135&gt;$H$135,12-DATEDIF($H$135,AA135+1,"m"),IF(AA135&lt;$F$135,0,DATEDIF($F$135,AA135+1,"m"))))&lt;0,0,IF(M136+N136+O136+P136+Q136+R136+S136+Y136+Z136+X136+W136+V136+U136+T136=12,0,IF(AA135&gt;$H$135,12-DATEDIF($H$135,AA135+1,"m"),IF(AA135&lt;$F$135,0,DATEDIF($F$135,AA135+1,"m")))))</f>
        <v>0</v>
      </c>
      <c r="AB136" s="117">
        <f>IF(IF(M136+N136+O136+P136+Q136+R136+S136+T136+Z136+AA136+Y136+X136+W136+V136+U136=12,0,IF(AB135&gt;$H$135,12-DATEDIF($H$135,AB135+1,"m"),IF(AB135&lt;$F$135,0,DATEDIF($F$135,AB135+1,"m"))))&lt;0,0,IF(M136+N136+O136+P136+Q136+R136+S136+T136+Z136+AA136+Y136+X136+W136+V136+U136=12,0,IF(AB135&gt;$H$135,12-DATEDIF($H$135,AB135+1,"m"),IF(AB135&lt;$F$135,0,DATEDIF($F$135,AB135+1,"m")))))</f>
        <v>0</v>
      </c>
      <c r="AC136" s="117">
        <f>IF(IF(M136+N136+O136+P136+Q136+R136+S136+T136+U136+AA136+AB136+Z136+Y136+X136+W136+V136=12,0,IF(AC135&gt;$H$135,12-DATEDIF($H$135,AC135+1,"m"),IF(AC135&lt;$F$135,0,DATEDIF($F$135,AC135+1,"m"))))&lt;0,0,IF(M136+N136+O136+P136+Q136+R136+S136+T136+U136+AA136+AB136+Z136+Y136+X136+W136+V136=12,0,IF(AC135&gt;$H$135,12-DATEDIF($H$135,AC135+1,"m"),IF(AC135&lt;$F$135,0,DATEDIF($F$135,AC135+1,"m")))))</f>
        <v>0</v>
      </c>
      <c r="AD136" s="117">
        <f>SUM(M136:AC136)</f>
        <v>0</v>
      </c>
    </row>
    <row r="137" spans="1:30" s="155" customFormat="1" ht="3.75" customHeight="1">
      <c r="A137" s="164"/>
      <c r="B137" s="164"/>
      <c r="C137" s="124"/>
      <c r="D137" s="165"/>
      <c r="E137" s="166"/>
      <c r="F137" s="166"/>
      <c r="G137" s="166"/>
      <c r="H137" s="166"/>
      <c r="I137" s="167"/>
      <c r="M137" s="148"/>
      <c r="N137" s="139"/>
      <c r="O137" s="139"/>
      <c r="P137" s="139"/>
      <c r="Q137" s="139"/>
      <c r="R137" s="139"/>
      <c r="S137" s="139"/>
      <c r="T137" s="139"/>
      <c r="U137" s="139"/>
      <c r="V137" s="139"/>
      <c r="W137" s="139"/>
      <c r="X137" s="139"/>
      <c r="Y137" s="139"/>
      <c r="Z137" s="139"/>
      <c r="AA137" s="139"/>
      <c r="AB137" s="139"/>
      <c r="AC137" s="139"/>
      <c r="AD137" s="139"/>
    </row>
    <row r="138" spans="1:30">
      <c r="A138" s="157">
        <f>+A106</f>
        <v>0</v>
      </c>
      <c r="B138" s="158" t="str">
        <f t="shared" ref="B138:B162" si="98">IF(ISNA(VLOOKUP($A138,name_2,$B$9,0)),"",VLOOKUP($A138,name_2,$B$9,0))</f>
        <v>PI</v>
      </c>
      <c r="C138" s="159">
        <f t="shared" ref="C138:C162" si="99">IF(ISNA(VLOOKUP($A138,name_2,$C$9,0)),"",VLOOKUP($A138,name_2,$C$9,0))</f>
        <v>0</v>
      </c>
      <c r="D138" s="160">
        <f t="shared" ref="D138:D162" si="100">IF(ISNA(VLOOKUP($A138,name_2,$D$9,0)),0,VLOOKUP($A138,name_2,$D$9,0))</f>
        <v>0</v>
      </c>
      <c r="E138" s="144">
        <f>IF(ISNA($AD$136*D138),0,$AD$136*D138)</f>
        <v>0</v>
      </c>
      <c r="F138" s="161">
        <f>IF($F$135="No YEAR 5",0,IF(ISNA(VLOOKUP(A138,name_5,$F$9,0)),0,VLOOKUP(A138,name_5,$F$9,0)*(1+'1. SUMMARY'!$C$26)))</f>
        <v>0</v>
      </c>
      <c r="G138" s="146">
        <f>(F138/12)*$AD$136*D138</f>
        <v>0</v>
      </c>
      <c r="H138" s="146">
        <f>IF(ISNA(+AD138),0,AD138)</f>
        <v>0</v>
      </c>
      <c r="I138" s="147">
        <f>SUM(G138:H138)</f>
        <v>0</v>
      </c>
      <c r="M138" s="148">
        <f t="shared" ref="M138:M150" si="101">IF($M$136=0,0,((G138/$AD$136)*$M$136)*VLOOKUP(C138,benefits,2,0))</f>
        <v>0</v>
      </c>
      <c r="N138" s="148">
        <f t="shared" ref="N138:N162" si="102">IF($N$136=0,0,((G138/$AD$136)*$N$136)*VLOOKUP(C138,benefits,3,0))</f>
        <v>0</v>
      </c>
      <c r="O138" s="148">
        <f t="shared" ref="O138:O162" si="103">IF($O$136=0,0,((G138/$AD$136)*$O$136)*VLOOKUP(C138,benefits,4,0))</f>
        <v>0</v>
      </c>
      <c r="P138" s="148">
        <f t="shared" ref="P138:P162" si="104">IF($P$136=0,0,((G138/$AD$136)*$P$136)*VLOOKUP(C138,benefits,5,0))</f>
        <v>0</v>
      </c>
      <c r="Q138" s="148">
        <f t="shared" ref="Q138:Q162" si="105">IF(Q$136=0,0,(($G138/$AD$136)*Q$136)*VLOOKUP(C138,benefits,6,0))</f>
        <v>0</v>
      </c>
      <c r="R138" s="148">
        <f t="shared" ref="R138:R162" si="106">IF(R$136=0,0,(($G138/$AD$136)*R$136)*VLOOKUP(C138,benefits,7,0))</f>
        <v>0</v>
      </c>
      <c r="S138" s="148">
        <f t="shared" ref="S138:S162" si="107">IF(S$136=0,0,(($G138/$AD$136)*S$136)*VLOOKUP(C138,benefits,8,0))</f>
        <v>0</v>
      </c>
      <c r="T138" s="148">
        <f t="shared" ref="T138:AC147" si="108">IF(T$136=0,0,(($G138/$AD$136)*T$136)*VLOOKUP($C138,benefits,9,0))</f>
        <v>0</v>
      </c>
      <c r="U138" s="148">
        <f t="shared" si="108"/>
        <v>0</v>
      </c>
      <c r="V138" s="148">
        <f t="shared" si="108"/>
        <v>0</v>
      </c>
      <c r="W138" s="148">
        <f t="shared" si="108"/>
        <v>0</v>
      </c>
      <c r="X138" s="148">
        <f t="shared" si="108"/>
        <v>0</v>
      </c>
      <c r="Y138" s="148">
        <f t="shared" si="108"/>
        <v>0</v>
      </c>
      <c r="Z138" s="148">
        <f t="shared" si="108"/>
        <v>0</v>
      </c>
      <c r="AA138" s="148">
        <f t="shared" si="108"/>
        <v>0</v>
      </c>
      <c r="AB138" s="148">
        <f t="shared" si="108"/>
        <v>0</v>
      </c>
      <c r="AC138" s="148">
        <f t="shared" si="108"/>
        <v>0</v>
      </c>
      <c r="AD138" s="148">
        <f>SUM(M138:AC138)</f>
        <v>0</v>
      </c>
    </row>
    <row r="139" spans="1:30">
      <c r="A139" s="140">
        <f>+A107</f>
        <v>0</v>
      </c>
      <c r="B139" s="162" t="str">
        <f t="shared" si="98"/>
        <v>PI</v>
      </c>
      <c r="C139" s="159">
        <f t="shared" si="99"/>
        <v>0</v>
      </c>
      <c r="D139" s="160">
        <f t="shared" si="100"/>
        <v>0</v>
      </c>
      <c r="E139" s="144">
        <f t="shared" ref="E139:E162" si="109">IF(ISNA($AD$136*D139),0,$AD$136*D139)</f>
        <v>0</v>
      </c>
      <c r="F139" s="161">
        <f>IF($F$135="No YEAR 5",0,IF(ISNA(VLOOKUP(A139,name_5,$F$9,0)),0,VLOOKUP(A139,name_5,$F$9,0)*(1+'1. SUMMARY'!$C$26)))</f>
        <v>0</v>
      </c>
      <c r="G139" s="146">
        <f t="shared" ref="G139:G162" si="110">(F139/12)*$AD$136*D139</f>
        <v>0</v>
      </c>
      <c r="H139" s="146">
        <f t="shared" ref="H139:H162" si="111">IF(ISNA(+AD139),0,AD139)</f>
        <v>0</v>
      </c>
      <c r="I139" s="147">
        <f t="shared" ref="I139:I162" si="112">SUM(G139:H139)</f>
        <v>0</v>
      </c>
      <c r="M139" s="148">
        <f t="shared" si="101"/>
        <v>0</v>
      </c>
      <c r="N139" s="148">
        <f t="shared" si="102"/>
        <v>0</v>
      </c>
      <c r="O139" s="148">
        <f t="shared" si="103"/>
        <v>0</v>
      </c>
      <c r="P139" s="148">
        <f t="shared" si="104"/>
        <v>0</v>
      </c>
      <c r="Q139" s="148">
        <f t="shared" si="105"/>
        <v>0</v>
      </c>
      <c r="R139" s="148">
        <f t="shared" si="106"/>
        <v>0</v>
      </c>
      <c r="S139" s="148">
        <f t="shared" si="107"/>
        <v>0</v>
      </c>
      <c r="T139" s="148">
        <f t="shared" si="108"/>
        <v>0</v>
      </c>
      <c r="U139" s="148">
        <f t="shared" si="108"/>
        <v>0</v>
      </c>
      <c r="V139" s="148">
        <f t="shared" si="108"/>
        <v>0</v>
      </c>
      <c r="W139" s="148">
        <f t="shared" si="108"/>
        <v>0</v>
      </c>
      <c r="X139" s="148">
        <f t="shared" si="108"/>
        <v>0</v>
      </c>
      <c r="Y139" s="148">
        <f t="shared" si="108"/>
        <v>0</v>
      </c>
      <c r="Z139" s="148">
        <f t="shared" si="108"/>
        <v>0</v>
      </c>
      <c r="AA139" s="148">
        <f t="shared" si="108"/>
        <v>0</v>
      </c>
      <c r="AB139" s="148">
        <f t="shared" si="108"/>
        <v>0</v>
      </c>
      <c r="AC139" s="148">
        <f t="shared" si="108"/>
        <v>0</v>
      </c>
      <c r="AD139" s="148">
        <f t="shared" ref="AD139:AD162" si="113">SUM(M139:AC139)</f>
        <v>0</v>
      </c>
    </row>
    <row r="140" spans="1:30">
      <c r="A140" s="140">
        <f t="shared" ref="A140:A162" si="114">+A108</f>
        <v>0</v>
      </c>
      <c r="B140" s="162" t="str">
        <f t="shared" si="98"/>
        <v>PI</v>
      </c>
      <c r="C140" s="159">
        <f t="shared" si="99"/>
        <v>0</v>
      </c>
      <c r="D140" s="160">
        <f t="shared" si="100"/>
        <v>0</v>
      </c>
      <c r="E140" s="144">
        <f t="shared" si="109"/>
        <v>0</v>
      </c>
      <c r="F140" s="161">
        <f>IF($F$135="No YEAR 5",0,IF(ISNA(VLOOKUP(A140,name_5,$F$9,0)),0,VLOOKUP(A140,name_5,$F$9,0)*(1+'1. SUMMARY'!$C$26)))</f>
        <v>0</v>
      </c>
      <c r="G140" s="146">
        <f t="shared" si="110"/>
        <v>0</v>
      </c>
      <c r="H140" s="146">
        <f t="shared" si="111"/>
        <v>0</v>
      </c>
      <c r="I140" s="147">
        <f t="shared" si="112"/>
        <v>0</v>
      </c>
      <c r="M140" s="148">
        <f t="shared" si="101"/>
        <v>0</v>
      </c>
      <c r="N140" s="148">
        <f t="shared" si="102"/>
        <v>0</v>
      </c>
      <c r="O140" s="148">
        <f t="shared" si="103"/>
        <v>0</v>
      </c>
      <c r="P140" s="148">
        <f t="shared" si="104"/>
        <v>0</v>
      </c>
      <c r="Q140" s="148">
        <f t="shared" si="105"/>
        <v>0</v>
      </c>
      <c r="R140" s="148">
        <f t="shared" si="106"/>
        <v>0</v>
      </c>
      <c r="S140" s="148">
        <f t="shared" si="107"/>
        <v>0</v>
      </c>
      <c r="T140" s="148">
        <f t="shared" si="108"/>
        <v>0</v>
      </c>
      <c r="U140" s="148">
        <f t="shared" si="108"/>
        <v>0</v>
      </c>
      <c r="V140" s="148">
        <f t="shared" si="108"/>
        <v>0</v>
      </c>
      <c r="W140" s="148">
        <f t="shared" si="108"/>
        <v>0</v>
      </c>
      <c r="X140" s="148">
        <f t="shared" si="108"/>
        <v>0</v>
      </c>
      <c r="Y140" s="148">
        <f t="shared" si="108"/>
        <v>0</v>
      </c>
      <c r="Z140" s="148">
        <f t="shared" si="108"/>
        <v>0</v>
      </c>
      <c r="AA140" s="148">
        <f t="shared" si="108"/>
        <v>0</v>
      </c>
      <c r="AB140" s="148">
        <f t="shared" si="108"/>
        <v>0</v>
      </c>
      <c r="AC140" s="148">
        <f t="shared" si="108"/>
        <v>0</v>
      </c>
      <c r="AD140" s="148">
        <f t="shared" si="113"/>
        <v>0</v>
      </c>
    </row>
    <row r="141" spans="1:30">
      <c r="A141" s="140">
        <f t="shared" si="114"/>
        <v>0</v>
      </c>
      <c r="B141" s="162" t="str">
        <f t="shared" si="98"/>
        <v>PI</v>
      </c>
      <c r="C141" s="159">
        <f t="shared" si="99"/>
        <v>0</v>
      </c>
      <c r="D141" s="160">
        <f t="shared" si="100"/>
        <v>0</v>
      </c>
      <c r="E141" s="144">
        <f t="shared" si="109"/>
        <v>0</v>
      </c>
      <c r="F141" s="161">
        <f>IF($F$135="No YEAR 5",0,IF(ISNA(VLOOKUP(A141,name_5,$F$9,0)),0,VLOOKUP(A141,name_5,$F$9,0)*(1+'1. SUMMARY'!$C$26)))</f>
        <v>0</v>
      </c>
      <c r="G141" s="146">
        <f t="shared" si="110"/>
        <v>0</v>
      </c>
      <c r="H141" s="146">
        <f t="shared" si="111"/>
        <v>0</v>
      </c>
      <c r="I141" s="147">
        <f t="shared" si="112"/>
        <v>0</v>
      </c>
      <c r="M141" s="148">
        <f t="shared" si="101"/>
        <v>0</v>
      </c>
      <c r="N141" s="148">
        <f t="shared" ref="N141:N150" si="115">IF($N$136=0,0,((G141/$AD$136)*$N$136)*VLOOKUP(C141,benefits,3,0))</f>
        <v>0</v>
      </c>
      <c r="O141" s="148">
        <f t="shared" ref="O141:O150" si="116">IF($O$136=0,0,((G141/$AD$136)*$O$136)*VLOOKUP(C141,benefits,4,0))</f>
        <v>0</v>
      </c>
      <c r="P141" s="148">
        <f t="shared" ref="P141:P150" si="117">IF($P$136=0,0,((G141/$AD$136)*$P$136)*VLOOKUP(C141,benefits,5,0))</f>
        <v>0</v>
      </c>
      <c r="Q141" s="148">
        <f t="shared" ref="Q141:Q150" si="118">IF(Q$136=0,0,(($G141/$AD$136)*Q$136)*VLOOKUP(C141,benefits,6,0))</f>
        <v>0</v>
      </c>
      <c r="R141" s="148">
        <f t="shared" ref="R141:R150" si="119">IF(R$136=0,0,(($G141/$AD$136)*R$136)*VLOOKUP(C141,benefits,7,0))</f>
        <v>0</v>
      </c>
      <c r="S141" s="148">
        <f t="shared" ref="S141:S150" si="120">IF(S$136=0,0,(($G141/$AD$136)*S$136)*VLOOKUP(C141,benefits,8,0))</f>
        <v>0</v>
      </c>
      <c r="T141" s="148">
        <f t="shared" si="108"/>
        <v>0</v>
      </c>
      <c r="U141" s="148">
        <f t="shared" si="108"/>
        <v>0</v>
      </c>
      <c r="V141" s="148">
        <f t="shared" si="108"/>
        <v>0</v>
      </c>
      <c r="W141" s="148">
        <f t="shared" si="108"/>
        <v>0</v>
      </c>
      <c r="X141" s="148">
        <f t="shared" si="108"/>
        <v>0</v>
      </c>
      <c r="Y141" s="148">
        <f t="shared" si="108"/>
        <v>0</v>
      </c>
      <c r="Z141" s="148">
        <f t="shared" si="108"/>
        <v>0</v>
      </c>
      <c r="AA141" s="148">
        <f t="shared" si="108"/>
        <v>0</v>
      </c>
      <c r="AB141" s="148">
        <f t="shared" si="108"/>
        <v>0</v>
      </c>
      <c r="AC141" s="148">
        <f t="shared" si="108"/>
        <v>0</v>
      </c>
      <c r="AD141" s="148">
        <f t="shared" si="113"/>
        <v>0</v>
      </c>
    </row>
    <row r="142" spans="1:30">
      <c r="A142" s="140">
        <f t="shared" si="114"/>
        <v>0</v>
      </c>
      <c r="B142" s="162" t="str">
        <f t="shared" si="98"/>
        <v>PI</v>
      </c>
      <c r="C142" s="159">
        <f t="shared" si="99"/>
        <v>0</v>
      </c>
      <c r="D142" s="160">
        <f t="shared" si="100"/>
        <v>0</v>
      </c>
      <c r="E142" s="144">
        <f t="shared" si="109"/>
        <v>0</v>
      </c>
      <c r="F142" s="161">
        <f>IF($F$135="No YEAR 5",0,IF(ISNA(VLOOKUP(A142,name_5,$F$9,0)),0,VLOOKUP(A142,name_5,$F$9,0)*(1+'1. SUMMARY'!$C$26)))</f>
        <v>0</v>
      </c>
      <c r="G142" s="146">
        <f t="shared" si="110"/>
        <v>0</v>
      </c>
      <c r="H142" s="146">
        <f t="shared" si="111"/>
        <v>0</v>
      </c>
      <c r="I142" s="147">
        <f t="shared" si="112"/>
        <v>0</v>
      </c>
      <c r="M142" s="148">
        <f t="shared" si="101"/>
        <v>0</v>
      </c>
      <c r="N142" s="148">
        <f t="shared" si="115"/>
        <v>0</v>
      </c>
      <c r="O142" s="148">
        <f t="shared" si="116"/>
        <v>0</v>
      </c>
      <c r="P142" s="148">
        <f t="shared" si="117"/>
        <v>0</v>
      </c>
      <c r="Q142" s="148">
        <f t="shared" si="118"/>
        <v>0</v>
      </c>
      <c r="R142" s="148">
        <f t="shared" si="119"/>
        <v>0</v>
      </c>
      <c r="S142" s="148">
        <f t="shared" si="120"/>
        <v>0</v>
      </c>
      <c r="T142" s="148">
        <f t="shared" si="108"/>
        <v>0</v>
      </c>
      <c r="U142" s="148">
        <f t="shared" si="108"/>
        <v>0</v>
      </c>
      <c r="V142" s="148">
        <f t="shared" si="108"/>
        <v>0</v>
      </c>
      <c r="W142" s="148">
        <f t="shared" si="108"/>
        <v>0</v>
      </c>
      <c r="X142" s="148">
        <f t="shared" si="108"/>
        <v>0</v>
      </c>
      <c r="Y142" s="148">
        <f t="shared" si="108"/>
        <v>0</v>
      </c>
      <c r="Z142" s="148">
        <f t="shared" si="108"/>
        <v>0</v>
      </c>
      <c r="AA142" s="148">
        <f t="shared" si="108"/>
        <v>0</v>
      </c>
      <c r="AB142" s="148">
        <f t="shared" si="108"/>
        <v>0</v>
      </c>
      <c r="AC142" s="148">
        <f t="shared" si="108"/>
        <v>0</v>
      </c>
      <c r="AD142" s="148">
        <f t="shared" si="113"/>
        <v>0</v>
      </c>
    </row>
    <row r="143" spans="1:30">
      <c r="A143" s="140">
        <f t="shared" si="114"/>
        <v>0</v>
      </c>
      <c r="B143" s="162" t="str">
        <f t="shared" si="98"/>
        <v>PI</v>
      </c>
      <c r="C143" s="159">
        <f t="shared" si="99"/>
        <v>0</v>
      </c>
      <c r="D143" s="160">
        <f t="shared" si="100"/>
        <v>0</v>
      </c>
      <c r="E143" s="144">
        <f t="shared" si="109"/>
        <v>0</v>
      </c>
      <c r="F143" s="161">
        <f>IF($F$135="No YEAR 5",0,IF(ISNA(VLOOKUP(A143,name_5,$F$9,0)),0,VLOOKUP(A143,name_5,$F$9,0)*(1+'1. SUMMARY'!$C$26)))</f>
        <v>0</v>
      </c>
      <c r="G143" s="146">
        <f t="shared" si="110"/>
        <v>0</v>
      </c>
      <c r="H143" s="146">
        <f t="shared" si="111"/>
        <v>0</v>
      </c>
      <c r="I143" s="147">
        <f t="shared" si="112"/>
        <v>0</v>
      </c>
      <c r="M143" s="148">
        <f t="shared" si="101"/>
        <v>0</v>
      </c>
      <c r="N143" s="148">
        <f t="shared" si="115"/>
        <v>0</v>
      </c>
      <c r="O143" s="148">
        <f t="shared" si="116"/>
        <v>0</v>
      </c>
      <c r="P143" s="148">
        <f t="shared" si="117"/>
        <v>0</v>
      </c>
      <c r="Q143" s="148">
        <f t="shared" si="118"/>
        <v>0</v>
      </c>
      <c r="R143" s="148">
        <f t="shared" si="119"/>
        <v>0</v>
      </c>
      <c r="S143" s="148">
        <f t="shared" si="120"/>
        <v>0</v>
      </c>
      <c r="T143" s="148">
        <f t="shared" si="108"/>
        <v>0</v>
      </c>
      <c r="U143" s="148">
        <f t="shared" si="108"/>
        <v>0</v>
      </c>
      <c r="V143" s="148">
        <f t="shared" si="108"/>
        <v>0</v>
      </c>
      <c r="W143" s="148">
        <f t="shared" si="108"/>
        <v>0</v>
      </c>
      <c r="X143" s="148">
        <f t="shared" si="108"/>
        <v>0</v>
      </c>
      <c r="Y143" s="148">
        <f t="shared" si="108"/>
        <v>0</v>
      </c>
      <c r="Z143" s="148">
        <f t="shared" si="108"/>
        <v>0</v>
      </c>
      <c r="AA143" s="148">
        <f t="shared" si="108"/>
        <v>0</v>
      </c>
      <c r="AB143" s="148">
        <f t="shared" si="108"/>
        <v>0</v>
      </c>
      <c r="AC143" s="148">
        <f t="shared" si="108"/>
        <v>0</v>
      </c>
      <c r="AD143" s="148">
        <f t="shared" si="113"/>
        <v>0</v>
      </c>
    </row>
    <row r="144" spans="1:30">
      <c r="A144" s="140">
        <f t="shared" si="114"/>
        <v>0</v>
      </c>
      <c r="B144" s="162" t="str">
        <f t="shared" si="98"/>
        <v>PI</v>
      </c>
      <c r="C144" s="159">
        <f t="shared" si="99"/>
        <v>0</v>
      </c>
      <c r="D144" s="160">
        <f t="shared" si="100"/>
        <v>0</v>
      </c>
      <c r="E144" s="144">
        <f t="shared" si="109"/>
        <v>0</v>
      </c>
      <c r="F144" s="161">
        <f>IF($F$135="No YEAR 5",0,IF(ISNA(VLOOKUP(A144,name_5,$F$9,0)),0,VLOOKUP(A144,name_5,$F$9,0)*(1+'1. SUMMARY'!$C$26)))</f>
        <v>0</v>
      </c>
      <c r="G144" s="146">
        <f t="shared" si="110"/>
        <v>0</v>
      </c>
      <c r="H144" s="146">
        <f t="shared" si="111"/>
        <v>0</v>
      </c>
      <c r="I144" s="147">
        <f t="shared" si="112"/>
        <v>0</v>
      </c>
      <c r="M144" s="148">
        <f t="shared" si="101"/>
        <v>0</v>
      </c>
      <c r="N144" s="148">
        <f t="shared" si="115"/>
        <v>0</v>
      </c>
      <c r="O144" s="148">
        <f t="shared" si="116"/>
        <v>0</v>
      </c>
      <c r="P144" s="148">
        <f t="shared" si="117"/>
        <v>0</v>
      </c>
      <c r="Q144" s="148">
        <f t="shared" si="118"/>
        <v>0</v>
      </c>
      <c r="R144" s="148">
        <f t="shared" si="119"/>
        <v>0</v>
      </c>
      <c r="S144" s="148">
        <f t="shared" si="120"/>
        <v>0</v>
      </c>
      <c r="T144" s="148">
        <f t="shared" si="108"/>
        <v>0</v>
      </c>
      <c r="U144" s="148">
        <f t="shared" si="108"/>
        <v>0</v>
      </c>
      <c r="V144" s="148">
        <f t="shared" si="108"/>
        <v>0</v>
      </c>
      <c r="W144" s="148">
        <f t="shared" si="108"/>
        <v>0</v>
      </c>
      <c r="X144" s="148">
        <f t="shared" si="108"/>
        <v>0</v>
      </c>
      <c r="Y144" s="148">
        <f t="shared" si="108"/>
        <v>0</v>
      </c>
      <c r="Z144" s="148">
        <f t="shared" si="108"/>
        <v>0</v>
      </c>
      <c r="AA144" s="148">
        <f t="shared" si="108"/>
        <v>0</v>
      </c>
      <c r="AB144" s="148">
        <f t="shared" si="108"/>
        <v>0</v>
      </c>
      <c r="AC144" s="148">
        <f t="shared" si="108"/>
        <v>0</v>
      </c>
      <c r="AD144" s="148">
        <f t="shared" si="113"/>
        <v>0</v>
      </c>
    </row>
    <row r="145" spans="1:30">
      <c r="A145" s="140">
        <f t="shared" si="114"/>
        <v>0</v>
      </c>
      <c r="B145" s="162" t="str">
        <f t="shared" si="98"/>
        <v>PI</v>
      </c>
      <c r="C145" s="159">
        <f t="shared" si="99"/>
        <v>0</v>
      </c>
      <c r="D145" s="160">
        <f t="shared" si="100"/>
        <v>0</v>
      </c>
      <c r="E145" s="144">
        <f t="shared" si="109"/>
        <v>0</v>
      </c>
      <c r="F145" s="161">
        <f>IF($F$135="No YEAR 5",0,IF(ISNA(VLOOKUP(A145,name_5,$F$9,0)),0,VLOOKUP(A145,name_5,$F$9,0)*(1+'1. SUMMARY'!$C$26)))</f>
        <v>0</v>
      </c>
      <c r="G145" s="146">
        <f t="shared" si="110"/>
        <v>0</v>
      </c>
      <c r="H145" s="146">
        <f t="shared" si="111"/>
        <v>0</v>
      </c>
      <c r="I145" s="147">
        <f t="shared" si="112"/>
        <v>0</v>
      </c>
      <c r="M145" s="148">
        <f t="shared" si="101"/>
        <v>0</v>
      </c>
      <c r="N145" s="148">
        <f t="shared" si="115"/>
        <v>0</v>
      </c>
      <c r="O145" s="148">
        <f t="shared" si="116"/>
        <v>0</v>
      </c>
      <c r="P145" s="148">
        <f t="shared" si="117"/>
        <v>0</v>
      </c>
      <c r="Q145" s="148">
        <f t="shared" si="118"/>
        <v>0</v>
      </c>
      <c r="R145" s="148">
        <f t="shared" si="119"/>
        <v>0</v>
      </c>
      <c r="S145" s="148">
        <f t="shared" si="120"/>
        <v>0</v>
      </c>
      <c r="T145" s="148">
        <f t="shared" si="108"/>
        <v>0</v>
      </c>
      <c r="U145" s="148">
        <f t="shared" si="108"/>
        <v>0</v>
      </c>
      <c r="V145" s="148">
        <f t="shared" si="108"/>
        <v>0</v>
      </c>
      <c r="W145" s="148">
        <f t="shared" si="108"/>
        <v>0</v>
      </c>
      <c r="X145" s="148">
        <f t="shared" si="108"/>
        <v>0</v>
      </c>
      <c r="Y145" s="148">
        <f t="shared" si="108"/>
        <v>0</v>
      </c>
      <c r="Z145" s="148">
        <f t="shared" si="108"/>
        <v>0</v>
      </c>
      <c r="AA145" s="148">
        <f t="shared" si="108"/>
        <v>0</v>
      </c>
      <c r="AB145" s="148">
        <f t="shared" si="108"/>
        <v>0</v>
      </c>
      <c r="AC145" s="148">
        <f t="shared" si="108"/>
        <v>0</v>
      </c>
      <c r="AD145" s="148">
        <f t="shared" si="113"/>
        <v>0</v>
      </c>
    </row>
    <row r="146" spans="1:30">
      <c r="A146" s="140">
        <f t="shared" si="114"/>
        <v>0</v>
      </c>
      <c r="B146" s="162" t="str">
        <f t="shared" si="98"/>
        <v>PI</v>
      </c>
      <c r="C146" s="159">
        <f t="shared" si="99"/>
        <v>0</v>
      </c>
      <c r="D146" s="160">
        <f t="shared" si="100"/>
        <v>0</v>
      </c>
      <c r="E146" s="144">
        <f t="shared" si="109"/>
        <v>0</v>
      </c>
      <c r="F146" s="161">
        <f>IF($F$135="No YEAR 5",0,IF(ISNA(VLOOKUP(A146,name_5,$F$9,0)),0,VLOOKUP(A146,name_5,$F$9,0)*(1+'1. SUMMARY'!$C$26)))</f>
        <v>0</v>
      </c>
      <c r="G146" s="146">
        <f t="shared" si="110"/>
        <v>0</v>
      </c>
      <c r="H146" s="146">
        <f t="shared" si="111"/>
        <v>0</v>
      </c>
      <c r="I146" s="147">
        <f t="shared" si="112"/>
        <v>0</v>
      </c>
      <c r="M146" s="148">
        <f t="shared" si="101"/>
        <v>0</v>
      </c>
      <c r="N146" s="148">
        <f t="shared" si="115"/>
        <v>0</v>
      </c>
      <c r="O146" s="148">
        <f t="shared" si="116"/>
        <v>0</v>
      </c>
      <c r="P146" s="148">
        <f t="shared" si="117"/>
        <v>0</v>
      </c>
      <c r="Q146" s="148">
        <f t="shared" si="118"/>
        <v>0</v>
      </c>
      <c r="R146" s="148">
        <f t="shared" si="119"/>
        <v>0</v>
      </c>
      <c r="S146" s="148">
        <f t="shared" si="120"/>
        <v>0</v>
      </c>
      <c r="T146" s="148">
        <f t="shared" si="108"/>
        <v>0</v>
      </c>
      <c r="U146" s="148">
        <f t="shared" si="108"/>
        <v>0</v>
      </c>
      <c r="V146" s="148">
        <f t="shared" si="108"/>
        <v>0</v>
      </c>
      <c r="W146" s="148">
        <f t="shared" si="108"/>
        <v>0</v>
      </c>
      <c r="X146" s="148">
        <f t="shared" si="108"/>
        <v>0</v>
      </c>
      <c r="Y146" s="148">
        <f t="shared" si="108"/>
        <v>0</v>
      </c>
      <c r="Z146" s="148">
        <f t="shared" si="108"/>
        <v>0</v>
      </c>
      <c r="AA146" s="148">
        <f t="shared" si="108"/>
        <v>0</v>
      </c>
      <c r="AB146" s="148">
        <f t="shared" si="108"/>
        <v>0</v>
      </c>
      <c r="AC146" s="148">
        <f t="shared" si="108"/>
        <v>0</v>
      </c>
      <c r="AD146" s="148">
        <f t="shared" si="113"/>
        <v>0</v>
      </c>
    </row>
    <row r="147" spans="1:30">
      <c r="A147" s="140">
        <f t="shared" si="114"/>
        <v>0</v>
      </c>
      <c r="B147" s="162" t="str">
        <f t="shared" si="98"/>
        <v>PI</v>
      </c>
      <c r="C147" s="159">
        <f t="shared" si="99"/>
        <v>0</v>
      </c>
      <c r="D147" s="160">
        <f t="shared" si="100"/>
        <v>0</v>
      </c>
      <c r="E147" s="144">
        <f t="shared" si="109"/>
        <v>0</v>
      </c>
      <c r="F147" s="161">
        <f>IF($F$135="No YEAR 5",0,IF(ISNA(VLOOKUP(A147,name_5,$F$9,0)),0,VLOOKUP(A147,name_5,$F$9,0)*(1+'1. SUMMARY'!$C$26)))</f>
        <v>0</v>
      </c>
      <c r="G147" s="146">
        <f t="shared" si="110"/>
        <v>0</v>
      </c>
      <c r="H147" s="146">
        <f t="shared" si="111"/>
        <v>0</v>
      </c>
      <c r="I147" s="147">
        <f t="shared" si="112"/>
        <v>0</v>
      </c>
      <c r="M147" s="148">
        <f t="shared" si="101"/>
        <v>0</v>
      </c>
      <c r="N147" s="148">
        <f t="shared" si="115"/>
        <v>0</v>
      </c>
      <c r="O147" s="148">
        <f t="shared" si="116"/>
        <v>0</v>
      </c>
      <c r="P147" s="148">
        <f t="shared" si="117"/>
        <v>0</v>
      </c>
      <c r="Q147" s="148">
        <f t="shared" si="118"/>
        <v>0</v>
      </c>
      <c r="R147" s="148">
        <f t="shared" si="119"/>
        <v>0</v>
      </c>
      <c r="S147" s="148">
        <f t="shared" si="120"/>
        <v>0</v>
      </c>
      <c r="T147" s="148">
        <f t="shared" si="108"/>
        <v>0</v>
      </c>
      <c r="U147" s="148">
        <f t="shared" si="108"/>
        <v>0</v>
      </c>
      <c r="V147" s="148">
        <f t="shared" si="108"/>
        <v>0</v>
      </c>
      <c r="W147" s="148">
        <f t="shared" si="108"/>
        <v>0</v>
      </c>
      <c r="X147" s="148">
        <f t="shared" si="108"/>
        <v>0</v>
      </c>
      <c r="Y147" s="148">
        <f t="shared" si="108"/>
        <v>0</v>
      </c>
      <c r="Z147" s="148">
        <f t="shared" si="108"/>
        <v>0</v>
      </c>
      <c r="AA147" s="148">
        <f t="shared" si="108"/>
        <v>0</v>
      </c>
      <c r="AB147" s="148">
        <f t="shared" si="108"/>
        <v>0</v>
      </c>
      <c r="AC147" s="148">
        <f t="shared" si="108"/>
        <v>0</v>
      </c>
      <c r="AD147" s="148">
        <f t="shared" si="113"/>
        <v>0</v>
      </c>
    </row>
    <row r="148" spans="1:30">
      <c r="A148" s="140">
        <f t="shared" si="114"/>
        <v>0</v>
      </c>
      <c r="B148" s="162" t="str">
        <f t="shared" si="98"/>
        <v>PI</v>
      </c>
      <c r="C148" s="159">
        <f t="shared" si="99"/>
        <v>0</v>
      </c>
      <c r="D148" s="160">
        <f t="shared" si="100"/>
        <v>0</v>
      </c>
      <c r="E148" s="144">
        <f t="shared" si="109"/>
        <v>0</v>
      </c>
      <c r="F148" s="161">
        <f>IF($F$135="No YEAR 5",0,IF(ISNA(VLOOKUP(A148,name_5,$F$9,0)),0,VLOOKUP(A148,name_5,$F$9,0)*(1+'1. SUMMARY'!$C$26)))</f>
        <v>0</v>
      </c>
      <c r="G148" s="146">
        <f t="shared" si="110"/>
        <v>0</v>
      </c>
      <c r="H148" s="146">
        <f t="shared" si="111"/>
        <v>0</v>
      </c>
      <c r="I148" s="147">
        <f t="shared" si="112"/>
        <v>0</v>
      </c>
      <c r="M148" s="148">
        <f t="shared" si="101"/>
        <v>0</v>
      </c>
      <c r="N148" s="148">
        <f t="shared" si="115"/>
        <v>0</v>
      </c>
      <c r="O148" s="148">
        <f t="shared" si="116"/>
        <v>0</v>
      </c>
      <c r="P148" s="148">
        <f t="shared" si="117"/>
        <v>0</v>
      </c>
      <c r="Q148" s="148">
        <f t="shared" si="118"/>
        <v>0</v>
      </c>
      <c r="R148" s="148">
        <f t="shared" si="119"/>
        <v>0</v>
      </c>
      <c r="S148" s="148">
        <f t="shared" si="120"/>
        <v>0</v>
      </c>
      <c r="T148" s="148">
        <f t="shared" ref="T148:AC162" si="121">IF(T$136=0,0,(($G148/$AD$136)*T$136)*VLOOKUP($C148,benefits,9,0))</f>
        <v>0</v>
      </c>
      <c r="U148" s="148">
        <f t="shared" si="121"/>
        <v>0</v>
      </c>
      <c r="V148" s="148">
        <f t="shared" si="121"/>
        <v>0</v>
      </c>
      <c r="W148" s="148">
        <f t="shared" si="121"/>
        <v>0</v>
      </c>
      <c r="X148" s="148">
        <f t="shared" si="121"/>
        <v>0</v>
      </c>
      <c r="Y148" s="148">
        <f t="shared" si="121"/>
        <v>0</v>
      </c>
      <c r="Z148" s="148">
        <f t="shared" si="121"/>
        <v>0</v>
      </c>
      <c r="AA148" s="148">
        <f t="shared" si="121"/>
        <v>0</v>
      </c>
      <c r="AB148" s="148">
        <f t="shared" si="121"/>
        <v>0</v>
      </c>
      <c r="AC148" s="148">
        <f t="shared" si="121"/>
        <v>0</v>
      </c>
      <c r="AD148" s="148">
        <f t="shared" si="113"/>
        <v>0</v>
      </c>
    </row>
    <row r="149" spans="1:30">
      <c r="A149" s="140">
        <f t="shared" si="114"/>
        <v>0</v>
      </c>
      <c r="B149" s="162" t="str">
        <f t="shared" si="98"/>
        <v>PI</v>
      </c>
      <c r="C149" s="159">
        <f t="shared" si="99"/>
        <v>0</v>
      </c>
      <c r="D149" s="160">
        <f t="shared" si="100"/>
        <v>0</v>
      </c>
      <c r="E149" s="144">
        <f t="shared" si="109"/>
        <v>0</v>
      </c>
      <c r="F149" s="161">
        <f>IF($F$135="No YEAR 5",0,IF(ISNA(VLOOKUP(A149,name_5,$F$9,0)),0,VLOOKUP(A149,name_5,$F$9,0)*(1+'1. SUMMARY'!$C$26)))</f>
        <v>0</v>
      </c>
      <c r="G149" s="146">
        <f t="shared" si="110"/>
        <v>0</v>
      </c>
      <c r="H149" s="146">
        <f t="shared" si="111"/>
        <v>0</v>
      </c>
      <c r="I149" s="147">
        <f t="shared" si="112"/>
        <v>0</v>
      </c>
      <c r="M149" s="148">
        <f t="shared" si="101"/>
        <v>0</v>
      </c>
      <c r="N149" s="148">
        <f t="shared" si="115"/>
        <v>0</v>
      </c>
      <c r="O149" s="148">
        <f t="shared" si="116"/>
        <v>0</v>
      </c>
      <c r="P149" s="148">
        <f t="shared" si="117"/>
        <v>0</v>
      </c>
      <c r="Q149" s="148">
        <f t="shared" si="118"/>
        <v>0</v>
      </c>
      <c r="R149" s="148">
        <f t="shared" si="119"/>
        <v>0</v>
      </c>
      <c r="S149" s="148">
        <f t="shared" si="120"/>
        <v>0</v>
      </c>
      <c r="T149" s="148">
        <f t="shared" si="121"/>
        <v>0</v>
      </c>
      <c r="U149" s="148">
        <f t="shared" si="121"/>
        <v>0</v>
      </c>
      <c r="V149" s="148">
        <f t="shared" si="121"/>
        <v>0</v>
      </c>
      <c r="W149" s="148">
        <f t="shared" si="121"/>
        <v>0</v>
      </c>
      <c r="X149" s="148">
        <f t="shared" si="121"/>
        <v>0</v>
      </c>
      <c r="Y149" s="148">
        <f t="shared" si="121"/>
        <v>0</v>
      </c>
      <c r="Z149" s="148">
        <f t="shared" si="121"/>
        <v>0</v>
      </c>
      <c r="AA149" s="148">
        <f t="shared" si="121"/>
        <v>0</v>
      </c>
      <c r="AB149" s="148">
        <f t="shared" si="121"/>
        <v>0</v>
      </c>
      <c r="AC149" s="148">
        <f t="shared" si="121"/>
        <v>0</v>
      </c>
      <c r="AD149" s="148">
        <f t="shared" si="113"/>
        <v>0</v>
      </c>
    </row>
    <row r="150" spans="1:30">
      <c r="A150" s="140">
        <f t="shared" si="114"/>
        <v>0</v>
      </c>
      <c r="B150" s="162" t="str">
        <f t="shared" si="98"/>
        <v>PI</v>
      </c>
      <c r="C150" s="159">
        <f t="shared" si="99"/>
        <v>0</v>
      </c>
      <c r="D150" s="160">
        <f t="shared" si="100"/>
        <v>0</v>
      </c>
      <c r="E150" s="144">
        <f t="shared" si="109"/>
        <v>0</v>
      </c>
      <c r="F150" s="161">
        <f>IF($F$135="No YEAR 5",0,IF(ISNA(VLOOKUP(A150,name_5,$F$9,0)),0,VLOOKUP(A150,name_5,$F$9,0)*(1+'1. SUMMARY'!$C$26)))</f>
        <v>0</v>
      </c>
      <c r="G150" s="146">
        <f t="shared" si="110"/>
        <v>0</v>
      </c>
      <c r="H150" s="146">
        <f t="shared" si="111"/>
        <v>0</v>
      </c>
      <c r="I150" s="147">
        <f t="shared" si="112"/>
        <v>0</v>
      </c>
      <c r="M150" s="148">
        <f t="shared" si="101"/>
        <v>0</v>
      </c>
      <c r="N150" s="148">
        <f t="shared" si="115"/>
        <v>0</v>
      </c>
      <c r="O150" s="148">
        <f t="shared" si="116"/>
        <v>0</v>
      </c>
      <c r="P150" s="148">
        <f t="shared" si="117"/>
        <v>0</v>
      </c>
      <c r="Q150" s="148">
        <f t="shared" si="118"/>
        <v>0</v>
      </c>
      <c r="R150" s="148">
        <f t="shared" si="119"/>
        <v>0</v>
      </c>
      <c r="S150" s="148">
        <f t="shared" si="120"/>
        <v>0</v>
      </c>
      <c r="T150" s="148">
        <f t="shared" si="121"/>
        <v>0</v>
      </c>
      <c r="U150" s="148">
        <f t="shared" si="121"/>
        <v>0</v>
      </c>
      <c r="V150" s="148">
        <f t="shared" si="121"/>
        <v>0</v>
      </c>
      <c r="W150" s="148">
        <f t="shared" si="121"/>
        <v>0</v>
      </c>
      <c r="X150" s="148">
        <f t="shared" si="121"/>
        <v>0</v>
      </c>
      <c r="Y150" s="148">
        <f t="shared" si="121"/>
        <v>0</v>
      </c>
      <c r="Z150" s="148">
        <f t="shared" si="121"/>
        <v>0</v>
      </c>
      <c r="AA150" s="148">
        <f t="shared" si="121"/>
        <v>0</v>
      </c>
      <c r="AB150" s="148">
        <f t="shared" si="121"/>
        <v>0</v>
      </c>
      <c r="AC150" s="148">
        <f t="shared" si="121"/>
        <v>0</v>
      </c>
      <c r="AD150" s="148">
        <f t="shared" si="113"/>
        <v>0</v>
      </c>
    </row>
    <row r="151" spans="1:30">
      <c r="A151" s="140">
        <f t="shared" si="114"/>
        <v>0</v>
      </c>
      <c r="B151" s="162" t="str">
        <f t="shared" si="98"/>
        <v>PI</v>
      </c>
      <c r="C151" s="159">
        <f t="shared" si="99"/>
        <v>0</v>
      </c>
      <c r="D151" s="160">
        <f t="shared" si="100"/>
        <v>0</v>
      </c>
      <c r="E151" s="144">
        <f t="shared" si="109"/>
        <v>0</v>
      </c>
      <c r="F151" s="161">
        <f>IF($F$135="No YEAR 5",0,IF(ISNA(VLOOKUP(A151,name_5,$F$9,0)),0,VLOOKUP(A151,name_5,$F$9,0)*(1+'1. SUMMARY'!$C$26)))</f>
        <v>0</v>
      </c>
      <c r="G151" s="146">
        <f t="shared" si="110"/>
        <v>0</v>
      </c>
      <c r="H151" s="146">
        <f t="shared" si="111"/>
        <v>0</v>
      </c>
      <c r="I151" s="147">
        <f t="shared" si="112"/>
        <v>0</v>
      </c>
      <c r="M151" s="148">
        <f t="shared" ref="M151:M162" si="122">IF($M$136=0,0,((G151/$AD$136)*$M$136)*VLOOKUP(C119,benefits,2,0))</f>
        <v>0</v>
      </c>
      <c r="N151" s="148">
        <f t="shared" si="102"/>
        <v>0</v>
      </c>
      <c r="O151" s="148">
        <f t="shared" si="103"/>
        <v>0</v>
      </c>
      <c r="P151" s="148">
        <f t="shared" si="104"/>
        <v>0</v>
      </c>
      <c r="Q151" s="148">
        <f t="shared" si="105"/>
        <v>0</v>
      </c>
      <c r="R151" s="148">
        <f t="shared" si="106"/>
        <v>0</v>
      </c>
      <c r="S151" s="148">
        <f t="shared" si="107"/>
        <v>0</v>
      </c>
      <c r="T151" s="148">
        <f t="shared" si="121"/>
        <v>0</v>
      </c>
      <c r="U151" s="148">
        <f t="shared" si="121"/>
        <v>0</v>
      </c>
      <c r="V151" s="148">
        <f t="shared" si="121"/>
        <v>0</v>
      </c>
      <c r="W151" s="148">
        <f t="shared" si="121"/>
        <v>0</v>
      </c>
      <c r="X151" s="148">
        <f t="shared" si="121"/>
        <v>0</v>
      </c>
      <c r="Y151" s="148">
        <f t="shared" si="121"/>
        <v>0</v>
      </c>
      <c r="Z151" s="148">
        <f t="shared" si="121"/>
        <v>0</v>
      </c>
      <c r="AA151" s="148">
        <f t="shared" si="121"/>
        <v>0</v>
      </c>
      <c r="AB151" s="148">
        <f t="shared" si="121"/>
        <v>0</v>
      </c>
      <c r="AC151" s="148">
        <f t="shared" si="121"/>
        <v>0</v>
      </c>
      <c r="AD151" s="148">
        <f t="shared" si="113"/>
        <v>0</v>
      </c>
    </row>
    <row r="152" spans="1:30">
      <c r="A152" s="140">
        <f t="shared" si="114"/>
        <v>0</v>
      </c>
      <c r="B152" s="162" t="str">
        <f t="shared" si="98"/>
        <v>PI</v>
      </c>
      <c r="C152" s="159">
        <f t="shared" si="99"/>
        <v>0</v>
      </c>
      <c r="D152" s="160">
        <f t="shared" si="100"/>
        <v>0</v>
      </c>
      <c r="E152" s="144">
        <f t="shared" si="109"/>
        <v>0</v>
      </c>
      <c r="F152" s="161">
        <f>IF($F$135="No YEAR 5",0,IF(ISNA(VLOOKUP(A152,name_5,$F$9,0)),0,VLOOKUP(A152,name_5,$F$9,0)*(1+'1. SUMMARY'!$C$26)))</f>
        <v>0</v>
      </c>
      <c r="G152" s="146">
        <f t="shared" si="110"/>
        <v>0</v>
      </c>
      <c r="H152" s="146">
        <f t="shared" si="111"/>
        <v>0</v>
      </c>
      <c r="I152" s="147">
        <f t="shared" si="112"/>
        <v>0</v>
      </c>
      <c r="M152" s="148">
        <f t="shared" si="122"/>
        <v>0</v>
      </c>
      <c r="N152" s="148">
        <f t="shared" si="102"/>
        <v>0</v>
      </c>
      <c r="O152" s="148">
        <f t="shared" si="103"/>
        <v>0</v>
      </c>
      <c r="P152" s="148">
        <f t="shared" si="104"/>
        <v>0</v>
      </c>
      <c r="Q152" s="148">
        <f t="shared" si="105"/>
        <v>0</v>
      </c>
      <c r="R152" s="148">
        <f t="shared" si="106"/>
        <v>0</v>
      </c>
      <c r="S152" s="148">
        <f t="shared" si="107"/>
        <v>0</v>
      </c>
      <c r="T152" s="148">
        <f t="shared" si="121"/>
        <v>0</v>
      </c>
      <c r="U152" s="148">
        <f t="shared" si="121"/>
        <v>0</v>
      </c>
      <c r="V152" s="148">
        <f t="shared" si="121"/>
        <v>0</v>
      </c>
      <c r="W152" s="148">
        <f t="shared" si="121"/>
        <v>0</v>
      </c>
      <c r="X152" s="148">
        <f t="shared" si="121"/>
        <v>0</v>
      </c>
      <c r="Y152" s="148">
        <f t="shared" si="121"/>
        <v>0</v>
      </c>
      <c r="Z152" s="148">
        <f t="shared" si="121"/>
        <v>0</v>
      </c>
      <c r="AA152" s="148">
        <f t="shared" si="121"/>
        <v>0</v>
      </c>
      <c r="AB152" s="148">
        <f t="shared" si="121"/>
        <v>0</v>
      </c>
      <c r="AC152" s="148">
        <f t="shared" si="121"/>
        <v>0</v>
      </c>
      <c r="AD152" s="148">
        <f t="shared" si="113"/>
        <v>0</v>
      </c>
    </row>
    <row r="153" spans="1:30">
      <c r="A153" s="140">
        <f t="shared" si="114"/>
        <v>0</v>
      </c>
      <c r="B153" s="162" t="str">
        <f t="shared" si="98"/>
        <v>PI</v>
      </c>
      <c r="C153" s="159">
        <f t="shared" si="99"/>
        <v>0</v>
      </c>
      <c r="D153" s="160">
        <f t="shared" si="100"/>
        <v>0</v>
      </c>
      <c r="E153" s="144">
        <f t="shared" si="109"/>
        <v>0</v>
      </c>
      <c r="F153" s="161">
        <f>IF($F$135="No YEAR 5",0,IF(ISNA(VLOOKUP(A153,name_5,$F$9,0)),0,VLOOKUP(A153,name_5,$F$9,0)*(1+'1. SUMMARY'!$C$26)))</f>
        <v>0</v>
      </c>
      <c r="G153" s="146">
        <f t="shared" si="110"/>
        <v>0</v>
      </c>
      <c r="H153" s="146">
        <f t="shared" si="111"/>
        <v>0</v>
      </c>
      <c r="I153" s="147">
        <f t="shared" si="112"/>
        <v>0</v>
      </c>
      <c r="M153" s="148">
        <f t="shared" si="122"/>
        <v>0</v>
      </c>
      <c r="N153" s="148">
        <f t="shared" si="102"/>
        <v>0</v>
      </c>
      <c r="O153" s="148">
        <f t="shared" si="103"/>
        <v>0</v>
      </c>
      <c r="P153" s="148">
        <f t="shared" si="104"/>
        <v>0</v>
      </c>
      <c r="Q153" s="148">
        <f t="shared" si="105"/>
        <v>0</v>
      </c>
      <c r="R153" s="148">
        <f t="shared" si="106"/>
        <v>0</v>
      </c>
      <c r="S153" s="148">
        <f t="shared" si="107"/>
        <v>0</v>
      </c>
      <c r="T153" s="148">
        <f t="shared" si="121"/>
        <v>0</v>
      </c>
      <c r="U153" s="148">
        <f t="shared" si="121"/>
        <v>0</v>
      </c>
      <c r="V153" s="148">
        <f t="shared" si="121"/>
        <v>0</v>
      </c>
      <c r="W153" s="148">
        <f t="shared" si="121"/>
        <v>0</v>
      </c>
      <c r="X153" s="148">
        <f t="shared" si="121"/>
        <v>0</v>
      </c>
      <c r="Y153" s="148">
        <f t="shared" si="121"/>
        <v>0</v>
      </c>
      <c r="Z153" s="148">
        <f t="shared" si="121"/>
        <v>0</v>
      </c>
      <c r="AA153" s="148">
        <f t="shared" si="121"/>
        <v>0</v>
      </c>
      <c r="AB153" s="148">
        <f t="shared" si="121"/>
        <v>0</v>
      </c>
      <c r="AC153" s="148">
        <f t="shared" si="121"/>
        <v>0</v>
      </c>
      <c r="AD153" s="148">
        <f t="shared" si="113"/>
        <v>0</v>
      </c>
    </row>
    <row r="154" spans="1:30">
      <c r="A154" s="140">
        <f t="shared" si="114"/>
        <v>0</v>
      </c>
      <c r="B154" s="162" t="str">
        <f t="shared" si="98"/>
        <v>PI</v>
      </c>
      <c r="C154" s="159">
        <f t="shared" si="99"/>
        <v>0</v>
      </c>
      <c r="D154" s="160">
        <f t="shared" si="100"/>
        <v>0</v>
      </c>
      <c r="E154" s="144">
        <f t="shared" si="109"/>
        <v>0</v>
      </c>
      <c r="F154" s="161">
        <f>IF($F$135="No YEAR 5",0,IF(ISNA(VLOOKUP(A154,name_5,$F$9,0)),0,VLOOKUP(A154,name_5,$F$9,0)*(1+'1. SUMMARY'!$C$26)))</f>
        <v>0</v>
      </c>
      <c r="G154" s="146">
        <f t="shared" si="110"/>
        <v>0</v>
      </c>
      <c r="H154" s="146">
        <f t="shared" si="111"/>
        <v>0</v>
      </c>
      <c r="I154" s="147">
        <f t="shared" si="112"/>
        <v>0</v>
      </c>
      <c r="M154" s="148">
        <f t="shared" si="122"/>
        <v>0</v>
      </c>
      <c r="N154" s="148">
        <f t="shared" si="102"/>
        <v>0</v>
      </c>
      <c r="O154" s="148">
        <f t="shared" si="103"/>
        <v>0</v>
      </c>
      <c r="P154" s="148">
        <f t="shared" si="104"/>
        <v>0</v>
      </c>
      <c r="Q154" s="148">
        <f t="shared" si="105"/>
        <v>0</v>
      </c>
      <c r="R154" s="148">
        <f t="shared" si="106"/>
        <v>0</v>
      </c>
      <c r="S154" s="148">
        <f t="shared" si="107"/>
        <v>0</v>
      </c>
      <c r="T154" s="148">
        <f t="shared" si="121"/>
        <v>0</v>
      </c>
      <c r="U154" s="148">
        <f t="shared" si="121"/>
        <v>0</v>
      </c>
      <c r="V154" s="148">
        <f t="shared" si="121"/>
        <v>0</v>
      </c>
      <c r="W154" s="148">
        <f t="shared" si="121"/>
        <v>0</v>
      </c>
      <c r="X154" s="148">
        <f t="shared" si="121"/>
        <v>0</v>
      </c>
      <c r="Y154" s="148">
        <f t="shared" si="121"/>
        <v>0</v>
      </c>
      <c r="Z154" s="148">
        <f t="shared" si="121"/>
        <v>0</v>
      </c>
      <c r="AA154" s="148">
        <f t="shared" si="121"/>
        <v>0</v>
      </c>
      <c r="AB154" s="148">
        <f t="shared" si="121"/>
        <v>0</v>
      </c>
      <c r="AC154" s="148">
        <f t="shared" si="121"/>
        <v>0</v>
      </c>
      <c r="AD154" s="148">
        <f t="shared" si="113"/>
        <v>0</v>
      </c>
    </row>
    <row r="155" spans="1:30">
      <c r="A155" s="140">
        <f t="shared" si="114"/>
        <v>0</v>
      </c>
      <c r="B155" s="162" t="str">
        <f t="shared" si="98"/>
        <v>PI</v>
      </c>
      <c r="C155" s="159">
        <f t="shared" si="99"/>
        <v>0</v>
      </c>
      <c r="D155" s="160">
        <f t="shared" si="100"/>
        <v>0</v>
      </c>
      <c r="E155" s="144">
        <f t="shared" si="109"/>
        <v>0</v>
      </c>
      <c r="F155" s="161">
        <f>IF($F$135="No YEAR 5",0,IF(ISNA(VLOOKUP(A155,name_5,$F$9,0)),0,VLOOKUP(A155,name_5,$F$9,0)*(1+'1. SUMMARY'!$C$26)))</f>
        <v>0</v>
      </c>
      <c r="G155" s="146">
        <f t="shared" si="110"/>
        <v>0</v>
      </c>
      <c r="H155" s="146">
        <f t="shared" si="111"/>
        <v>0</v>
      </c>
      <c r="I155" s="147">
        <f t="shared" si="112"/>
        <v>0</v>
      </c>
      <c r="M155" s="148">
        <f t="shared" si="122"/>
        <v>0</v>
      </c>
      <c r="N155" s="148">
        <f t="shared" si="102"/>
        <v>0</v>
      </c>
      <c r="O155" s="148">
        <f t="shared" si="103"/>
        <v>0</v>
      </c>
      <c r="P155" s="148">
        <f t="shared" si="104"/>
        <v>0</v>
      </c>
      <c r="Q155" s="148">
        <f t="shared" si="105"/>
        <v>0</v>
      </c>
      <c r="R155" s="148">
        <f t="shared" si="106"/>
        <v>0</v>
      </c>
      <c r="S155" s="148">
        <f t="shared" si="107"/>
        <v>0</v>
      </c>
      <c r="T155" s="148">
        <f t="shared" si="121"/>
        <v>0</v>
      </c>
      <c r="U155" s="148">
        <f t="shared" si="121"/>
        <v>0</v>
      </c>
      <c r="V155" s="148">
        <f t="shared" si="121"/>
        <v>0</v>
      </c>
      <c r="W155" s="148">
        <f t="shared" si="121"/>
        <v>0</v>
      </c>
      <c r="X155" s="148">
        <f t="shared" si="121"/>
        <v>0</v>
      </c>
      <c r="Y155" s="148">
        <f t="shared" si="121"/>
        <v>0</v>
      </c>
      <c r="Z155" s="148">
        <f t="shared" si="121"/>
        <v>0</v>
      </c>
      <c r="AA155" s="148">
        <f t="shared" si="121"/>
        <v>0</v>
      </c>
      <c r="AB155" s="148">
        <f t="shared" si="121"/>
        <v>0</v>
      </c>
      <c r="AC155" s="148">
        <f t="shared" si="121"/>
        <v>0</v>
      </c>
      <c r="AD155" s="148">
        <f t="shared" si="113"/>
        <v>0</v>
      </c>
    </row>
    <row r="156" spans="1:30">
      <c r="A156" s="140">
        <f t="shared" si="114"/>
        <v>0</v>
      </c>
      <c r="B156" s="162" t="str">
        <f t="shared" si="98"/>
        <v>PI</v>
      </c>
      <c r="C156" s="159">
        <f t="shared" si="99"/>
        <v>0</v>
      </c>
      <c r="D156" s="160">
        <f t="shared" si="100"/>
        <v>0</v>
      </c>
      <c r="E156" s="144">
        <f t="shared" si="109"/>
        <v>0</v>
      </c>
      <c r="F156" s="161">
        <f>IF($F$135="No YEAR 5",0,IF(ISNA(VLOOKUP(A156,name_5,$F$9,0)),0,VLOOKUP(A156,name_5,$F$9,0)*(1+'1. SUMMARY'!$C$26)))</f>
        <v>0</v>
      </c>
      <c r="G156" s="146">
        <f t="shared" si="110"/>
        <v>0</v>
      </c>
      <c r="H156" s="146">
        <f t="shared" si="111"/>
        <v>0</v>
      </c>
      <c r="I156" s="147">
        <f t="shared" si="112"/>
        <v>0</v>
      </c>
      <c r="M156" s="148">
        <f t="shared" si="122"/>
        <v>0</v>
      </c>
      <c r="N156" s="148">
        <f t="shared" si="102"/>
        <v>0</v>
      </c>
      <c r="O156" s="148">
        <f t="shared" si="103"/>
        <v>0</v>
      </c>
      <c r="P156" s="148">
        <f t="shared" si="104"/>
        <v>0</v>
      </c>
      <c r="Q156" s="148">
        <f t="shared" si="105"/>
        <v>0</v>
      </c>
      <c r="R156" s="148">
        <f t="shared" si="106"/>
        <v>0</v>
      </c>
      <c r="S156" s="148">
        <f t="shared" si="107"/>
        <v>0</v>
      </c>
      <c r="T156" s="148">
        <f t="shared" si="121"/>
        <v>0</v>
      </c>
      <c r="U156" s="148">
        <f t="shared" si="121"/>
        <v>0</v>
      </c>
      <c r="V156" s="148">
        <f t="shared" si="121"/>
        <v>0</v>
      </c>
      <c r="W156" s="148">
        <f t="shared" si="121"/>
        <v>0</v>
      </c>
      <c r="X156" s="148">
        <f t="shared" si="121"/>
        <v>0</v>
      </c>
      <c r="Y156" s="148">
        <f t="shared" si="121"/>
        <v>0</v>
      </c>
      <c r="Z156" s="148">
        <f t="shared" si="121"/>
        <v>0</v>
      </c>
      <c r="AA156" s="148">
        <f t="shared" si="121"/>
        <v>0</v>
      </c>
      <c r="AB156" s="148">
        <f t="shared" si="121"/>
        <v>0</v>
      </c>
      <c r="AC156" s="148">
        <f t="shared" si="121"/>
        <v>0</v>
      </c>
      <c r="AD156" s="148">
        <f t="shared" si="113"/>
        <v>0</v>
      </c>
    </row>
    <row r="157" spans="1:30">
      <c r="A157" s="140">
        <f t="shared" si="114"/>
        <v>0</v>
      </c>
      <c r="B157" s="162" t="str">
        <f t="shared" si="98"/>
        <v>PI</v>
      </c>
      <c r="C157" s="159">
        <f t="shared" si="99"/>
        <v>0</v>
      </c>
      <c r="D157" s="160">
        <f t="shared" si="100"/>
        <v>0</v>
      </c>
      <c r="E157" s="144">
        <f t="shared" si="109"/>
        <v>0</v>
      </c>
      <c r="F157" s="161">
        <f>IF($F$135="No YEAR 5",0,IF(ISNA(VLOOKUP(A157,name_5,$F$9,0)),0,VLOOKUP(A157,name_5,$F$9,0)*(1+'1. SUMMARY'!$C$26)))</f>
        <v>0</v>
      </c>
      <c r="G157" s="146">
        <f t="shared" si="110"/>
        <v>0</v>
      </c>
      <c r="H157" s="146">
        <f t="shared" si="111"/>
        <v>0</v>
      </c>
      <c r="I157" s="147">
        <f t="shared" si="112"/>
        <v>0</v>
      </c>
      <c r="M157" s="148">
        <f t="shared" si="122"/>
        <v>0</v>
      </c>
      <c r="N157" s="148">
        <f t="shared" si="102"/>
        <v>0</v>
      </c>
      <c r="O157" s="148">
        <f t="shared" si="103"/>
        <v>0</v>
      </c>
      <c r="P157" s="148">
        <f t="shared" si="104"/>
        <v>0</v>
      </c>
      <c r="Q157" s="148">
        <f t="shared" si="105"/>
        <v>0</v>
      </c>
      <c r="R157" s="148">
        <f t="shared" si="106"/>
        <v>0</v>
      </c>
      <c r="S157" s="148">
        <f t="shared" si="107"/>
        <v>0</v>
      </c>
      <c r="T157" s="148">
        <f t="shared" si="121"/>
        <v>0</v>
      </c>
      <c r="U157" s="148">
        <f t="shared" si="121"/>
        <v>0</v>
      </c>
      <c r="V157" s="148">
        <f t="shared" si="121"/>
        <v>0</v>
      </c>
      <c r="W157" s="148">
        <f t="shared" si="121"/>
        <v>0</v>
      </c>
      <c r="X157" s="148">
        <f t="shared" si="121"/>
        <v>0</v>
      </c>
      <c r="Y157" s="148">
        <f t="shared" si="121"/>
        <v>0</v>
      </c>
      <c r="Z157" s="148">
        <f t="shared" si="121"/>
        <v>0</v>
      </c>
      <c r="AA157" s="148">
        <f t="shared" si="121"/>
        <v>0</v>
      </c>
      <c r="AB157" s="148">
        <f t="shared" si="121"/>
        <v>0</v>
      </c>
      <c r="AC157" s="148">
        <f t="shared" si="121"/>
        <v>0</v>
      </c>
      <c r="AD157" s="148">
        <f t="shared" si="113"/>
        <v>0</v>
      </c>
    </row>
    <row r="158" spans="1:30">
      <c r="A158" s="140">
        <f t="shared" si="114"/>
        <v>0</v>
      </c>
      <c r="B158" s="162" t="str">
        <f t="shared" si="98"/>
        <v>PI</v>
      </c>
      <c r="C158" s="159">
        <f t="shared" si="99"/>
        <v>0</v>
      </c>
      <c r="D158" s="160">
        <f t="shared" si="100"/>
        <v>0</v>
      </c>
      <c r="E158" s="144">
        <f t="shared" si="109"/>
        <v>0</v>
      </c>
      <c r="F158" s="161">
        <f>IF($F$135="No YEAR 5",0,IF(ISNA(VLOOKUP(A158,name_5,$F$9,0)),0,VLOOKUP(A158,name_5,$F$9,0)*(1+'1. SUMMARY'!$C$26)))</f>
        <v>0</v>
      </c>
      <c r="G158" s="146">
        <f t="shared" si="110"/>
        <v>0</v>
      </c>
      <c r="H158" s="146">
        <f t="shared" si="111"/>
        <v>0</v>
      </c>
      <c r="I158" s="147">
        <f t="shared" si="112"/>
        <v>0</v>
      </c>
      <c r="M158" s="148">
        <f t="shared" si="122"/>
        <v>0</v>
      </c>
      <c r="N158" s="148">
        <f t="shared" si="102"/>
        <v>0</v>
      </c>
      <c r="O158" s="148">
        <f t="shared" si="103"/>
        <v>0</v>
      </c>
      <c r="P158" s="148">
        <f t="shared" si="104"/>
        <v>0</v>
      </c>
      <c r="Q158" s="148">
        <f t="shared" si="105"/>
        <v>0</v>
      </c>
      <c r="R158" s="148">
        <f t="shared" si="106"/>
        <v>0</v>
      </c>
      <c r="S158" s="148">
        <f t="shared" si="107"/>
        <v>0</v>
      </c>
      <c r="T158" s="148">
        <f t="shared" si="121"/>
        <v>0</v>
      </c>
      <c r="U158" s="148">
        <f t="shared" si="121"/>
        <v>0</v>
      </c>
      <c r="V158" s="148">
        <f t="shared" si="121"/>
        <v>0</v>
      </c>
      <c r="W158" s="148">
        <f t="shared" si="121"/>
        <v>0</v>
      </c>
      <c r="X158" s="148">
        <f t="shared" si="121"/>
        <v>0</v>
      </c>
      <c r="Y158" s="148">
        <f t="shared" si="121"/>
        <v>0</v>
      </c>
      <c r="Z158" s="148">
        <f t="shared" si="121"/>
        <v>0</v>
      </c>
      <c r="AA158" s="148">
        <f t="shared" si="121"/>
        <v>0</v>
      </c>
      <c r="AB158" s="148">
        <f t="shared" si="121"/>
        <v>0</v>
      </c>
      <c r="AC158" s="148">
        <f t="shared" si="121"/>
        <v>0</v>
      </c>
      <c r="AD158" s="148">
        <f t="shared" si="113"/>
        <v>0</v>
      </c>
    </row>
    <row r="159" spans="1:30">
      <c r="A159" s="140">
        <f t="shared" si="114"/>
        <v>0</v>
      </c>
      <c r="B159" s="162" t="str">
        <f t="shared" si="98"/>
        <v>PI</v>
      </c>
      <c r="C159" s="159">
        <f t="shared" si="99"/>
        <v>0</v>
      </c>
      <c r="D159" s="160">
        <f t="shared" si="100"/>
        <v>0</v>
      </c>
      <c r="E159" s="144">
        <f t="shared" si="109"/>
        <v>0</v>
      </c>
      <c r="F159" s="161">
        <f>IF($F$135="No YEAR 5",0,IF(ISNA(VLOOKUP(A159,name_5,$F$9,0)),0,VLOOKUP(A159,name_5,$F$9,0)*(1+'1. SUMMARY'!$C$26)))</f>
        <v>0</v>
      </c>
      <c r="G159" s="146">
        <f t="shared" si="110"/>
        <v>0</v>
      </c>
      <c r="H159" s="146">
        <f t="shared" si="111"/>
        <v>0</v>
      </c>
      <c r="I159" s="147">
        <f t="shared" si="112"/>
        <v>0</v>
      </c>
      <c r="M159" s="148">
        <f t="shared" si="122"/>
        <v>0</v>
      </c>
      <c r="N159" s="148">
        <f t="shared" si="102"/>
        <v>0</v>
      </c>
      <c r="O159" s="148">
        <f t="shared" si="103"/>
        <v>0</v>
      </c>
      <c r="P159" s="148">
        <f t="shared" si="104"/>
        <v>0</v>
      </c>
      <c r="Q159" s="148">
        <f t="shared" si="105"/>
        <v>0</v>
      </c>
      <c r="R159" s="148">
        <f t="shared" si="106"/>
        <v>0</v>
      </c>
      <c r="S159" s="148">
        <f t="shared" si="107"/>
        <v>0</v>
      </c>
      <c r="T159" s="148">
        <f t="shared" si="121"/>
        <v>0</v>
      </c>
      <c r="U159" s="148">
        <f t="shared" si="121"/>
        <v>0</v>
      </c>
      <c r="V159" s="148">
        <f t="shared" si="121"/>
        <v>0</v>
      </c>
      <c r="W159" s="148">
        <f t="shared" si="121"/>
        <v>0</v>
      </c>
      <c r="X159" s="148">
        <f t="shared" si="121"/>
        <v>0</v>
      </c>
      <c r="Y159" s="148">
        <f t="shared" si="121"/>
        <v>0</v>
      </c>
      <c r="Z159" s="148">
        <f t="shared" si="121"/>
        <v>0</v>
      </c>
      <c r="AA159" s="148">
        <f t="shared" si="121"/>
        <v>0</v>
      </c>
      <c r="AB159" s="148">
        <f t="shared" si="121"/>
        <v>0</v>
      </c>
      <c r="AC159" s="148">
        <f t="shared" si="121"/>
        <v>0</v>
      </c>
      <c r="AD159" s="148">
        <f t="shared" si="113"/>
        <v>0</v>
      </c>
    </row>
    <row r="160" spans="1:30">
      <c r="A160" s="140">
        <f t="shared" si="114"/>
        <v>0</v>
      </c>
      <c r="B160" s="162" t="str">
        <f t="shared" si="98"/>
        <v>PI</v>
      </c>
      <c r="C160" s="159">
        <f t="shared" si="99"/>
        <v>0</v>
      </c>
      <c r="D160" s="160">
        <f t="shared" si="100"/>
        <v>0</v>
      </c>
      <c r="E160" s="144">
        <f t="shared" si="109"/>
        <v>0</v>
      </c>
      <c r="F160" s="161">
        <f>IF($F$135="No YEAR 5",0,IF(ISNA(VLOOKUP(A160,name_5,$F$9,0)),0,VLOOKUP(A160,name_5,$F$9,0)*(1+'1. SUMMARY'!$C$26)))</f>
        <v>0</v>
      </c>
      <c r="G160" s="146">
        <f t="shared" si="110"/>
        <v>0</v>
      </c>
      <c r="H160" s="146">
        <f t="shared" si="111"/>
        <v>0</v>
      </c>
      <c r="I160" s="147">
        <f t="shared" si="112"/>
        <v>0</v>
      </c>
      <c r="M160" s="148">
        <f t="shared" si="122"/>
        <v>0</v>
      </c>
      <c r="N160" s="148">
        <f t="shared" si="102"/>
        <v>0</v>
      </c>
      <c r="O160" s="148">
        <f t="shared" si="103"/>
        <v>0</v>
      </c>
      <c r="P160" s="148">
        <f t="shared" si="104"/>
        <v>0</v>
      </c>
      <c r="Q160" s="148">
        <f t="shared" si="105"/>
        <v>0</v>
      </c>
      <c r="R160" s="148">
        <f t="shared" si="106"/>
        <v>0</v>
      </c>
      <c r="S160" s="148">
        <f t="shared" si="107"/>
        <v>0</v>
      </c>
      <c r="T160" s="148">
        <f t="shared" si="121"/>
        <v>0</v>
      </c>
      <c r="U160" s="148">
        <f t="shared" si="121"/>
        <v>0</v>
      </c>
      <c r="V160" s="148">
        <f t="shared" si="121"/>
        <v>0</v>
      </c>
      <c r="W160" s="148">
        <f t="shared" si="121"/>
        <v>0</v>
      </c>
      <c r="X160" s="148">
        <f t="shared" si="121"/>
        <v>0</v>
      </c>
      <c r="Y160" s="148">
        <f t="shared" si="121"/>
        <v>0</v>
      </c>
      <c r="Z160" s="148">
        <f t="shared" si="121"/>
        <v>0</v>
      </c>
      <c r="AA160" s="148">
        <f t="shared" si="121"/>
        <v>0</v>
      </c>
      <c r="AB160" s="148">
        <f t="shared" si="121"/>
        <v>0</v>
      </c>
      <c r="AC160" s="148">
        <f t="shared" si="121"/>
        <v>0</v>
      </c>
      <c r="AD160" s="148">
        <f t="shared" si="113"/>
        <v>0</v>
      </c>
    </row>
    <row r="161" spans="1:30">
      <c r="A161" s="140">
        <f t="shared" si="114"/>
        <v>0</v>
      </c>
      <c r="B161" s="162" t="str">
        <f t="shared" si="98"/>
        <v>PI</v>
      </c>
      <c r="C161" s="159">
        <f t="shared" si="99"/>
        <v>0</v>
      </c>
      <c r="D161" s="160">
        <f t="shared" si="100"/>
        <v>0</v>
      </c>
      <c r="E161" s="144">
        <f t="shared" si="109"/>
        <v>0</v>
      </c>
      <c r="F161" s="161">
        <f>IF($F$135="No YEAR 5",0,IF(ISNA(VLOOKUP(A161,name_5,$F$9,0)),0,VLOOKUP(A161,name_5,$F$9,0)*(1+'1. SUMMARY'!$C$26)))</f>
        <v>0</v>
      </c>
      <c r="G161" s="146">
        <f t="shared" si="110"/>
        <v>0</v>
      </c>
      <c r="H161" s="146">
        <f t="shared" si="111"/>
        <v>0</v>
      </c>
      <c r="I161" s="147">
        <f t="shared" si="112"/>
        <v>0</v>
      </c>
      <c r="M161" s="148">
        <f t="shared" si="122"/>
        <v>0</v>
      </c>
      <c r="N161" s="148">
        <f t="shared" si="102"/>
        <v>0</v>
      </c>
      <c r="O161" s="148">
        <f t="shared" si="103"/>
        <v>0</v>
      </c>
      <c r="P161" s="148">
        <f t="shared" si="104"/>
        <v>0</v>
      </c>
      <c r="Q161" s="148">
        <f t="shared" si="105"/>
        <v>0</v>
      </c>
      <c r="R161" s="148">
        <f t="shared" si="106"/>
        <v>0</v>
      </c>
      <c r="S161" s="148">
        <f t="shared" si="107"/>
        <v>0</v>
      </c>
      <c r="T161" s="148">
        <f t="shared" si="121"/>
        <v>0</v>
      </c>
      <c r="U161" s="148">
        <f t="shared" si="121"/>
        <v>0</v>
      </c>
      <c r="V161" s="148">
        <f t="shared" si="121"/>
        <v>0</v>
      </c>
      <c r="W161" s="148">
        <f t="shared" si="121"/>
        <v>0</v>
      </c>
      <c r="X161" s="148">
        <f t="shared" si="121"/>
        <v>0</v>
      </c>
      <c r="Y161" s="148">
        <f t="shared" si="121"/>
        <v>0</v>
      </c>
      <c r="Z161" s="148">
        <f t="shared" si="121"/>
        <v>0</v>
      </c>
      <c r="AA161" s="148">
        <f t="shared" si="121"/>
        <v>0</v>
      </c>
      <c r="AB161" s="148">
        <f t="shared" si="121"/>
        <v>0</v>
      </c>
      <c r="AC161" s="148">
        <f t="shared" si="121"/>
        <v>0</v>
      </c>
      <c r="AD161" s="148">
        <f t="shared" si="113"/>
        <v>0</v>
      </c>
    </row>
    <row r="162" spans="1:30">
      <c r="A162" s="140">
        <f t="shared" si="114"/>
        <v>0</v>
      </c>
      <c r="B162" s="162" t="str">
        <f t="shared" si="98"/>
        <v>PI</v>
      </c>
      <c r="C162" s="159">
        <f t="shared" si="99"/>
        <v>0</v>
      </c>
      <c r="D162" s="160">
        <f t="shared" si="100"/>
        <v>0</v>
      </c>
      <c r="E162" s="144">
        <f t="shared" si="109"/>
        <v>0</v>
      </c>
      <c r="F162" s="161">
        <f>IF($F$135="No YEAR 5",0,IF(ISNA(VLOOKUP(A162,name_5,$F$9,0)),0,VLOOKUP(A162,name_5,$F$9,0)*(1+'1. SUMMARY'!$C$26)))</f>
        <v>0</v>
      </c>
      <c r="G162" s="146">
        <f t="shared" si="110"/>
        <v>0</v>
      </c>
      <c r="H162" s="146">
        <f t="shared" si="111"/>
        <v>0</v>
      </c>
      <c r="I162" s="147">
        <f t="shared" si="112"/>
        <v>0</v>
      </c>
      <c r="M162" s="148">
        <f t="shared" si="122"/>
        <v>0</v>
      </c>
      <c r="N162" s="148">
        <f t="shared" si="102"/>
        <v>0</v>
      </c>
      <c r="O162" s="148">
        <f t="shared" si="103"/>
        <v>0</v>
      </c>
      <c r="P162" s="148">
        <f t="shared" si="104"/>
        <v>0</v>
      </c>
      <c r="Q162" s="148">
        <f t="shared" si="105"/>
        <v>0</v>
      </c>
      <c r="R162" s="148">
        <f t="shared" si="106"/>
        <v>0</v>
      </c>
      <c r="S162" s="148">
        <f t="shared" si="107"/>
        <v>0</v>
      </c>
      <c r="T162" s="148">
        <f t="shared" si="121"/>
        <v>0</v>
      </c>
      <c r="U162" s="148">
        <f t="shared" si="121"/>
        <v>0</v>
      </c>
      <c r="V162" s="148">
        <f t="shared" si="121"/>
        <v>0</v>
      </c>
      <c r="W162" s="148">
        <f t="shared" si="121"/>
        <v>0</v>
      </c>
      <c r="X162" s="148">
        <f t="shared" si="121"/>
        <v>0</v>
      </c>
      <c r="Y162" s="148">
        <f t="shared" si="121"/>
        <v>0</v>
      </c>
      <c r="Z162" s="148">
        <f t="shared" si="121"/>
        <v>0</v>
      </c>
      <c r="AA162" s="148">
        <f t="shared" si="121"/>
        <v>0</v>
      </c>
      <c r="AB162" s="148">
        <f t="shared" si="121"/>
        <v>0</v>
      </c>
      <c r="AC162" s="148">
        <f t="shared" si="121"/>
        <v>0</v>
      </c>
      <c r="AD162" s="148">
        <f t="shared" si="113"/>
        <v>0</v>
      </c>
    </row>
    <row r="163" spans="1:30" ht="14" thickBot="1">
      <c r="A163" s="117"/>
      <c r="B163" s="117"/>
      <c r="C163" s="150" t="s">
        <v>47</v>
      </c>
      <c r="D163" s="151"/>
      <c r="E163" s="152"/>
      <c r="F163" s="152"/>
      <c r="G163" s="153">
        <f>SUM(G138:G162)</f>
        <v>0</v>
      </c>
      <c r="H163" s="153">
        <f>SUM(H138:H162)</f>
        <v>0</v>
      </c>
      <c r="I163" s="154">
        <f>SUM(I138:I162)</f>
        <v>0</v>
      </c>
      <c r="M163" s="168"/>
      <c r="S163" s="148"/>
    </row>
    <row r="164" spans="1:30">
      <c r="S164" s="148"/>
    </row>
    <row r="165" spans="1:30">
      <c r="M165" s="114" t="s">
        <v>109</v>
      </c>
      <c r="S165" s="148"/>
    </row>
    <row r="166" spans="1:30">
      <c r="A166" s="124"/>
      <c r="B166" s="124"/>
      <c r="C166" s="120"/>
      <c r="D166" s="127"/>
      <c r="E166" s="128"/>
      <c r="F166" s="128"/>
      <c r="G166" s="128"/>
      <c r="H166" s="128"/>
      <c r="I166" s="128"/>
      <c r="M166" s="121">
        <f>+Sheet1!$T$8</f>
        <v>44105</v>
      </c>
      <c r="N166" s="121">
        <f>+Sheet1!$U$8</f>
        <v>44470</v>
      </c>
      <c r="O166" s="121">
        <f>+Sheet1!$V$8</f>
        <v>44835</v>
      </c>
      <c r="P166" s="121">
        <f>+Sheet1!$W$8</f>
        <v>45200</v>
      </c>
      <c r="Q166" s="121">
        <f>+Sheet1!$X$8</f>
        <v>45566</v>
      </c>
      <c r="R166" s="121">
        <f>+Sheet1!$Y$8</f>
        <v>45931</v>
      </c>
      <c r="S166" s="121">
        <f>+Sheet1!$Z$8</f>
        <v>46296</v>
      </c>
      <c r="T166" s="121">
        <f>+Sheet1!$AA$8</f>
        <v>46661</v>
      </c>
      <c r="U166" s="121">
        <f>+Sheet1!$AB$8</f>
        <v>47027</v>
      </c>
      <c r="V166" s="121">
        <f>+Sheet1!$AC$8</f>
        <v>47392</v>
      </c>
      <c r="W166" s="121">
        <f>+Sheet1!$AD$8</f>
        <v>47757</v>
      </c>
      <c r="X166" s="121">
        <f>+Sheet1!AE$8</f>
        <v>48122</v>
      </c>
      <c r="Y166" s="121">
        <f>+Sheet1!AF$8</f>
        <v>48488</v>
      </c>
      <c r="Z166" s="121">
        <f>+Sheet1!AG$8</f>
        <v>48853</v>
      </c>
      <c r="AA166" s="121">
        <f>+Sheet1!AH$8</f>
        <v>49218</v>
      </c>
      <c r="AB166" s="121">
        <f>+Sheet1!AI$8</f>
        <v>49583</v>
      </c>
      <c r="AC166" s="121">
        <f>+Sheet1!AJ$8</f>
        <v>49949</v>
      </c>
      <c r="AD166" s="117"/>
    </row>
    <row r="167" spans="1:30">
      <c r="A167" s="118" t="s">
        <v>110</v>
      </c>
      <c r="B167" s="118"/>
      <c r="C167" s="118"/>
      <c r="D167" s="129"/>
      <c r="E167" s="130"/>
      <c r="F167" s="131" t="str">
        <f>IF(F135="No "&amp;A135,"No "&amp;A167,IF(+H135+1&gt;'1. SUMMARY'!$C$18,"No "&amp;A167,+H135+1))</f>
        <v>No YEAR 6</v>
      </c>
      <c r="G167" s="131" t="str">
        <f>"----"</f>
        <v>----</v>
      </c>
      <c r="H167" s="131" t="str">
        <f>IF(F167="No "&amp;A167,"No "&amp;A167,IF(H135='1. SUMMARY'!Q113,"a",IF((DATE(YEAR(F167),MONTH(F167)+12,DAY(F167)-1))&lt;=('1. SUMMARY'!$C$18),DATE(YEAR(F167),MONTH(F167)+12,DAY(F167)-1),'1. SUMMARY'!$C$18)))</f>
        <v>No YEAR 6</v>
      </c>
      <c r="I167" s="132"/>
      <c r="M167" s="121">
        <f>+Sheet1!$T$9</f>
        <v>44469</v>
      </c>
      <c r="N167" s="121">
        <f>+Sheet1!$U$9</f>
        <v>44834</v>
      </c>
      <c r="O167" s="121">
        <f>+Sheet1!$V$9</f>
        <v>45199</v>
      </c>
      <c r="P167" s="121">
        <f>+Sheet1!$W$9</f>
        <v>45565</v>
      </c>
      <c r="Q167" s="121">
        <f>+Sheet1!$X$9</f>
        <v>45930</v>
      </c>
      <c r="R167" s="121">
        <f>+Sheet1!$Y$9</f>
        <v>46295</v>
      </c>
      <c r="S167" s="121">
        <f>+Sheet1!$Z$9</f>
        <v>46660</v>
      </c>
      <c r="T167" s="121">
        <f>+Sheet1!$AA$9</f>
        <v>47026</v>
      </c>
      <c r="U167" s="121">
        <f>+Sheet1!$AB$9</f>
        <v>47391</v>
      </c>
      <c r="V167" s="121">
        <f>+Sheet1!$AC$9</f>
        <v>47756</v>
      </c>
      <c r="W167" s="121">
        <f>+Sheet1!$AD$9</f>
        <v>48121</v>
      </c>
      <c r="X167" s="121">
        <f>+Sheet1!AE$9</f>
        <v>48487</v>
      </c>
      <c r="Y167" s="121">
        <f>+Sheet1!AF$9</f>
        <v>48852</v>
      </c>
      <c r="Z167" s="121">
        <f>+Sheet1!AG$9</f>
        <v>49217</v>
      </c>
      <c r="AA167" s="121">
        <f>+Sheet1!AH$9</f>
        <v>49582</v>
      </c>
      <c r="AB167" s="121">
        <f>+Sheet1!AI$9</f>
        <v>49948</v>
      </c>
      <c r="AC167" s="121">
        <f>+Sheet1!AJ$9</f>
        <v>50313</v>
      </c>
      <c r="AD167" s="117"/>
    </row>
    <row r="168" spans="1:30" ht="25.5" customHeight="1">
      <c r="A168" s="133" t="s">
        <v>39</v>
      </c>
      <c r="B168" s="134" t="s">
        <v>40</v>
      </c>
      <c r="C168" s="134" t="s">
        <v>41</v>
      </c>
      <c r="D168" s="135" t="s">
        <v>42</v>
      </c>
      <c r="E168" s="136" t="s">
        <v>43</v>
      </c>
      <c r="F168" s="136" t="s">
        <v>44</v>
      </c>
      <c r="G168" s="136" t="s">
        <v>45</v>
      </c>
      <c r="H168" s="136" t="s">
        <v>46</v>
      </c>
      <c r="I168" s="137" t="s">
        <v>47</v>
      </c>
      <c r="M168" s="117">
        <f>IF(IF(M167&lt;F167,0,DATEDIF(F167,M167+1,"m"))&lt;0,0,IF(M167&lt;F167,0,DATEDIF(F167,M167+1,"m")))</f>
        <v>0</v>
      </c>
      <c r="N168" s="117">
        <f>IF(IF(M168=12,0,IF(N167&gt;H167,12-DATEDIF(H167,N167+1,"m"),IF(N167&lt;F167,0,DATEDIF(F167,N167+1,"m"))))&lt;0,0,IF(M168=12,0,IF(N167&gt;H167,12-DATEDIF(H167,N167+1,"m"),IF(N167&lt;F167,0,DATEDIF(F167,N167+1,"m")))))</f>
        <v>0</v>
      </c>
      <c r="O168" s="117">
        <f>IF(IF(M168+N168=12,0,IF(O167&gt;H167,12-DATEDIF(H167,O167+1,"m"),IF(O167&lt;F167,0,DATEDIF(F167,O167+1,"m"))))&lt;0,0,IF(M168+N168=12,0,IF(O167&gt;H167,12-DATEDIF(H167,O167+1,"m"),IF(O167&lt;F167,0,DATEDIF(F167,O167+1,"m")))))</f>
        <v>0</v>
      </c>
      <c r="P168" s="117">
        <f>IF(IF(N168+O168+M168=12,0,IF(P167&gt;H167,12-DATEDIF(H167,P167+1,"m"),IF(P167&lt;F167,0,DATEDIF(F167,P167+1,"m"))))&lt;0,0,IF(N168+O168+M168=12,0,IF(P167&gt;H167,12-DATEDIF(H167,P167+1,"m"),IF(P167&lt;F167,0,DATEDIF(F167,P167+1,"m")))))</f>
        <v>0</v>
      </c>
      <c r="Q168" s="117">
        <f>IF(IF(O168+P168+N168+M168=12,0,IF(Q167&gt;$H$167,12-DATEDIF($H$167,Q167+1,"m"),IF(Q167&lt;$F$167,0,DATEDIF($F$167,Q167+1,"m"))))&lt;0,0,IF(O168+P168+N168+M168=12,0,IF(Q167&gt;$H$167,12-DATEDIF($H$167,Q167+1,"m"),IF(Q167&lt;$F$167,0,DATEDIF($F$167,Q167+1,"m")))))</f>
        <v>0</v>
      </c>
      <c r="R168" s="117">
        <f>IF(IF(P168+Q168+O168+N168+M168=12,0,IF(R167&gt;$H$167,12-DATEDIF($H$167,R167+1,"m"),IF(R167&lt;$F$167,0,DATEDIF($F$167,R167+1,"m"))))&lt;0,0,IF(P168+Q168+O168+N168+M168=12,0,IF(R167&gt;$H$167,12-DATEDIF($H$167,R167+1,"m"),IF(R167&lt;$F$167,0,DATEDIF($F$167,R167+1,"m")))))</f>
        <v>0</v>
      </c>
      <c r="S168" s="117">
        <f>IF(IF(Q168+R168+P168+O168+N168+M168=12,0,IF(S167&gt;$H$167,12-DATEDIF($H$167,S167+1,"m"),IF(S167&lt;$F$167,0,DATEDIF($F$167,S167+1,"m"))))&lt;0,0,IF(Q168+R168+P168+O168+N168+M168=12,0,IF(S167&gt;$H$167,12-DATEDIF($H$167,S167+1,"m"),IF(S167&lt;$F$167,0,DATEDIF($F$167,S167+1,"m")))))</f>
        <v>0</v>
      </c>
      <c r="T168" s="117">
        <f>IF(IF(R168+S168+Q168+P168+O168+N168+M168=12,0,IF(T167&gt;$H$167,12-DATEDIF($H$167,T167+1,"m"),IF(T167&lt;$F$167,0,DATEDIF($F$167,T167+1,"m"))))&lt;0,0,IF(R168+S168+Q168+P168+O168+N168+M168=12,0,IF(T167&gt;$H$167,12-DATEDIF($H$167,T167+1,"m"),IF(T167&lt;$F$167,0,DATEDIF($F$167,T167+1,"m")))))</f>
        <v>0</v>
      </c>
      <c r="U168" s="117">
        <f>IF(IF(M168+S168+T168+R168+Q168+P168+O168+N168=12,0,IF(U167&gt;$H$167,12-DATEDIF($H$167,U167+1,"m"),IF(U167&lt;$F$167,0,DATEDIF($F$167,U167+1,"m"))))&lt;0,0,IF(M168+S168+T168+R168+Q168+P168+O168+N168=12,0,IF(U167&gt;$H$167,12-DATEDIF($H$167,U167+1,"m"),IF(U167&lt;$F$167,0,DATEDIF($F$167,U167+1,"m")))))</f>
        <v>0</v>
      </c>
      <c r="V168" s="117">
        <f>IF(IF(+M168+N168+T168+U168+S168+R168+Q168+P168+O168=12,0,IF(V167&gt;$H$167,12-DATEDIF($H$167,V167+1,"m"),IF(V167&lt;$F$167,0,DATEDIF($F$167,V167+1,"m"))))&lt;0,0,IF(M168+N168+T168+U168+S168+R168+Q168+P168+O168=12,0,IF(V167&gt;$H$167,12-DATEDIF($H$167,V167+1,"m"),IF(V167&lt;$F$167,0,DATEDIF($F$167,V167+1,"m")))))</f>
        <v>0</v>
      </c>
      <c r="W168" s="117">
        <f>IF(IF(M168+N168+O168+U168+V168+T168+S168+R168+Q168+P168=12,0,IF(W167&gt;$H$167,12-DATEDIF($H$167,W167+1,"m"),IF(W167&lt;$F$167,0,DATEDIF($F$167,W167+1,"m"))))&lt;0,0,IF(M168+N168+O168+U168+V168+T168+S168+R168+Q168+P168=12,0,IF(W167&gt;$H$167,12-DATEDIF($H$167,W167+1,"m"),IF(W167&lt;$F$167,0,DATEDIF($F$167,W167+1,"m")))))</f>
        <v>0</v>
      </c>
      <c r="X168" s="117">
        <f>IF(IF(M168+N168+O168+P168+V168+W168+U168+T168+S168+R168+Q168=12,0,IF(X167&gt;$H$167,12-DATEDIF($H$167,X167+1,"m"),IF(X167&lt;$F$167,0,DATEDIF($F$167,X167+1,"m"))))&lt;0,0,IF(M168+N168+O168+P168+V168+W168+U168+T168+S168+R168+Q168=12,0,IF(X167&gt;$H$167,12-DATEDIF($H$167,X167+1,"m"),IF(X167&lt;$F$167,0,DATEDIF($F$167,X167+1,"m")))))</f>
        <v>0</v>
      </c>
      <c r="Y168" s="117">
        <f>IF(IF(M168+N168+O168+P168+Q168+W168+X168+V168+U168+T168+S168+R168=12,0,IF(Y167&gt;$H$167,12-DATEDIF($H$167,Y167+1,"m"),IF(Y167&lt;$F$167,0,DATEDIF($F$167,Y167+1,"m"))))&lt;0,0,IF(M168+N168+O168+P168+Q168+W168+X168+V168+U168+T168+S168+R168=12,0,IF(Y167&gt;$H$167,12-DATEDIF($H$167,Y167+1,"m"),IF(Y167&lt;$F$167,0,DATEDIF($F$167,Y167+1,"m")))))</f>
        <v>0</v>
      </c>
      <c r="Z168" s="117">
        <f>IF(IF(M168+N168+O168+P168+Q168+R168+X168+Y168+W168+V168+U168+T168+S168=12,0,IF(Z167&gt;$H$167,12-DATEDIF($H$167,Z167+1,"m"),IF(Z167&lt;$F$167,0,DATEDIF($F$167,Z167+1,"m"))))&lt;0,0,IF(M168+N168+O168+P168+Q168+R168+X168+Y168+W168+V168+U168+T168+S168=12,0,IF(Z167&gt;$H$167,12-DATEDIF($H$167,Z167+1,"m"),IF(Z167&lt;$F$167,0,DATEDIF($F$167,Z167+1,"m")))))</f>
        <v>0</v>
      </c>
      <c r="AA168" s="117">
        <f>IF(IF(M168+N168+O168+P168+Q168+R168+S168+Y168+Z168+X168+W168+V168+U168+T168=12,0,IF(AA167&gt;$H$167,12-DATEDIF($H$167,AA167+1,"m"),IF(AA167&lt;$F$167,0,DATEDIF($F$167,AA167+1,"m"))))&lt;0,0,IF(M168+N168+O168+P168+Q168+R168+S168+Y168+Z168+X168+W168+V168+U168+T168=12,0,IF(AA167&gt;$H$167,12-DATEDIF($H$167,AA167+1,"m"),IF(AA167&lt;$F$167,0,DATEDIF($F$167,AA167+1,"m")))))</f>
        <v>0</v>
      </c>
      <c r="AB168" s="117">
        <f>IF(IF(M168+N168+O168+P168+Q168+R168+S168+T168+Z168+AA168+Y168+X168+W168+V168+U168=12,0,IF(AB167&gt;$H$167,12-DATEDIF($H$167,AB167+1,"m"),IF(AB167&lt;$F$167,0,DATEDIF($F$167,AB167+1,"m"))))&lt;0,0,IF(M168+N168+O168+P168+Q168+R168+S168+T168+Z168+AA168+Y168+X168+W168+V168+U168=12,0,IF(AB167&gt;$H$167,12-DATEDIF($H$167,AB167+1,"m"),IF(AB167&lt;$F$167,0,DATEDIF($F$167,AB167+1,"m")))))</f>
        <v>0</v>
      </c>
      <c r="AC168" s="117">
        <f>IF(IF(M168+N168+O168+P168+Q168+R168+S168+T168+U168+AA168+AB168+Z168+Y168+X168+W168+V168=12,0,IF(AC167&gt;$H$167,12-DATEDIF($H$167,AC167+1,"m"),IF(AC167&lt;$F$167,0,DATEDIF($F$167,AC167+1,"m"))))&lt;0,0,IF(M168+N168+O168+P168+Q168+R168+S168+T168+U168+AA168+AB168+Z168+Y168+X168+W168+V168=12,0,IF(AC167&gt;$H$167,12-DATEDIF($H$167,AC167+1,"m"),IF(AC167&lt;$F$167,0,DATEDIF($F$167,AC167+1,"m")))))</f>
        <v>0</v>
      </c>
      <c r="AD168" s="117">
        <f>SUM(M168:AC168)</f>
        <v>0</v>
      </c>
    </row>
    <row r="169" spans="1:30" s="155" customFormat="1" ht="3.75" customHeight="1">
      <c r="A169" s="164"/>
      <c r="B169" s="164"/>
      <c r="C169" s="124"/>
      <c r="D169" s="165"/>
      <c r="E169" s="166"/>
      <c r="F169" s="166"/>
      <c r="G169" s="166"/>
      <c r="H169" s="166"/>
      <c r="I169" s="167"/>
      <c r="M169" s="148"/>
      <c r="N169" s="139"/>
      <c r="O169" s="139"/>
      <c r="P169" s="139"/>
      <c r="Q169" s="139"/>
      <c r="R169" s="139"/>
      <c r="S169" s="139"/>
      <c r="T169" s="139"/>
      <c r="U169" s="139"/>
      <c r="V169" s="139"/>
      <c r="W169" s="139"/>
      <c r="X169" s="139"/>
      <c r="Y169" s="139"/>
      <c r="Z169" s="139"/>
      <c r="AA169" s="139"/>
      <c r="AB169" s="139"/>
      <c r="AC169" s="139"/>
      <c r="AD169" s="139"/>
    </row>
    <row r="170" spans="1:30">
      <c r="A170" s="157">
        <f>+A138</f>
        <v>0</v>
      </c>
      <c r="B170" s="158" t="str">
        <f t="shared" ref="B170:B194" si="123">IF(ISNA(VLOOKUP($A170,name_2,$B$9,0)),"",VLOOKUP($A170,name_2,$B$9,0))</f>
        <v>PI</v>
      </c>
      <c r="C170" s="159">
        <f t="shared" ref="C170:C194" si="124">IF(ISNA(VLOOKUP($A170,name_2,$C$9,0)),"",VLOOKUP($A170,name_2,$C$9,0))</f>
        <v>0</v>
      </c>
      <c r="D170" s="160">
        <f t="shared" ref="D170:D194" si="125">IF(ISNA(VLOOKUP($A170,name_2,$D$9,0)),0,VLOOKUP($A170,name_2,$D$9,0))</f>
        <v>0</v>
      </c>
      <c r="E170" s="144">
        <f>IF(ISNA($AD$168*D170),0,$AD$168*D170)</f>
        <v>0</v>
      </c>
      <c r="F170" s="161">
        <f>IF($F$167="No YEAR 6",0,IF(ISNA(VLOOKUP(A170,name_6,$F$9,0)),0,VLOOKUP(A170,name_6,$F$9,0)*(1+'1. SUMMARY'!$C$26)))</f>
        <v>0</v>
      </c>
      <c r="G170" s="146">
        <f>(F170/12)*$AD$168*D170</f>
        <v>0</v>
      </c>
      <c r="H170" s="146">
        <f>IF(ISNA(+AD170),0,AD170)</f>
        <v>0</v>
      </c>
      <c r="I170" s="147">
        <f>SUM(G170:H170)</f>
        <v>0</v>
      </c>
      <c r="M170" s="148">
        <f t="shared" ref="M170:M194" si="126">IF($M$168=0,0,((G170/$AD$168)*$M$168)*VLOOKUP(C170,benefits,2,0))</f>
        <v>0</v>
      </c>
      <c r="N170" s="148">
        <f t="shared" ref="N170:N194" si="127">IF($N$168=0,0,((G170/$AD$168)*$N$168)*VLOOKUP(C170,benefits,3,0))</f>
        <v>0</v>
      </c>
      <c r="O170" s="148">
        <f t="shared" ref="O170:O194" si="128">IF($O$168=0,0,((G170/$AD$168)*$O$168)*VLOOKUP(C170,benefits,4,0))</f>
        <v>0</v>
      </c>
      <c r="P170" s="148">
        <f t="shared" ref="P170:P194" si="129">IF($P$168=0,0,((G170/$AD$168)*$P$168)*VLOOKUP(C170,benefits,5,0))</f>
        <v>0</v>
      </c>
      <c r="Q170" s="148">
        <f t="shared" ref="Q170:Q194" si="130">IF(Q$168=0,0,(($G170/$AD$168)*Q$168)*VLOOKUP(C170,benefits,6,0))</f>
        <v>0</v>
      </c>
      <c r="R170" s="148">
        <f t="shared" ref="R170:R194" si="131">IF(R$168=0,0,(($G170/$AD$168)*R$168)*VLOOKUP(C170,benefits,7,0))</f>
        <v>0</v>
      </c>
      <c r="S170" s="148">
        <f>IF(S$168=0,0,(($G170/$AD$168)*S$168)*VLOOKUP(C170,benefits,8,0))</f>
        <v>0</v>
      </c>
      <c r="T170" s="148">
        <f>IF(T$168=0,0,(($G170/$AD$168)*T$168)*VLOOKUP(C170,benefits,9,0))</f>
        <v>0</v>
      </c>
      <c r="U170" s="148">
        <f>IF(U$168=0,0,(($G170/$AD$168)*U$168)*VLOOKUP(C170,benefits,10,0))</f>
        <v>0</v>
      </c>
      <c r="V170" s="148">
        <f>IF(V$168=0,0,(($G170/$AD$168)*V$168)*VLOOKUP(C170,benefits,11,0))</f>
        <v>0</v>
      </c>
      <c r="W170" s="148">
        <f t="shared" ref="W170:AC179" si="132">IF(W$168=0,0,(($G170/$AD$168)*W$168)*VLOOKUP($C170,benefits,12,0))</f>
        <v>0</v>
      </c>
      <c r="X170" s="148">
        <f t="shared" si="132"/>
        <v>0</v>
      </c>
      <c r="Y170" s="148">
        <f t="shared" si="132"/>
        <v>0</v>
      </c>
      <c r="Z170" s="148">
        <f t="shared" si="132"/>
        <v>0</v>
      </c>
      <c r="AA170" s="148">
        <f t="shared" si="132"/>
        <v>0</v>
      </c>
      <c r="AB170" s="148">
        <f t="shared" si="132"/>
        <v>0</v>
      </c>
      <c r="AC170" s="148">
        <f t="shared" si="132"/>
        <v>0</v>
      </c>
      <c r="AD170" s="148">
        <f>SUM(M170:AC170)</f>
        <v>0</v>
      </c>
    </row>
    <row r="171" spans="1:30">
      <c r="A171" s="157">
        <f>+A139</f>
        <v>0</v>
      </c>
      <c r="B171" s="162" t="str">
        <f t="shared" si="123"/>
        <v>PI</v>
      </c>
      <c r="C171" s="159">
        <f t="shared" si="124"/>
        <v>0</v>
      </c>
      <c r="D171" s="160">
        <f t="shared" si="125"/>
        <v>0</v>
      </c>
      <c r="E171" s="144">
        <f t="shared" ref="E171:E194" si="133">IF(ISNA($AD$168*D171),0,$AD$168*D171)</f>
        <v>0</v>
      </c>
      <c r="F171" s="161">
        <f>IF($F$167="No YEAR 6",0,IF(ISNA(VLOOKUP(A171,name_6,$F$9,0)),0,VLOOKUP(A171,name_6,$F$9,0)*(1+'1. SUMMARY'!$C$26)))</f>
        <v>0</v>
      </c>
      <c r="G171" s="146">
        <f t="shared" ref="G171:G194" si="134">(F171/12)*$AD$168*D171</f>
        <v>0</v>
      </c>
      <c r="H171" s="146">
        <f t="shared" ref="H171:H194" si="135">IF(ISNA(+AD171),0,AD171)</f>
        <v>0</v>
      </c>
      <c r="I171" s="147">
        <f t="shared" ref="I171:I194" si="136">SUM(G171:H171)</f>
        <v>0</v>
      </c>
      <c r="M171" s="148">
        <f t="shared" si="126"/>
        <v>0</v>
      </c>
      <c r="N171" s="148">
        <f t="shared" si="127"/>
        <v>0</v>
      </c>
      <c r="O171" s="148">
        <f t="shared" si="128"/>
        <v>0</v>
      </c>
      <c r="P171" s="148">
        <f t="shared" si="129"/>
        <v>0</v>
      </c>
      <c r="Q171" s="148">
        <f t="shared" si="130"/>
        <v>0</v>
      </c>
      <c r="R171" s="148">
        <f t="shared" si="131"/>
        <v>0</v>
      </c>
      <c r="S171" s="148">
        <f t="shared" ref="S171:S194" si="137">IF(S$168=0,0,(($G171/$AD$168)*S$168)*VLOOKUP(C171,benefits,8,0))</f>
        <v>0</v>
      </c>
      <c r="T171" s="148">
        <f t="shared" ref="T171:T194" si="138">IF(T$168=0,0,(($G171/$AD$168)*T$168)*VLOOKUP(C171,benefits,9,0))</f>
        <v>0</v>
      </c>
      <c r="U171" s="148">
        <f t="shared" ref="U171:U194" si="139">IF(U$168=0,0,(($G171/$AD$168)*U$168)*VLOOKUP(C171,benefits,10,0))</f>
        <v>0</v>
      </c>
      <c r="V171" s="148">
        <f t="shared" ref="V171:V194" si="140">IF(V$168=0,0,(($G171/$AD$168)*V$168)*VLOOKUP(C171,benefits,11,0))</f>
        <v>0</v>
      </c>
      <c r="W171" s="148">
        <f t="shared" si="132"/>
        <v>0</v>
      </c>
      <c r="X171" s="148">
        <f t="shared" si="132"/>
        <v>0</v>
      </c>
      <c r="Y171" s="148">
        <f t="shared" si="132"/>
        <v>0</v>
      </c>
      <c r="Z171" s="148">
        <f t="shared" si="132"/>
        <v>0</v>
      </c>
      <c r="AA171" s="148">
        <f t="shared" si="132"/>
        <v>0</v>
      </c>
      <c r="AB171" s="148">
        <f t="shared" si="132"/>
        <v>0</v>
      </c>
      <c r="AC171" s="148">
        <f t="shared" si="132"/>
        <v>0</v>
      </c>
      <c r="AD171" s="148">
        <f t="shared" ref="AD171:AD194" si="141">SUM(M171:AC171)</f>
        <v>0</v>
      </c>
    </row>
    <row r="172" spans="1:30">
      <c r="A172" s="157">
        <f t="shared" ref="A172:A194" si="142">+A140</f>
        <v>0</v>
      </c>
      <c r="B172" s="162" t="str">
        <f t="shared" si="123"/>
        <v>PI</v>
      </c>
      <c r="C172" s="159">
        <f t="shared" si="124"/>
        <v>0</v>
      </c>
      <c r="D172" s="160">
        <f t="shared" si="125"/>
        <v>0</v>
      </c>
      <c r="E172" s="144">
        <f t="shared" si="133"/>
        <v>0</v>
      </c>
      <c r="F172" s="161">
        <f>IF($F$167="No YEAR 6",0,IF(ISNA(VLOOKUP(A172,name_6,$F$9,0)),0,VLOOKUP(A172,name_6,$F$9,0)*(1+'1. SUMMARY'!$C$26)))</f>
        <v>0</v>
      </c>
      <c r="G172" s="146">
        <f t="shared" si="134"/>
        <v>0</v>
      </c>
      <c r="H172" s="146">
        <f t="shared" si="135"/>
        <v>0</v>
      </c>
      <c r="I172" s="147">
        <f t="shared" si="136"/>
        <v>0</v>
      </c>
      <c r="M172" s="148">
        <f t="shared" si="126"/>
        <v>0</v>
      </c>
      <c r="N172" s="148">
        <f t="shared" si="127"/>
        <v>0</v>
      </c>
      <c r="O172" s="148">
        <f t="shared" si="128"/>
        <v>0</v>
      </c>
      <c r="P172" s="148">
        <f t="shared" si="129"/>
        <v>0</v>
      </c>
      <c r="Q172" s="148">
        <f t="shared" si="130"/>
        <v>0</v>
      </c>
      <c r="R172" s="148">
        <f t="shared" si="131"/>
        <v>0</v>
      </c>
      <c r="S172" s="148">
        <f t="shared" si="137"/>
        <v>0</v>
      </c>
      <c r="T172" s="148">
        <f t="shared" si="138"/>
        <v>0</v>
      </c>
      <c r="U172" s="148">
        <f t="shared" si="139"/>
        <v>0</v>
      </c>
      <c r="V172" s="148">
        <f t="shared" si="140"/>
        <v>0</v>
      </c>
      <c r="W172" s="148">
        <f t="shared" si="132"/>
        <v>0</v>
      </c>
      <c r="X172" s="148">
        <f t="shared" si="132"/>
        <v>0</v>
      </c>
      <c r="Y172" s="148">
        <f t="shared" si="132"/>
        <v>0</v>
      </c>
      <c r="Z172" s="148">
        <f t="shared" si="132"/>
        <v>0</v>
      </c>
      <c r="AA172" s="148">
        <f t="shared" si="132"/>
        <v>0</v>
      </c>
      <c r="AB172" s="148">
        <f t="shared" si="132"/>
        <v>0</v>
      </c>
      <c r="AC172" s="148">
        <f t="shared" si="132"/>
        <v>0</v>
      </c>
      <c r="AD172" s="148">
        <f t="shared" si="141"/>
        <v>0</v>
      </c>
    </row>
    <row r="173" spans="1:30">
      <c r="A173" s="157">
        <f t="shared" si="142"/>
        <v>0</v>
      </c>
      <c r="B173" s="162" t="str">
        <f t="shared" si="123"/>
        <v>PI</v>
      </c>
      <c r="C173" s="159">
        <f t="shared" si="124"/>
        <v>0</v>
      </c>
      <c r="D173" s="160">
        <f t="shared" si="125"/>
        <v>0</v>
      </c>
      <c r="E173" s="144">
        <f t="shared" si="133"/>
        <v>0</v>
      </c>
      <c r="F173" s="161">
        <f>IF($F$167="No YEAR 6",0,IF(ISNA(VLOOKUP(A173,name_6,$F$9,0)),0,VLOOKUP(A173,name_6,$F$9,0)*(1+'1. SUMMARY'!$C$26)))</f>
        <v>0</v>
      </c>
      <c r="G173" s="146">
        <f t="shared" si="134"/>
        <v>0</v>
      </c>
      <c r="H173" s="146">
        <f t="shared" si="135"/>
        <v>0</v>
      </c>
      <c r="I173" s="147">
        <f t="shared" si="136"/>
        <v>0</v>
      </c>
      <c r="M173" s="148">
        <f t="shared" si="126"/>
        <v>0</v>
      </c>
      <c r="N173" s="148">
        <f t="shared" si="127"/>
        <v>0</v>
      </c>
      <c r="O173" s="148">
        <f t="shared" si="128"/>
        <v>0</v>
      </c>
      <c r="P173" s="148">
        <f t="shared" si="129"/>
        <v>0</v>
      </c>
      <c r="Q173" s="148">
        <f t="shared" si="130"/>
        <v>0</v>
      </c>
      <c r="R173" s="148">
        <f t="shared" si="131"/>
        <v>0</v>
      </c>
      <c r="S173" s="148">
        <f t="shared" si="137"/>
        <v>0</v>
      </c>
      <c r="T173" s="148">
        <f t="shared" si="138"/>
        <v>0</v>
      </c>
      <c r="U173" s="148">
        <f t="shared" si="139"/>
        <v>0</v>
      </c>
      <c r="V173" s="148">
        <f t="shared" si="140"/>
        <v>0</v>
      </c>
      <c r="W173" s="148">
        <f t="shared" si="132"/>
        <v>0</v>
      </c>
      <c r="X173" s="148">
        <f t="shared" si="132"/>
        <v>0</v>
      </c>
      <c r="Y173" s="148">
        <f t="shared" si="132"/>
        <v>0</v>
      </c>
      <c r="Z173" s="148">
        <f t="shared" si="132"/>
        <v>0</v>
      </c>
      <c r="AA173" s="148">
        <f t="shared" si="132"/>
        <v>0</v>
      </c>
      <c r="AB173" s="148">
        <f t="shared" si="132"/>
        <v>0</v>
      </c>
      <c r="AC173" s="148">
        <f t="shared" si="132"/>
        <v>0</v>
      </c>
      <c r="AD173" s="148">
        <f t="shared" si="141"/>
        <v>0</v>
      </c>
    </row>
    <row r="174" spans="1:30">
      <c r="A174" s="157">
        <f t="shared" si="142"/>
        <v>0</v>
      </c>
      <c r="B174" s="162" t="str">
        <f t="shared" si="123"/>
        <v>PI</v>
      </c>
      <c r="C174" s="159">
        <f t="shared" si="124"/>
        <v>0</v>
      </c>
      <c r="D174" s="160">
        <f t="shared" si="125"/>
        <v>0</v>
      </c>
      <c r="E174" s="144">
        <f t="shared" si="133"/>
        <v>0</v>
      </c>
      <c r="F174" s="161">
        <f>IF($F$167="No YEAR 6",0,IF(ISNA(VLOOKUP(A174,name_6,$F$9,0)),0,VLOOKUP(A174,name_6,$F$9,0)*(1+'1. SUMMARY'!$C$26)))</f>
        <v>0</v>
      </c>
      <c r="G174" s="146">
        <f t="shared" si="134"/>
        <v>0</v>
      </c>
      <c r="H174" s="146">
        <f t="shared" si="135"/>
        <v>0</v>
      </c>
      <c r="I174" s="147">
        <f t="shared" si="136"/>
        <v>0</v>
      </c>
      <c r="M174" s="148">
        <f t="shared" si="126"/>
        <v>0</v>
      </c>
      <c r="N174" s="148">
        <f t="shared" si="127"/>
        <v>0</v>
      </c>
      <c r="O174" s="148">
        <f t="shared" si="128"/>
        <v>0</v>
      </c>
      <c r="P174" s="148">
        <f t="shared" si="129"/>
        <v>0</v>
      </c>
      <c r="Q174" s="148">
        <f t="shared" si="130"/>
        <v>0</v>
      </c>
      <c r="R174" s="148">
        <f t="shared" si="131"/>
        <v>0</v>
      </c>
      <c r="S174" s="148">
        <f t="shared" si="137"/>
        <v>0</v>
      </c>
      <c r="T174" s="148">
        <f t="shared" si="138"/>
        <v>0</v>
      </c>
      <c r="U174" s="148">
        <f t="shared" si="139"/>
        <v>0</v>
      </c>
      <c r="V174" s="148">
        <f t="shared" si="140"/>
        <v>0</v>
      </c>
      <c r="W174" s="148">
        <f t="shared" si="132"/>
        <v>0</v>
      </c>
      <c r="X174" s="148">
        <f t="shared" si="132"/>
        <v>0</v>
      </c>
      <c r="Y174" s="148">
        <f t="shared" si="132"/>
        <v>0</v>
      </c>
      <c r="Z174" s="148">
        <f t="shared" si="132"/>
        <v>0</v>
      </c>
      <c r="AA174" s="148">
        <f t="shared" si="132"/>
        <v>0</v>
      </c>
      <c r="AB174" s="148">
        <f t="shared" si="132"/>
        <v>0</v>
      </c>
      <c r="AC174" s="148">
        <f t="shared" si="132"/>
        <v>0</v>
      </c>
      <c r="AD174" s="148">
        <f t="shared" si="141"/>
        <v>0</v>
      </c>
    </row>
    <row r="175" spans="1:30">
      <c r="A175" s="157">
        <f t="shared" si="142"/>
        <v>0</v>
      </c>
      <c r="B175" s="162" t="str">
        <f t="shared" si="123"/>
        <v>PI</v>
      </c>
      <c r="C175" s="159">
        <f t="shared" si="124"/>
        <v>0</v>
      </c>
      <c r="D175" s="160">
        <f t="shared" si="125"/>
        <v>0</v>
      </c>
      <c r="E175" s="144">
        <f t="shared" si="133"/>
        <v>0</v>
      </c>
      <c r="F175" s="161">
        <f>IF($F$167="No YEAR 6",0,IF(ISNA(VLOOKUP(A175,name_6,$F$9,0)),0,VLOOKUP(A175,name_6,$F$9,0)*(1+'1. SUMMARY'!$C$26)))</f>
        <v>0</v>
      </c>
      <c r="G175" s="146">
        <f t="shared" si="134"/>
        <v>0</v>
      </c>
      <c r="H175" s="146">
        <f t="shared" si="135"/>
        <v>0</v>
      </c>
      <c r="I175" s="147">
        <f t="shared" si="136"/>
        <v>0</v>
      </c>
      <c r="M175" s="148">
        <f t="shared" si="126"/>
        <v>0</v>
      </c>
      <c r="N175" s="148">
        <f t="shared" si="127"/>
        <v>0</v>
      </c>
      <c r="O175" s="148">
        <f t="shared" si="128"/>
        <v>0</v>
      </c>
      <c r="P175" s="148">
        <f t="shared" si="129"/>
        <v>0</v>
      </c>
      <c r="Q175" s="148">
        <f t="shared" si="130"/>
        <v>0</v>
      </c>
      <c r="R175" s="148">
        <f t="shared" si="131"/>
        <v>0</v>
      </c>
      <c r="S175" s="148">
        <f t="shared" si="137"/>
        <v>0</v>
      </c>
      <c r="T175" s="148">
        <f t="shared" si="138"/>
        <v>0</v>
      </c>
      <c r="U175" s="148">
        <f t="shared" si="139"/>
        <v>0</v>
      </c>
      <c r="V175" s="148">
        <f t="shared" si="140"/>
        <v>0</v>
      </c>
      <c r="W175" s="148">
        <f t="shared" si="132"/>
        <v>0</v>
      </c>
      <c r="X175" s="148">
        <f t="shared" si="132"/>
        <v>0</v>
      </c>
      <c r="Y175" s="148">
        <f t="shared" si="132"/>
        <v>0</v>
      </c>
      <c r="Z175" s="148">
        <f t="shared" si="132"/>
        <v>0</v>
      </c>
      <c r="AA175" s="148">
        <f t="shared" si="132"/>
        <v>0</v>
      </c>
      <c r="AB175" s="148">
        <f t="shared" si="132"/>
        <v>0</v>
      </c>
      <c r="AC175" s="148">
        <f t="shared" si="132"/>
        <v>0</v>
      </c>
      <c r="AD175" s="148">
        <f t="shared" si="141"/>
        <v>0</v>
      </c>
    </row>
    <row r="176" spans="1:30">
      <c r="A176" s="157">
        <f t="shared" si="142"/>
        <v>0</v>
      </c>
      <c r="B176" s="162" t="str">
        <f t="shared" si="123"/>
        <v>PI</v>
      </c>
      <c r="C176" s="159">
        <f t="shared" si="124"/>
        <v>0</v>
      </c>
      <c r="D176" s="160">
        <f t="shared" si="125"/>
        <v>0</v>
      </c>
      <c r="E176" s="144">
        <f t="shared" si="133"/>
        <v>0</v>
      </c>
      <c r="F176" s="161">
        <f>IF($F$167="No YEAR 6",0,IF(ISNA(VLOOKUP(A176,name_6,$F$9,0)),0,VLOOKUP(A176,name_6,$F$9,0)*(1+'1. SUMMARY'!$C$26)))</f>
        <v>0</v>
      </c>
      <c r="G176" s="146">
        <f t="shared" si="134"/>
        <v>0</v>
      </c>
      <c r="H176" s="146">
        <f t="shared" si="135"/>
        <v>0</v>
      </c>
      <c r="I176" s="147">
        <f t="shared" si="136"/>
        <v>0</v>
      </c>
      <c r="M176" s="148">
        <f t="shared" si="126"/>
        <v>0</v>
      </c>
      <c r="N176" s="148">
        <f t="shared" si="127"/>
        <v>0</v>
      </c>
      <c r="O176" s="148">
        <f t="shared" si="128"/>
        <v>0</v>
      </c>
      <c r="P176" s="148">
        <f t="shared" si="129"/>
        <v>0</v>
      </c>
      <c r="Q176" s="148">
        <f t="shared" si="130"/>
        <v>0</v>
      </c>
      <c r="R176" s="148">
        <f t="shared" si="131"/>
        <v>0</v>
      </c>
      <c r="S176" s="148">
        <f t="shared" si="137"/>
        <v>0</v>
      </c>
      <c r="T176" s="148">
        <f t="shared" si="138"/>
        <v>0</v>
      </c>
      <c r="U176" s="148">
        <f t="shared" si="139"/>
        <v>0</v>
      </c>
      <c r="V176" s="148">
        <f t="shared" si="140"/>
        <v>0</v>
      </c>
      <c r="W176" s="148">
        <f t="shared" si="132"/>
        <v>0</v>
      </c>
      <c r="X176" s="148">
        <f t="shared" si="132"/>
        <v>0</v>
      </c>
      <c r="Y176" s="148">
        <f t="shared" si="132"/>
        <v>0</v>
      </c>
      <c r="Z176" s="148">
        <f t="shared" si="132"/>
        <v>0</v>
      </c>
      <c r="AA176" s="148">
        <f t="shared" si="132"/>
        <v>0</v>
      </c>
      <c r="AB176" s="148">
        <f t="shared" si="132"/>
        <v>0</v>
      </c>
      <c r="AC176" s="148">
        <f t="shared" si="132"/>
        <v>0</v>
      </c>
      <c r="AD176" s="148">
        <f t="shared" si="141"/>
        <v>0</v>
      </c>
    </row>
    <row r="177" spans="1:30">
      <c r="A177" s="157">
        <f t="shared" si="142"/>
        <v>0</v>
      </c>
      <c r="B177" s="162" t="str">
        <f t="shared" si="123"/>
        <v>PI</v>
      </c>
      <c r="C177" s="159">
        <f t="shared" si="124"/>
        <v>0</v>
      </c>
      <c r="D177" s="160">
        <f t="shared" si="125"/>
        <v>0</v>
      </c>
      <c r="E177" s="144">
        <f t="shared" si="133"/>
        <v>0</v>
      </c>
      <c r="F177" s="161">
        <f>IF($F$167="No YEAR 6",0,IF(ISNA(VLOOKUP(A177,name_6,$F$9,0)),0,VLOOKUP(A177,name_6,$F$9,0)*(1+'1. SUMMARY'!$C$26)))</f>
        <v>0</v>
      </c>
      <c r="G177" s="146">
        <f t="shared" si="134"/>
        <v>0</v>
      </c>
      <c r="H177" s="146">
        <f t="shared" si="135"/>
        <v>0</v>
      </c>
      <c r="I177" s="147">
        <f t="shared" si="136"/>
        <v>0</v>
      </c>
      <c r="M177" s="148">
        <f t="shared" si="126"/>
        <v>0</v>
      </c>
      <c r="N177" s="148">
        <f t="shared" si="127"/>
        <v>0</v>
      </c>
      <c r="O177" s="148">
        <f t="shared" si="128"/>
        <v>0</v>
      </c>
      <c r="P177" s="148">
        <f t="shared" si="129"/>
        <v>0</v>
      </c>
      <c r="Q177" s="148">
        <f t="shared" si="130"/>
        <v>0</v>
      </c>
      <c r="R177" s="148">
        <f t="shared" si="131"/>
        <v>0</v>
      </c>
      <c r="S177" s="148">
        <f t="shared" si="137"/>
        <v>0</v>
      </c>
      <c r="T177" s="148">
        <f t="shared" si="138"/>
        <v>0</v>
      </c>
      <c r="U177" s="148">
        <f t="shared" si="139"/>
        <v>0</v>
      </c>
      <c r="V177" s="148">
        <f t="shared" si="140"/>
        <v>0</v>
      </c>
      <c r="W177" s="148">
        <f t="shared" si="132"/>
        <v>0</v>
      </c>
      <c r="X177" s="148">
        <f t="shared" si="132"/>
        <v>0</v>
      </c>
      <c r="Y177" s="148">
        <f t="shared" si="132"/>
        <v>0</v>
      </c>
      <c r="Z177" s="148">
        <f t="shared" si="132"/>
        <v>0</v>
      </c>
      <c r="AA177" s="148">
        <f t="shared" si="132"/>
        <v>0</v>
      </c>
      <c r="AB177" s="148">
        <f t="shared" si="132"/>
        <v>0</v>
      </c>
      <c r="AC177" s="148">
        <f t="shared" si="132"/>
        <v>0</v>
      </c>
      <c r="AD177" s="148">
        <f t="shared" si="141"/>
        <v>0</v>
      </c>
    </row>
    <row r="178" spans="1:30">
      <c r="A178" s="157">
        <f t="shared" si="142"/>
        <v>0</v>
      </c>
      <c r="B178" s="162" t="str">
        <f t="shared" si="123"/>
        <v>PI</v>
      </c>
      <c r="C178" s="159">
        <f t="shared" si="124"/>
        <v>0</v>
      </c>
      <c r="D178" s="160">
        <f t="shared" si="125"/>
        <v>0</v>
      </c>
      <c r="E178" s="144">
        <f t="shared" si="133"/>
        <v>0</v>
      </c>
      <c r="F178" s="161">
        <f>IF($F$167="No YEAR 6",0,IF(ISNA(VLOOKUP(A178,name_6,$F$9,0)),0,VLOOKUP(A178,name_6,$F$9,0)*(1+'1. SUMMARY'!$C$26)))</f>
        <v>0</v>
      </c>
      <c r="G178" s="146">
        <f t="shared" si="134"/>
        <v>0</v>
      </c>
      <c r="H178" s="146">
        <f t="shared" si="135"/>
        <v>0</v>
      </c>
      <c r="I178" s="147">
        <f t="shared" si="136"/>
        <v>0</v>
      </c>
      <c r="M178" s="148">
        <f t="shared" si="126"/>
        <v>0</v>
      </c>
      <c r="N178" s="148">
        <f t="shared" si="127"/>
        <v>0</v>
      </c>
      <c r="O178" s="148">
        <f t="shared" si="128"/>
        <v>0</v>
      </c>
      <c r="P178" s="148">
        <f t="shared" si="129"/>
        <v>0</v>
      </c>
      <c r="Q178" s="148">
        <f t="shared" si="130"/>
        <v>0</v>
      </c>
      <c r="R178" s="148">
        <f t="shared" si="131"/>
        <v>0</v>
      </c>
      <c r="S178" s="148">
        <f t="shared" si="137"/>
        <v>0</v>
      </c>
      <c r="T178" s="148">
        <f t="shared" si="138"/>
        <v>0</v>
      </c>
      <c r="U178" s="148">
        <f t="shared" si="139"/>
        <v>0</v>
      </c>
      <c r="V178" s="148">
        <f t="shared" si="140"/>
        <v>0</v>
      </c>
      <c r="W178" s="148">
        <f t="shared" si="132"/>
        <v>0</v>
      </c>
      <c r="X178" s="148">
        <f t="shared" si="132"/>
        <v>0</v>
      </c>
      <c r="Y178" s="148">
        <f t="shared" si="132"/>
        <v>0</v>
      </c>
      <c r="Z178" s="148">
        <f t="shared" si="132"/>
        <v>0</v>
      </c>
      <c r="AA178" s="148">
        <f t="shared" si="132"/>
        <v>0</v>
      </c>
      <c r="AB178" s="148">
        <f t="shared" si="132"/>
        <v>0</v>
      </c>
      <c r="AC178" s="148">
        <f t="shared" si="132"/>
        <v>0</v>
      </c>
      <c r="AD178" s="148">
        <f t="shared" si="141"/>
        <v>0</v>
      </c>
    </row>
    <row r="179" spans="1:30">
      <c r="A179" s="157">
        <f t="shared" si="142"/>
        <v>0</v>
      </c>
      <c r="B179" s="162" t="str">
        <f t="shared" si="123"/>
        <v>PI</v>
      </c>
      <c r="C179" s="159">
        <f t="shared" si="124"/>
        <v>0</v>
      </c>
      <c r="D179" s="160">
        <f t="shared" si="125"/>
        <v>0</v>
      </c>
      <c r="E179" s="144">
        <f t="shared" si="133"/>
        <v>0</v>
      </c>
      <c r="F179" s="161">
        <f>IF($F$167="No YEAR 6",0,IF(ISNA(VLOOKUP(A179,name_6,$F$9,0)),0,VLOOKUP(A179,name_6,$F$9,0)*(1+'1. SUMMARY'!$C$26)))</f>
        <v>0</v>
      </c>
      <c r="G179" s="146">
        <f t="shared" si="134"/>
        <v>0</v>
      </c>
      <c r="H179" s="146">
        <f t="shared" si="135"/>
        <v>0</v>
      </c>
      <c r="I179" s="147">
        <f t="shared" si="136"/>
        <v>0</v>
      </c>
      <c r="M179" s="148">
        <f t="shared" si="126"/>
        <v>0</v>
      </c>
      <c r="N179" s="148">
        <f t="shared" si="127"/>
        <v>0</v>
      </c>
      <c r="O179" s="148">
        <f t="shared" si="128"/>
        <v>0</v>
      </c>
      <c r="P179" s="148">
        <f t="shared" si="129"/>
        <v>0</v>
      </c>
      <c r="Q179" s="148">
        <f t="shared" si="130"/>
        <v>0</v>
      </c>
      <c r="R179" s="148">
        <f t="shared" si="131"/>
        <v>0</v>
      </c>
      <c r="S179" s="148">
        <f t="shared" si="137"/>
        <v>0</v>
      </c>
      <c r="T179" s="148">
        <f t="shared" si="138"/>
        <v>0</v>
      </c>
      <c r="U179" s="148">
        <f t="shared" si="139"/>
        <v>0</v>
      </c>
      <c r="V179" s="148">
        <f t="shared" si="140"/>
        <v>0</v>
      </c>
      <c r="W179" s="148">
        <f t="shared" si="132"/>
        <v>0</v>
      </c>
      <c r="X179" s="148">
        <f t="shared" si="132"/>
        <v>0</v>
      </c>
      <c r="Y179" s="148">
        <f t="shared" si="132"/>
        <v>0</v>
      </c>
      <c r="Z179" s="148">
        <f t="shared" si="132"/>
        <v>0</v>
      </c>
      <c r="AA179" s="148">
        <f t="shared" si="132"/>
        <v>0</v>
      </c>
      <c r="AB179" s="148">
        <f t="shared" si="132"/>
        <v>0</v>
      </c>
      <c r="AC179" s="148">
        <f t="shared" si="132"/>
        <v>0</v>
      </c>
      <c r="AD179" s="148">
        <f t="shared" si="141"/>
        <v>0</v>
      </c>
    </row>
    <row r="180" spans="1:30">
      <c r="A180" s="157">
        <f t="shared" si="142"/>
        <v>0</v>
      </c>
      <c r="B180" s="162" t="str">
        <f t="shared" si="123"/>
        <v>PI</v>
      </c>
      <c r="C180" s="159">
        <f t="shared" si="124"/>
        <v>0</v>
      </c>
      <c r="D180" s="160">
        <f t="shared" si="125"/>
        <v>0</v>
      </c>
      <c r="E180" s="144">
        <f t="shared" si="133"/>
        <v>0</v>
      </c>
      <c r="F180" s="161">
        <f>IF($F$167="No YEAR 6",0,IF(ISNA(VLOOKUP(A180,name_6,$F$9,0)),0,VLOOKUP(A180,name_6,$F$9,0)*(1+'1. SUMMARY'!$C$26)))</f>
        <v>0</v>
      </c>
      <c r="G180" s="146">
        <f t="shared" si="134"/>
        <v>0</v>
      </c>
      <c r="H180" s="146">
        <f t="shared" si="135"/>
        <v>0</v>
      </c>
      <c r="I180" s="147">
        <f t="shared" si="136"/>
        <v>0</v>
      </c>
      <c r="M180" s="148">
        <f t="shared" si="126"/>
        <v>0</v>
      </c>
      <c r="N180" s="148">
        <f t="shared" si="127"/>
        <v>0</v>
      </c>
      <c r="O180" s="148">
        <f t="shared" si="128"/>
        <v>0</v>
      </c>
      <c r="P180" s="148">
        <f t="shared" si="129"/>
        <v>0</v>
      </c>
      <c r="Q180" s="148">
        <f t="shared" si="130"/>
        <v>0</v>
      </c>
      <c r="R180" s="148">
        <f t="shared" si="131"/>
        <v>0</v>
      </c>
      <c r="S180" s="148">
        <f t="shared" si="137"/>
        <v>0</v>
      </c>
      <c r="T180" s="148">
        <f t="shared" si="138"/>
        <v>0</v>
      </c>
      <c r="U180" s="148">
        <f t="shared" si="139"/>
        <v>0</v>
      </c>
      <c r="V180" s="148">
        <f t="shared" si="140"/>
        <v>0</v>
      </c>
      <c r="W180" s="148">
        <f t="shared" ref="W180:AC194" si="143">IF(W$168=0,0,(($G180/$AD$168)*W$168)*VLOOKUP($C180,benefits,12,0))</f>
        <v>0</v>
      </c>
      <c r="X180" s="148">
        <f t="shared" si="143"/>
        <v>0</v>
      </c>
      <c r="Y180" s="148">
        <f t="shared" si="143"/>
        <v>0</v>
      </c>
      <c r="Z180" s="148">
        <f t="shared" si="143"/>
        <v>0</v>
      </c>
      <c r="AA180" s="148">
        <f t="shared" si="143"/>
        <v>0</v>
      </c>
      <c r="AB180" s="148">
        <f t="shared" si="143"/>
        <v>0</v>
      </c>
      <c r="AC180" s="148">
        <f t="shared" si="143"/>
        <v>0</v>
      </c>
      <c r="AD180" s="148">
        <f t="shared" si="141"/>
        <v>0</v>
      </c>
    </row>
    <row r="181" spans="1:30">
      <c r="A181" s="157">
        <f t="shared" si="142"/>
        <v>0</v>
      </c>
      <c r="B181" s="162" t="str">
        <f t="shared" si="123"/>
        <v>PI</v>
      </c>
      <c r="C181" s="159">
        <f t="shared" si="124"/>
        <v>0</v>
      </c>
      <c r="D181" s="160">
        <f t="shared" si="125"/>
        <v>0</v>
      </c>
      <c r="E181" s="144">
        <f t="shared" si="133"/>
        <v>0</v>
      </c>
      <c r="F181" s="161">
        <f>IF($F$167="No YEAR 6",0,IF(ISNA(VLOOKUP(A181,name_6,$F$9,0)),0,VLOOKUP(A181,name_6,$F$9,0)*(1+'1. SUMMARY'!$C$26)))</f>
        <v>0</v>
      </c>
      <c r="G181" s="146">
        <f t="shared" si="134"/>
        <v>0</v>
      </c>
      <c r="H181" s="146">
        <f t="shared" si="135"/>
        <v>0</v>
      </c>
      <c r="I181" s="147">
        <f t="shared" si="136"/>
        <v>0</v>
      </c>
      <c r="M181" s="148">
        <f t="shared" si="126"/>
        <v>0</v>
      </c>
      <c r="N181" s="148">
        <f t="shared" si="127"/>
        <v>0</v>
      </c>
      <c r="O181" s="148">
        <f t="shared" si="128"/>
        <v>0</v>
      </c>
      <c r="P181" s="148">
        <f t="shared" si="129"/>
        <v>0</v>
      </c>
      <c r="Q181" s="148">
        <f t="shared" si="130"/>
        <v>0</v>
      </c>
      <c r="R181" s="148">
        <f t="shared" si="131"/>
        <v>0</v>
      </c>
      <c r="S181" s="148">
        <f t="shared" si="137"/>
        <v>0</v>
      </c>
      <c r="T181" s="148">
        <f t="shared" si="138"/>
        <v>0</v>
      </c>
      <c r="U181" s="148">
        <f t="shared" si="139"/>
        <v>0</v>
      </c>
      <c r="V181" s="148">
        <f t="shared" si="140"/>
        <v>0</v>
      </c>
      <c r="W181" s="148">
        <f t="shared" si="143"/>
        <v>0</v>
      </c>
      <c r="X181" s="148">
        <f t="shared" si="143"/>
        <v>0</v>
      </c>
      <c r="Y181" s="148">
        <f t="shared" si="143"/>
        <v>0</v>
      </c>
      <c r="Z181" s="148">
        <f t="shared" si="143"/>
        <v>0</v>
      </c>
      <c r="AA181" s="148">
        <f t="shared" si="143"/>
        <v>0</v>
      </c>
      <c r="AB181" s="148">
        <f t="shared" si="143"/>
        <v>0</v>
      </c>
      <c r="AC181" s="148">
        <f t="shared" si="143"/>
        <v>0</v>
      </c>
      <c r="AD181" s="148">
        <f t="shared" si="141"/>
        <v>0</v>
      </c>
    </row>
    <row r="182" spans="1:30">
      <c r="A182" s="157">
        <f t="shared" si="142"/>
        <v>0</v>
      </c>
      <c r="B182" s="162" t="str">
        <f t="shared" si="123"/>
        <v>PI</v>
      </c>
      <c r="C182" s="159">
        <f t="shared" si="124"/>
        <v>0</v>
      </c>
      <c r="D182" s="160">
        <f t="shared" si="125"/>
        <v>0</v>
      </c>
      <c r="E182" s="144">
        <f t="shared" si="133"/>
        <v>0</v>
      </c>
      <c r="F182" s="161">
        <f>IF($F$167="No YEAR 6",0,IF(ISNA(VLOOKUP(A182,name_6,$F$9,0)),0,VLOOKUP(A182,name_6,$F$9,0)*(1+'1. SUMMARY'!$C$26)))</f>
        <v>0</v>
      </c>
      <c r="G182" s="146">
        <f t="shared" si="134"/>
        <v>0</v>
      </c>
      <c r="H182" s="146">
        <f t="shared" si="135"/>
        <v>0</v>
      </c>
      <c r="I182" s="147">
        <f t="shared" si="136"/>
        <v>0</v>
      </c>
      <c r="M182" s="148">
        <f t="shared" si="126"/>
        <v>0</v>
      </c>
      <c r="N182" s="148">
        <f t="shared" si="127"/>
        <v>0</v>
      </c>
      <c r="O182" s="148">
        <f t="shared" si="128"/>
        <v>0</v>
      </c>
      <c r="P182" s="148">
        <f t="shared" si="129"/>
        <v>0</v>
      </c>
      <c r="Q182" s="148">
        <f t="shared" si="130"/>
        <v>0</v>
      </c>
      <c r="R182" s="148">
        <f t="shared" si="131"/>
        <v>0</v>
      </c>
      <c r="S182" s="148">
        <f t="shared" si="137"/>
        <v>0</v>
      </c>
      <c r="T182" s="148">
        <f t="shared" si="138"/>
        <v>0</v>
      </c>
      <c r="U182" s="148">
        <f t="shared" si="139"/>
        <v>0</v>
      </c>
      <c r="V182" s="148">
        <f t="shared" si="140"/>
        <v>0</v>
      </c>
      <c r="W182" s="148">
        <f t="shared" si="143"/>
        <v>0</v>
      </c>
      <c r="X182" s="148">
        <f t="shared" si="143"/>
        <v>0</v>
      </c>
      <c r="Y182" s="148">
        <f t="shared" si="143"/>
        <v>0</v>
      </c>
      <c r="Z182" s="148">
        <f t="shared" si="143"/>
        <v>0</v>
      </c>
      <c r="AA182" s="148">
        <f t="shared" si="143"/>
        <v>0</v>
      </c>
      <c r="AB182" s="148">
        <f t="shared" si="143"/>
        <v>0</v>
      </c>
      <c r="AC182" s="148">
        <f t="shared" si="143"/>
        <v>0</v>
      </c>
      <c r="AD182" s="148">
        <f t="shared" si="141"/>
        <v>0</v>
      </c>
    </row>
    <row r="183" spans="1:30">
      <c r="A183" s="157">
        <f t="shared" si="142"/>
        <v>0</v>
      </c>
      <c r="B183" s="162" t="str">
        <f t="shared" si="123"/>
        <v>PI</v>
      </c>
      <c r="C183" s="159">
        <f t="shared" si="124"/>
        <v>0</v>
      </c>
      <c r="D183" s="160">
        <f t="shared" si="125"/>
        <v>0</v>
      </c>
      <c r="E183" s="144">
        <f t="shared" si="133"/>
        <v>0</v>
      </c>
      <c r="F183" s="161">
        <f>IF($F$167="No YEAR 6",0,IF(ISNA(VLOOKUP(A183,name_6,$F$9,0)),0,VLOOKUP(A183,name_6,$F$9,0)*(1+'1. SUMMARY'!$C$26)))</f>
        <v>0</v>
      </c>
      <c r="G183" s="146">
        <f t="shared" si="134"/>
        <v>0</v>
      </c>
      <c r="H183" s="146">
        <f t="shared" si="135"/>
        <v>0</v>
      </c>
      <c r="I183" s="147">
        <f t="shared" si="136"/>
        <v>0</v>
      </c>
      <c r="M183" s="148">
        <f t="shared" si="126"/>
        <v>0</v>
      </c>
      <c r="N183" s="148">
        <f t="shared" si="127"/>
        <v>0</v>
      </c>
      <c r="O183" s="148">
        <f t="shared" si="128"/>
        <v>0</v>
      </c>
      <c r="P183" s="148">
        <f t="shared" si="129"/>
        <v>0</v>
      </c>
      <c r="Q183" s="148">
        <f t="shared" si="130"/>
        <v>0</v>
      </c>
      <c r="R183" s="148">
        <f t="shared" si="131"/>
        <v>0</v>
      </c>
      <c r="S183" s="148">
        <f t="shared" si="137"/>
        <v>0</v>
      </c>
      <c r="T183" s="148">
        <f t="shared" si="138"/>
        <v>0</v>
      </c>
      <c r="U183" s="148">
        <f t="shared" si="139"/>
        <v>0</v>
      </c>
      <c r="V183" s="148">
        <f t="shared" si="140"/>
        <v>0</v>
      </c>
      <c r="W183" s="148">
        <f t="shared" si="143"/>
        <v>0</v>
      </c>
      <c r="X183" s="148">
        <f t="shared" si="143"/>
        <v>0</v>
      </c>
      <c r="Y183" s="148">
        <f t="shared" si="143"/>
        <v>0</v>
      </c>
      <c r="Z183" s="148">
        <f t="shared" si="143"/>
        <v>0</v>
      </c>
      <c r="AA183" s="148">
        <f t="shared" si="143"/>
        <v>0</v>
      </c>
      <c r="AB183" s="148">
        <f t="shared" si="143"/>
        <v>0</v>
      </c>
      <c r="AC183" s="148">
        <f t="shared" si="143"/>
        <v>0</v>
      </c>
      <c r="AD183" s="148">
        <f t="shared" si="141"/>
        <v>0</v>
      </c>
    </row>
    <row r="184" spans="1:30">
      <c r="A184" s="157">
        <f t="shared" si="142"/>
        <v>0</v>
      </c>
      <c r="B184" s="162" t="str">
        <f t="shared" si="123"/>
        <v>PI</v>
      </c>
      <c r="C184" s="159">
        <f t="shared" si="124"/>
        <v>0</v>
      </c>
      <c r="D184" s="160">
        <f t="shared" si="125"/>
        <v>0</v>
      </c>
      <c r="E184" s="144">
        <f t="shared" si="133"/>
        <v>0</v>
      </c>
      <c r="F184" s="161">
        <f>IF($F$167="No YEAR 6",0,IF(ISNA(VLOOKUP(A184,name_6,$F$9,0)),0,VLOOKUP(A184,name_6,$F$9,0)*(1+'1. SUMMARY'!$C$26)))</f>
        <v>0</v>
      </c>
      <c r="G184" s="146">
        <f t="shared" si="134"/>
        <v>0</v>
      </c>
      <c r="H184" s="146">
        <f t="shared" si="135"/>
        <v>0</v>
      </c>
      <c r="I184" s="147">
        <f t="shared" si="136"/>
        <v>0</v>
      </c>
      <c r="M184" s="148">
        <f t="shared" si="126"/>
        <v>0</v>
      </c>
      <c r="N184" s="148">
        <f t="shared" si="127"/>
        <v>0</v>
      </c>
      <c r="O184" s="148">
        <f t="shared" si="128"/>
        <v>0</v>
      </c>
      <c r="P184" s="148">
        <f t="shared" si="129"/>
        <v>0</v>
      </c>
      <c r="Q184" s="148">
        <f t="shared" si="130"/>
        <v>0</v>
      </c>
      <c r="R184" s="148">
        <f t="shared" si="131"/>
        <v>0</v>
      </c>
      <c r="S184" s="148">
        <f t="shared" si="137"/>
        <v>0</v>
      </c>
      <c r="T184" s="148">
        <f t="shared" si="138"/>
        <v>0</v>
      </c>
      <c r="U184" s="148">
        <f t="shared" si="139"/>
        <v>0</v>
      </c>
      <c r="V184" s="148">
        <f t="shared" si="140"/>
        <v>0</v>
      </c>
      <c r="W184" s="148">
        <f t="shared" si="143"/>
        <v>0</v>
      </c>
      <c r="X184" s="148">
        <f t="shared" si="143"/>
        <v>0</v>
      </c>
      <c r="Y184" s="148">
        <f t="shared" si="143"/>
        <v>0</v>
      </c>
      <c r="Z184" s="148">
        <f t="shared" si="143"/>
        <v>0</v>
      </c>
      <c r="AA184" s="148">
        <f t="shared" si="143"/>
        <v>0</v>
      </c>
      <c r="AB184" s="148">
        <f t="shared" si="143"/>
        <v>0</v>
      </c>
      <c r="AC184" s="148">
        <f t="shared" si="143"/>
        <v>0</v>
      </c>
      <c r="AD184" s="148">
        <f t="shared" si="141"/>
        <v>0</v>
      </c>
    </row>
    <row r="185" spans="1:30">
      <c r="A185" s="157">
        <f t="shared" si="142"/>
        <v>0</v>
      </c>
      <c r="B185" s="162" t="str">
        <f t="shared" si="123"/>
        <v>PI</v>
      </c>
      <c r="C185" s="159">
        <f t="shared" si="124"/>
        <v>0</v>
      </c>
      <c r="D185" s="160">
        <f t="shared" si="125"/>
        <v>0</v>
      </c>
      <c r="E185" s="144">
        <f t="shared" si="133"/>
        <v>0</v>
      </c>
      <c r="F185" s="161">
        <f>IF($F$167="No YEAR 6",0,IF(ISNA(VLOOKUP(A185,name_6,$F$9,0)),0,VLOOKUP(A185,name_6,$F$9,0)*(1+'1. SUMMARY'!$C$26)))</f>
        <v>0</v>
      </c>
      <c r="G185" s="146">
        <f t="shared" si="134"/>
        <v>0</v>
      </c>
      <c r="H185" s="146">
        <f t="shared" si="135"/>
        <v>0</v>
      </c>
      <c r="I185" s="147">
        <f t="shared" si="136"/>
        <v>0</v>
      </c>
      <c r="M185" s="148">
        <f t="shared" si="126"/>
        <v>0</v>
      </c>
      <c r="N185" s="148">
        <f t="shared" si="127"/>
        <v>0</v>
      </c>
      <c r="O185" s="148">
        <f t="shared" si="128"/>
        <v>0</v>
      </c>
      <c r="P185" s="148">
        <f t="shared" si="129"/>
        <v>0</v>
      </c>
      <c r="Q185" s="148">
        <f t="shared" si="130"/>
        <v>0</v>
      </c>
      <c r="R185" s="148">
        <f t="shared" si="131"/>
        <v>0</v>
      </c>
      <c r="S185" s="148">
        <f t="shared" si="137"/>
        <v>0</v>
      </c>
      <c r="T185" s="148">
        <f t="shared" si="138"/>
        <v>0</v>
      </c>
      <c r="U185" s="148">
        <f t="shared" si="139"/>
        <v>0</v>
      </c>
      <c r="V185" s="148">
        <f t="shared" si="140"/>
        <v>0</v>
      </c>
      <c r="W185" s="148">
        <f t="shared" si="143"/>
        <v>0</v>
      </c>
      <c r="X185" s="148">
        <f t="shared" si="143"/>
        <v>0</v>
      </c>
      <c r="Y185" s="148">
        <f t="shared" si="143"/>
        <v>0</v>
      </c>
      <c r="Z185" s="148">
        <f t="shared" si="143"/>
        <v>0</v>
      </c>
      <c r="AA185" s="148">
        <f t="shared" si="143"/>
        <v>0</v>
      </c>
      <c r="AB185" s="148">
        <f t="shared" si="143"/>
        <v>0</v>
      </c>
      <c r="AC185" s="148">
        <f t="shared" si="143"/>
        <v>0</v>
      </c>
      <c r="AD185" s="148">
        <f t="shared" si="141"/>
        <v>0</v>
      </c>
    </row>
    <row r="186" spans="1:30">
      <c r="A186" s="157">
        <f t="shared" si="142"/>
        <v>0</v>
      </c>
      <c r="B186" s="162" t="str">
        <f t="shared" si="123"/>
        <v>PI</v>
      </c>
      <c r="C186" s="159">
        <f t="shared" si="124"/>
        <v>0</v>
      </c>
      <c r="D186" s="160">
        <f t="shared" si="125"/>
        <v>0</v>
      </c>
      <c r="E186" s="144">
        <f t="shared" si="133"/>
        <v>0</v>
      </c>
      <c r="F186" s="161">
        <f>IF($F$167="No YEAR 6",0,IF(ISNA(VLOOKUP(A186,name_6,$F$9,0)),0,VLOOKUP(A186,name_6,$F$9,0)*(1+'1. SUMMARY'!$C$26)))</f>
        <v>0</v>
      </c>
      <c r="G186" s="146">
        <f t="shared" si="134"/>
        <v>0</v>
      </c>
      <c r="H186" s="146">
        <f t="shared" si="135"/>
        <v>0</v>
      </c>
      <c r="I186" s="147">
        <f t="shared" si="136"/>
        <v>0</v>
      </c>
      <c r="M186" s="148">
        <f t="shared" si="126"/>
        <v>0</v>
      </c>
      <c r="N186" s="148">
        <f t="shared" si="127"/>
        <v>0</v>
      </c>
      <c r="O186" s="148">
        <f t="shared" si="128"/>
        <v>0</v>
      </c>
      <c r="P186" s="148">
        <f t="shared" si="129"/>
        <v>0</v>
      </c>
      <c r="Q186" s="148">
        <f t="shared" si="130"/>
        <v>0</v>
      </c>
      <c r="R186" s="148">
        <f t="shared" si="131"/>
        <v>0</v>
      </c>
      <c r="S186" s="148">
        <f t="shared" si="137"/>
        <v>0</v>
      </c>
      <c r="T186" s="148">
        <f t="shared" si="138"/>
        <v>0</v>
      </c>
      <c r="U186" s="148">
        <f t="shared" si="139"/>
        <v>0</v>
      </c>
      <c r="V186" s="148">
        <f t="shared" si="140"/>
        <v>0</v>
      </c>
      <c r="W186" s="148">
        <f t="shared" si="143"/>
        <v>0</v>
      </c>
      <c r="X186" s="148">
        <f t="shared" si="143"/>
        <v>0</v>
      </c>
      <c r="Y186" s="148">
        <f t="shared" si="143"/>
        <v>0</v>
      </c>
      <c r="Z186" s="148">
        <f t="shared" si="143"/>
        <v>0</v>
      </c>
      <c r="AA186" s="148">
        <f t="shared" si="143"/>
        <v>0</v>
      </c>
      <c r="AB186" s="148">
        <f t="shared" si="143"/>
        <v>0</v>
      </c>
      <c r="AC186" s="148">
        <f t="shared" si="143"/>
        <v>0</v>
      </c>
      <c r="AD186" s="148">
        <f t="shared" si="141"/>
        <v>0</v>
      </c>
    </row>
    <row r="187" spans="1:30">
      <c r="A187" s="157">
        <f t="shared" si="142"/>
        <v>0</v>
      </c>
      <c r="B187" s="162" t="str">
        <f t="shared" si="123"/>
        <v>PI</v>
      </c>
      <c r="C187" s="159">
        <f t="shared" si="124"/>
        <v>0</v>
      </c>
      <c r="D187" s="160">
        <f t="shared" si="125"/>
        <v>0</v>
      </c>
      <c r="E187" s="144">
        <f t="shared" si="133"/>
        <v>0</v>
      </c>
      <c r="F187" s="161">
        <f>IF($F$167="No YEAR 6",0,IF(ISNA(VLOOKUP(A187,name_6,$F$9,0)),0,VLOOKUP(A187,name_6,$F$9,0)*(1+'1. SUMMARY'!$C$26)))</f>
        <v>0</v>
      </c>
      <c r="G187" s="146">
        <f t="shared" si="134"/>
        <v>0</v>
      </c>
      <c r="H187" s="146">
        <f t="shared" si="135"/>
        <v>0</v>
      </c>
      <c r="I187" s="147">
        <f t="shared" si="136"/>
        <v>0</v>
      </c>
      <c r="M187" s="148">
        <f t="shared" si="126"/>
        <v>0</v>
      </c>
      <c r="N187" s="148">
        <f t="shared" si="127"/>
        <v>0</v>
      </c>
      <c r="O187" s="148">
        <f t="shared" si="128"/>
        <v>0</v>
      </c>
      <c r="P187" s="148">
        <f t="shared" si="129"/>
        <v>0</v>
      </c>
      <c r="Q187" s="148">
        <f t="shared" si="130"/>
        <v>0</v>
      </c>
      <c r="R187" s="148">
        <f t="shared" si="131"/>
        <v>0</v>
      </c>
      <c r="S187" s="148">
        <f t="shared" si="137"/>
        <v>0</v>
      </c>
      <c r="T187" s="148">
        <f t="shared" si="138"/>
        <v>0</v>
      </c>
      <c r="U187" s="148">
        <f t="shared" si="139"/>
        <v>0</v>
      </c>
      <c r="V187" s="148">
        <f t="shared" si="140"/>
        <v>0</v>
      </c>
      <c r="W187" s="148">
        <f t="shared" si="143"/>
        <v>0</v>
      </c>
      <c r="X187" s="148">
        <f t="shared" si="143"/>
        <v>0</v>
      </c>
      <c r="Y187" s="148">
        <f t="shared" si="143"/>
        <v>0</v>
      </c>
      <c r="Z187" s="148">
        <f t="shared" si="143"/>
        <v>0</v>
      </c>
      <c r="AA187" s="148">
        <f t="shared" si="143"/>
        <v>0</v>
      </c>
      <c r="AB187" s="148">
        <f t="shared" si="143"/>
        <v>0</v>
      </c>
      <c r="AC187" s="148">
        <f t="shared" si="143"/>
        <v>0</v>
      </c>
      <c r="AD187" s="148">
        <f t="shared" si="141"/>
        <v>0</v>
      </c>
    </row>
    <row r="188" spans="1:30">
      <c r="A188" s="157">
        <f t="shared" si="142"/>
        <v>0</v>
      </c>
      <c r="B188" s="162" t="str">
        <f t="shared" si="123"/>
        <v>PI</v>
      </c>
      <c r="C188" s="159">
        <f t="shared" si="124"/>
        <v>0</v>
      </c>
      <c r="D188" s="160">
        <f t="shared" si="125"/>
        <v>0</v>
      </c>
      <c r="E188" s="144">
        <f t="shared" si="133"/>
        <v>0</v>
      </c>
      <c r="F188" s="161">
        <f>IF($F$167="No YEAR 6",0,IF(ISNA(VLOOKUP(A188,name_6,$F$9,0)),0,VLOOKUP(A188,name_6,$F$9,0)*(1+'1. SUMMARY'!$C$26)))</f>
        <v>0</v>
      </c>
      <c r="G188" s="146">
        <f t="shared" si="134"/>
        <v>0</v>
      </c>
      <c r="H188" s="146">
        <f t="shared" si="135"/>
        <v>0</v>
      </c>
      <c r="I188" s="147">
        <f t="shared" si="136"/>
        <v>0</v>
      </c>
      <c r="M188" s="148">
        <f t="shared" si="126"/>
        <v>0</v>
      </c>
      <c r="N188" s="148">
        <f t="shared" si="127"/>
        <v>0</v>
      </c>
      <c r="O188" s="148">
        <f t="shared" si="128"/>
        <v>0</v>
      </c>
      <c r="P188" s="148">
        <f t="shared" si="129"/>
        <v>0</v>
      </c>
      <c r="Q188" s="148">
        <f t="shared" si="130"/>
        <v>0</v>
      </c>
      <c r="R188" s="148">
        <f t="shared" si="131"/>
        <v>0</v>
      </c>
      <c r="S188" s="148">
        <f t="shared" si="137"/>
        <v>0</v>
      </c>
      <c r="T188" s="148">
        <f t="shared" si="138"/>
        <v>0</v>
      </c>
      <c r="U188" s="148">
        <f t="shared" si="139"/>
        <v>0</v>
      </c>
      <c r="V188" s="148">
        <f t="shared" si="140"/>
        <v>0</v>
      </c>
      <c r="W188" s="148">
        <f t="shared" si="143"/>
        <v>0</v>
      </c>
      <c r="X188" s="148">
        <f t="shared" si="143"/>
        <v>0</v>
      </c>
      <c r="Y188" s="148">
        <f t="shared" si="143"/>
        <v>0</v>
      </c>
      <c r="Z188" s="148">
        <f t="shared" si="143"/>
        <v>0</v>
      </c>
      <c r="AA188" s="148">
        <f t="shared" si="143"/>
        <v>0</v>
      </c>
      <c r="AB188" s="148">
        <f t="shared" si="143"/>
        <v>0</v>
      </c>
      <c r="AC188" s="148">
        <f t="shared" si="143"/>
        <v>0</v>
      </c>
      <c r="AD188" s="148">
        <f t="shared" si="141"/>
        <v>0</v>
      </c>
    </row>
    <row r="189" spans="1:30">
      <c r="A189" s="157">
        <f t="shared" si="142"/>
        <v>0</v>
      </c>
      <c r="B189" s="162" t="str">
        <f t="shared" si="123"/>
        <v>PI</v>
      </c>
      <c r="C189" s="159">
        <f t="shared" si="124"/>
        <v>0</v>
      </c>
      <c r="D189" s="160">
        <f t="shared" si="125"/>
        <v>0</v>
      </c>
      <c r="E189" s="144">
        <f t="shared" si="133"/>
        <v>0</v>
      </c>
      <c r="F189" s="161">
        <f>IF($F$167="No YEAR 6",0,IF(ISNA(VLOOKUP(A189,name_6,$F$9,0)),0,VLOOKUP(A189,name_6,$F$9,0)*(1+'1. SUMMARY'!$C$26)))</f>
        <v>0</v>
      </c>
      <c r="G189" s="146">
        <f t="shared" si="134"/>
        <v>0</v>
      </c>
      <c r="H189" s="146">
        <f t="shared" si="135"/>
        <v>0</v>
      </c>
      <c r="I189" s="147">
        <f t="shared" si="136"/>
        <v>0</v>
      </c>
      <c r="M189" s="148">
        <f t="shared" si="126"/>
        <v>0</v>
      </c>
      <c r="N189" s="148">
        <f t="shared" si="127"/>
        <v>0</v>
      </c>
      <c r="O189" s="148">
        <f t="shared" si="128"/>
        <v>0</v>
      </c>
      <c r="P189" s="148">
        <f t="shared" si="129"/>
        <v>0</v>
      </c>
      <c r="Q189" s="148">
        <f t="shared" si="130"/>
        <v>0</v>
      </c>
      <c r="R189" s="148">
        <f t="shared" si="131"/>
        <v>0</v>
      </c>
      <c r="S189" s="148">
        <f t="shared" si="137"/>
        <v>0</v>
      </c>
      <c r="T189" s="148">
        <f t="shared" si="138"/>
        <v>0</v>
      </c>
      <c r="U189" s="148">
        <f t="shared" si="139"/>
        <v>0</v>
      </c>
      <c r="V189" s="148">
        <f t="shared" si="140"/>
        <v>0</v>
      </c>
      <c r="W189" s="148">
        <f t="shared" si="143"/>
        <v>0</v>
      </c>
      <c r="X189" s="148">
        <f t="shared" si="143"/>
        <v>0</v>
      </c>
      <c r="Y189" s="148">
        <f t="shared" si="143"/>
        <v>0</v>
      </c>
      <c r="Z189" s="148">
        <f t="shared" si="143"/>
        <v>0</v>
      </c>
      <c r="AA189" s="148">
        <f t="shared" si="143"/>
        <v>0</v>
      </c>
      <c r="AB189" s="148">
        <f t="shared" si="143"/>
        <v>0</v>
      </c>
      <c r="AC189" s="148">
        <f t="shared" si="143"/>
        <v>0</v>
      </c>
      <c r="AD189" s="148">
        <f t="shared" si="141"/>
        <v>0</v>
      </c>
    </row>
    <row r="190" spans="1:30">
      <c r="A190" s="157">
        <f t="shared" si="142"/>
        <v>0</v>
      </c>
      <c r="B190" s="162" t="str">
        <f t="shared" si="123"/>
        <v>PI</v>
      </c>
      <c r="C190" s="159">
        <f t="shared" si="124"/>
        <v>0</v>
      </c>
      <c r="D190" s="160">
        <f t="shared" si="125"/>
        <v>0</v>
      </c>
      <c r="E190" s="144">
        <f t="shared" si="133"/>
        <v>0</v>
      </c>
      <c r="F190" s="161">
        <f>IF($F$167="No YEAR 6",0,IF(ISNA(VLOOKUP(A190,name_6,$F$9,0)),0,VLOOKUP(A190,name_6,$F$9,0)*(1+'1. SUMMARY'!$C$26)))</f>
        <v>0</v>
      </c>
      <c r="G190" s="146">
        <f t="shared" si="134"/>
        <v>0</v>
      </c>
      <c r="H190" s="146">
        <f t="shared" si="135"/>
        <v>0</v>
      </c>
      <c r="I190" s="147">
        <f t="shared" si="136"/>
        <v>0</v>
      </c>
      <c r="M190" s="148">
        <f t="shared" si="126"/>
        <v>0</v>
      </c>
      <c r="N190" s="148">
        <f t="shared" si="127"/>
        <v>0</v>
      </c>
      <c r="O190" s="148">
        <f t="shared" si="128"/>
        <v>0</v>
      </c>
      <c r="P190" s="148">
        <f t="shared" si="129"/>
        <v>0</v>
      </c>
      <c r="Q190" s="148">
        <f t="shared" si="130"/>
        <v>0</v>
      </c>
      <c r="R190" s="148">
        <f t="shared" si="131"/>
        <v>0</v>
      </c>
      <c r="S190" s="148">
        <f t="shared" si="137"/>
        <v>0</v>
      </c>
      <c r="T190" s="148">
        <f t="shared" si="138"/>
        <v>0</v>
      </c>
      <c r="U190" s="148">
        <f t="shared" si="139"/>
        <v>0</v>
      </c>
      <c r="V190" s="148">
        <f t="shared" si="140"/>
        <v>0</v>
      </c>
      <c r="W190" s="148">
        <f t="shared" si="143"/>
        <v>0</v>
      </c>
      <c r="X190" s="148">
        <f t="shared" si="143"/>
        <v>0</v>
      </c>
      <c r="Y190" s="148">
        <f t="shared" si="143"/>
        <v>0</v>
      </c>
      <c r="Z190" s="148">
        <f t="shared" si="143"/>
        <v>0</v>
      </c>
      <c r="AA190" s="148">
        <f t="shared" si="143"/>
        <v>0</v>
      </c>
      <c r="AB190" s="148">
        <f t="shared" si="143"/>
        <v>0</v>
      </c>
      <c r="AC190" s="148">
        <f t="shared" si="143"/>
        <v>0</v>
      </c>
      <c r="AD190" s="148">
        <f t="shared" si="141"/>
        <v>0</v>
      </c>
    </row>
    <row r="191" spans="1:30">
      <c r="A191" s="157">
        <f t="shared" si="142"/>
        <v>0</v>
      </c>
      <c r="B191" s="162" t="str">
        <f t="shared" si="123"/>
        <v>PI</v>
      </c>
      <c r="C191" s="159">
        <f t="shared" si="124"/>
        <v>0</v>
      </c>
      <c r="D191" s="160">
        <f t="shared" si="125"/>
        <v>0</v>
      </c>
      <c r="E191" s="144">
        <f t="shared" si="133"/>
        <v>0</v>
      </c>
      <c r="F191" s="161">
        <f>IF($F$167="No YEAR 6",0,IF(ISNA(VLOOKUP(A191,name_6,$F$9,0)),0,VLOOKUP(A191,name_6,$F$9,0)*(1+'1. SUMMARY'!$C$26)))</f>
        <v>0</v>
      </c>
      <c r="G191" s="146">
        <f t="shared" si="134"/>
        <v>0</v>
      </c>
      <c r="H191" s="146">
        <f t="shared" si="135"/>
        <v>0</v>
      </c>
      <c r="I191" s="147">
        <f t="shared" si="136"/>
        <v>0</v>
      </c>
      <c r="M191" s="148">
        <f t="shared" si="126"/>
        <v>0</v>
      </c>
      <c r="N191" s="148">
        <f t="shared" si="127"/>
        <v>0</v>
      </c>
      <c r="O191" s="148">
        <f t="shared" si="128"/>
        <v>0</v>
      </c>
      <c r="P191" s="148">
        <f t="shared" si="129"/>
        <v>0</v>
      </c>
      <c r="Q191" s="148">
        <f t="shared" si="130"/>
        <v>0</v>
      </c>
      <c r="R191" s="148">
        <f t="shared" si="131"/>
        <v>0</v>
      </c>
      <c r="S191" s="148">
        <f t="shared" si="137"/>
        <v>0</v>
      </c>
      <c r="T191" s="148">
        <f t="shared" si="138"/>
        <v>0</v>
      </c>
      <c r="U191" s="148">
        <f t="shared" si="139"/>
        <v>0</v>
      </c>
      <c r="V191" s="148">
        <f t="shared" si="140"/>
        <v>0</v>
      </c>
      <c r="W191" s="148">
        <f t="shared" si="143"/>
        <v>0</v>
      </c>
      <c r="X191" s="148">
        <f t="shared" si="143"/>
        <v>0</v>
      </c>
      <c r="Y191" s="148">
        <f t="shared" si="143"/>
        <v>0</v>
      </c>
      <c r="Z191" s="148">
        <f t="shared" si="143"/>
        <v>0</v>
      </c>
      <c r="AA191" s="148">
        <f t="shared" si="143"/>
        <v>0</v>
      </c>
      <c r="AB191" s="148">
        <f t="shared" si="143"/>
        <v>0</v>
      </c>
      <c r="AC191" s="148">
        <f t="shared" si="143"/>
        <v>0</v>
      </c>
      <c r="AD191" s="148">
        <f t="shared" si="141"/>
        <v>0</v>
      </c>
    </row>
    <row r="192" spans="1:30">
      <c r="A192" s="157">
        <f t="shared" si="142"/>
        <v>0</v>
      </c>
      <c r="B192" s="162" t="str">
        <f t="shared" si="123"/>
        <v>PI</v>
      </c>
      <c r="C192" s="159">
        <f t="shared" si="124"/>
        <v>0</v>
      </c>
      <c r="D192" s="160">
        <f t="shared" si="125"/>
        <v>0</v>
      </c>
      <c r="E192" s="144">
        <f t="shared" si="133"/>
        <v>0</v>
      </c>
      <c r="F192" s="161">
        <f>IF($F$167="No YEAR 6",0,IF(ISNA(VLOOKUP(A192,name_6,$F$9,0)),0,VLOOKUP(A192,name_6,$F$9,0)*(1+'1. SUMMARY'!$C$26)))</f>
        <v>0</v>
      </c>
      <c r="G192" s="146">
        <f t="shared" si="134"/>
        <v>0</v>
      </c>
      <c r="H192" s="146">
        <f t="shared" si="135"/>
        <v>0</v>
      </c>
      <c r="I192" s="147">
        <f t="shared" si="136"/>
        <v>0</v>
      </c>
      <c r="M192" s="148">
        <f t="shared" si="126"/>
        <v>0</v>
      </c>
      <c r="N192" s="148">
        <f t="shared" si="127"/>
        <v>0</v>
      </c>
      <c r="O192" s="148">
        <f t="shared" si="128"/>
        <v>0</v>
      </c>
      <c r="P192" s="148">
        <f t="shared" si="129"/>
        <v>0</v>
      </c>
      <c r="Q192" s="148">
        <f t="shared" si="130"/>
        <v>0</v>
      </c>
      <c r="R192" s="148">
        <f t="shared" si="131"/>
        <v>0</v>
      </c>
      <c r="S192" s="148">
        <f t="shared" si="137"/>
        <v>0</v>
      </c>
      <c r="T192" s="148">
        <f t="shared" si="138"/>
        <v>0</v>
      </c>
      <c r="U192" s="148">
        <f t="shared" si="139"/>
        <v>0</v>
      </c>
      <c r="V192" s="148">
        <f t="shared" si="140"/>
        <v>0</v>
      </c>
      <c r="W192" s="148">
        <f t="shared" si="143"/>
        <v>0</v>
      </c>
      <c r="X192" s="148">
        <f t="shared" si="143"/>
        <v>0</v>
      </c>
      <c r="Y192" s="148">
        <f t="shared" si="143"/>
        <v>0</v>
      </c>
      <c r="Z192" s="148">
        <f t="shared" si="143"/>
        <v>0</v>
      </c>
      <c r="AA192" s="148">
        <f t="shared" si="143"/>
        <v>0</v>
      </c>
      <c r="AB192" s="148">
        <f t="shared" si="143"/>
        <v>0</v>
      </c>
      <c r="AC192" s="148">
        <f t="shared" si="143"/>
        <v>0</v>
      </c>
      <c r="AD192" s="148">
        <f t="shared" si="141"/>
        <v>0</v>
      </c>
    </row>
    <row r="193" spans="1:30">
      <c r="A193" s="157">
        <f t="shared" si="142"/>
        <v>0</v>
      </c>
      <c r="B193" s="162" t="str">
        <f t="shared" si="123"/>
        <v>PI</v>
      </c>
      <c r="C193" s="159">
        <f t="shared" si="124"/>
        <v>0</v>
      </c>
      <c r="D193" s="160">
        <f t="shared" si="125"/>
        <v>0</v>
      </c>
      <c r="E193" s="144">
        <f t="shared" si="133"/>
        <v>0</v>
      </c>
      <c r="F193" s="161">
        <f>IF($F$167="No YEAR 6",0,IF(ISNA(VLOOKUP(A193,name_6,$F$9,0)),0,VLOOKUP(A193,name_6,$F$9,0)*(1+'1. SUMMARY'!$C$26)))</f>
        <v>0</v>
      </c>
      <c r="G193" s="146">
        <f t="shared" si="134"/>
        <v>0</v>
      </c>
      <c r="H193" s="146">
        <f t="shared" si="135"/>
        <v>0</v>
      </c>
      <c r="I193" s="147">
        <f t="shared" si="136"/>
        <v>0</v>
      </c>
      <c r="M193" s="148">
        <f t="shared" si="126"/>
        <v>0</v>
      </c>
      <c r="N193" s="148">
        <f t="shared" si="127"/>
        <v>0</v>
      </c>
      <c r="O193" s="148">
        <f t="shared" si="128"/>
        <v>0</v>
      </c>
      <c r="P193" s="148">
        <f t="shared" si="129"/>
        <v>0</v>
      </c>
      <c r="Q193" s="148">
        <f t="shared" si="130"/>
        <v>0</v>
      </c>
      <c r="R193" s="148">
        <f t="shared" si="131"/>
        <v>0</v>
      </c>
      <c r="S193" s="148">
        <f t="shared" si="137"/>
        <v>0</v>
      </c>
      <c r="T193" s="148">
        <f t="shared" si="138"/>
        <v>0</v>
      </c>
      <c r="U193" s="148">
        <f t="shared" si="139"/>
        <v>0</v>
      </c>
      <c r="V193" s="148">
        <f t="shared" si="140"/>
        <v>0</v>
      </c>
      <c r="W193" s="148">
        <f t="shared" si="143"/>
        <v>0</v>
      </c>
      <c r="X193" s="148">
        <f t="shared" si="143"/>
        <v>0</v>
      </c>
      <c r="Y193" s="148">
        <f t="shared" si="143"/>
        <v>0</v>
      </c>
      <c r="Z193" s="148">
        <f t="shared" si="143"/>
        <v>0</v>
      </c>
      <c r="AA193" s="148">
        <f t="shared" si="143"/>
        <v>0</v>
      </c>
      <c r="AB193" s="148">
        <f t="shared" si="143"/>
        <v>0</v>
      </c>
      <c r="AC193" s="148">
        <f t="shared" si="143"/>
        <v>0</v>
      </c>
      <c r="AD193" s="148">
        <f t="shared" si="141"/>
        <v>0</v>
      </c>
    </row>
    <row r="194" spans="1:30">
      <c r="A194" s="157">
        <f t="shared" si="142"/>
        <v>0</v>
      </c>
      <c r="B194" s="162" t="str">
        <f t="shared" si="123"/>
        <v>PI</v>
      </c>
      <c r="C194" s="159">
        <f t="shared" si="124"/>
        <v>0</v>
      </c>
      <c r="D194" s="160">
        <f t="shared" si="125"/>
        <v>0</v>
      </c>
      <c r="E194" s="144">
        <f t="shared" si="133"/>
        <v>0</v>
      </c>
      <c r="F194" s="161">
        <f>IF($F$167="No YEAR 6",0,IF(ISNA(VLOOKUP(A194,name_6,$F$9,0)),0,VLOOKUP(A194,name_6,$F$9,0)*(1+'1. SUMMARY'!$C$26)))</f>
        <v>0</v>
      </c>
      <c r="G194" s="146">
        <f t="shared" si="134"/>
        <v>0</v>
      </c>
      <c r="H194" s="146">
        <f t="shared" si="135"/>
        <v>0</v>
      </c>
      <c r="I194" s="147">
        <f t="shared" si="136"/>
        <v>0</v>
      </c>
      <c r="M194" s="148">
        <f t="shared" si="126"/>
        <v>0</v>
      </c>
      <c r="N194" s="148">
        <f t="shared" si="127"/>
        <v>0</v>
      </c>
      <c r="O194" s="148">
        <f t="shared" si="128"/>
        <v>0</v>
      </c>
      <c r="P194" s="148">
        <f t="shared" si="129"/>
        <v>0</v>
      </c>
      <c r="Q194" s="148">
        <f t="shared" si="130"/>
        <v>0</v>
      </c>
      <c r="R194" s="148">
        <f t="shared" si="131"/>
        <v>0</v>
      </c>
      <c r="S194" s="148">
        <f t="shared" si="137"/>
        <v>0</v>
      </c>
      <c r="T194" s="148">
        <f t="shared" si="138"/>
        <v>0</v>
      </c>
      <c r="U194" s="148">
        <f t="shared" si="139"/>
        <v>0</v>
      </c>
      <c r="V194" s="148">
        <f t="shared" si="140"/>
        <v>0</v>
      </c>
      <c r="W194" s="148">
        <f t="shared" si="143"/>
        <v>0</v>
      </c>
      <c r="X194" s="148">
        <f t="shared" si="143"/>
        <v>0</v>
      </c>
      <c r="Y194" s="148">
        <f t="shared" si="143"/>
        <v>0</v>
      </c>
      <c r="Z194" s="148">
        <f t="shared" si="143"/>
        <v>0</v>
      </c>
      <c r="AA194" s="148">
        <f t="shared" si="143"/>
        <v>0</v>
      </c>
      <c r="AB194" s="148">
        <f t="shared" si="143"/>
        <v>0</v>
      </c>
      <c r="AC194" s="148">
        <f t="shared" si="143"/>
        <v>0</v>
      </c>
      <c r="AD194" s="148">
        <f t="shared" si="141"/>
        <v>0</v>
      </c>
    </row>
    <row r="195" spans="1:30" ht="14" thickBot="1">
      <c r="A195" s="117"/>
      <c r="B195" s="117"/>
      <c r="C195" s="150" t="s">
        <v>47</v>
      </c>
      <c r="D195" s="151"/>
      <c r="E195" s="152"/>
      <c r="F195" s="152"/>
      <c r="G195" s="153">
        <f>SUM(G170:G194)</f>
        <v>0</v>
      </c>
      <c r="H195" s="153">
        <f>SUM(H170:H194)</f>
        <v>0</v>
      </c>
      <c r="I195" s="154">
        <f>SUM(I170:I194)</f>
        <v>0</v>
      </c>
      <c r="M195" s="168"/>
      <c r="S195" s="148"/>
    </row>
    <row r="196" spans="1:30">
      <c r="S196" s="148"/>
    </row>
    <row r="197" spans="1:30">
      <c r="M197" s="114" t="s">
        <v>109</v>
      </c>
      <c r="S197" s="148"/>
    </row>
    <row r="198" spans="1:30">
      <c r="A198" s="124"/>
      <c r="B198" s="124"/>
      <c r="C198" s="120"/>
      <c r="D198" s="127"/>
      <c r="E198" s="128"/>
      <c r="F198" s="128"/>
      <c r="G198" s="128"/>
      <c r="H198" s="128"/>
      <c r="I198" s="128"/>
      <c r="M198" s="121">
        <f>+Sheet1!$T$8</f>
        <v>44105</v>
      </c>
      <c r="N198" s="121">
        <f>+Sheet1!$U$8</f>
        <v>44470</v>
      </c>
      <c r="O198" s="121">
        <f>+Sheet1!$V$8</f>
        <v>44835</v>
      </c>
      <c r="P198" s="121">
        <f>+Sheet1!$W$8</f>
        <v>45200</v>
      </c>
      <c r="Q198" s="121">
        <f>+Sheet1!$X$8</f>
        <v>45566</v>
      </c>
      <c r="R198" s="121">
        <f>+Sheet1!$Y$8</f>
        <v>45931</v>
      </c>
      <c r="S198" s="121">
        <f>+Sheet1!$Z$8</f>
        <v>46296</v>
      </c>
      <c r="T198" s="121">
        <f>+Sheet1!$AA$8</f>
        <v>46661</v>
      </c>
      <c r="U198" s="121">
        <f>+Sheet1!$AB$8</f>
        <v>47027</v>
      </c>
      <c r="V198" s="121">
        <f>+Sheet1!$AC$8</f>
        <v>47392</v>
      </c>
      <c r="W198" s="121">
        <f>+Sheet1!$AD$8</f>
        <v>47757</v>
      </c>
      <c r="X198" s="121">
        <f>+Sheet1!AE$8</f>
        <v>48122</v>
      </c>
      <c r="Y198" s="121">
        <f>+Sheet1!AF$8</f>
        <v>48488</v>
      </c>
      <c r="Z198" s="121">
        <f>+Sheet1!AG$8</f>
        <v>48853</v>
      </c>
      <c r="AA198" s="121">
        <f>+Sheet1!AH$8</f>
        <v>49218</v>
      </c>
      <c r="AB198" s="121">
        <f>+Sheet1!AI$8</f>
        <v>49583</v>
      </c>
      <c r="AC198" s="121">
        <f>+Sheet1!AJ$8</f>
        <v>49949</v>
      </c>
      <c r="AD198" s="117"/>
    </row>
    <row r="199" spans="1:30">
      <c r="A199" s="118" t="s">
        <v>111</v>
      </c>
      <c r="B199" s="118"/>
      <c r="C199" s="118"/>
      <c r="D199" s="129"/>
      <c r="E199" s="130"/>
      <c r="F199" s="131" t="str">
        <f>IF(F167="No "&amp;A167,"No "&amp;A199,IF(+H167+1&gt;'1. SUMMARY'!$C$18,"No "&amp;A199,+H167+1))</f>
        <v>No YEAR 7</v>
      </c>
      <c r="G199" s="131" t="str">
        <f>"----"</f>
        <v>----</v>
      </c>
      <c r="H199" s="131" t="str">
        <f>IF(F199="No "&amp;A199,"No "&amp;A199,IF(H167='1. SUMMARY'!Q145,"a",IF((DATE(YEAR(F199),MONTH(F199)+12,DAY(F199)-1))&lt;=('1. SUMMARY'!$C$18),DATE(YEAR(F199),MONTH(F199)+12,DAY(F199)-1),'1. SUMMARY'!$C$18)))</f>
        <v>No YEAR 7</v>
      </c>
      <c r="I199" s="132"/>
      <c r="M199" s="121">
        <f>+Sheet1!$T$9</f>
        <v>44469</v>
      </c>
      <c r="N199" s="121">
        <f>+Sheet1!$U$9</f>
        <v>44834</v>
      </c>
      <c r="O199" s="121">
        <f>+Sheet1!$V$9</f>
        <v>45199</v>
      </c>
      <c r="P199" s="121">
        <f>+Sheet1!$W$9</f>
        <v>45565</v>
      </c>
      <c r="Q199" s="121">
        <f>+Sheet1!$X$9</f>
        <v>45930</v>
      </c>
      <c r="R199" s="121">
        <f>+Sheet1!$Y$9</f>
        <v>46295</v>
      </c>
      <c r="S199" s="121">
        <f>+Sheet1!$Z$9</f>
        <v>46660</v>
      </c>
      <c r="T199" s="121">
        <f>+Sheet1!$AA$9</f>
        <v>47026</v>
      </c>
      <c r="U199" s="121">
        <f>+Sheet1!$AB$9</f>
        <v>47391</v>
      </c>
      <c r="V199" s="121">
        <f>+Sheet1!$AC$9</f>
        <v>47756</v>
      </c>
      <c r="W199" s="121">
        <f>+Sheet1!$AD$9</f>
        <v>48121</v>
      </c>
      <c r="X199" s="121">
        <f>+Sheet1!AE$9</f>
        <v>48487</v>
      </c>
      <c r="Y199" s="121">
        <f>+Sheet1!AF$9</f>
        <v>48852</v>
      </c>
      <c r="Z199" s="121">
        <f>+Sheet1!AG$9</f>
        <v>49217</v>
      </c>
      <c r="AA199" s="121">
        <f>+Sheet1!AH$9</f>
        <v>49582</v>
      </c>
      <c r="AB199" s="121">
        <f>+Sheet1!AI$9</f>
        <v>49948</v>
      </c>
      <c r="AC199" s="121">
        <f>+Sheet1!AJ$9</f>
        <v>50313</v>
      </c>
      <c r="AD199" s="117"/>
    </row>
    <row r="200" spans="1:30" ht="25.5" customHeight="1">
      <c r="A200" s="133" t="s">
        <v>39</v>
      </c>
      <c r="B200" s="134" t="s">
        <v>40</v>
      </c>
      <c r="C200" s="134" t="s">
        <v>41</v>
      </c>
      <c r="D200" s="135" t="s">
        <v>42</v>
      </c>
      <c r="E200" s="136" t="s">
        <v>43</v>
      </c>
      <c r="F200" s="136" t="s">
        <v>44</v>
      </c>
      <c r="G200" s="136" t="s">
        <v>45</v>
      </c>
      <c r="H200" s="136" t="s">
        <v>46</v>
      </c>
      <c r="I200" s="137" t="s">
        <v>47</v>
      </c>
      <c r="M200" s="117">
        <f>IF(IF(M199&lt;F199,0,DATEDIF(F199,M199+1,"m"))&lt;0,0,IF(M199&lt;F199,0,DATEDIF(F199,M199+1,"m")))</f>
        <v>0</v>
      </c>
      <c r="N200" s="117">
        <f>IF(IF(M200=12,0,IF(N199&gt;H199,12-DATEDIF(H199,N199+1,"m"),IF(N199&lt;F199,0,DATEDIF(F199,N199+1,"m"))))&lt;0,0,IF(M200=12,0,IF(N199&gt;H199,12-DATEDIF(H199,N199+1,"m"),IF(N199&lt;F199,0,DATEDIF(F199,N199+1,"m")))))</f>
        <v>0</v>
      </c>
      <c r="O200" s="117">
        <f>IF(IF(M200+N200=12,0,IF(O199&gt;H199,12-DATEDIF(H199,O199+1,"m"),IF(O199&lt;F199,0,DATEDIF(F199,O199+1,"m"))))&lt;0,0,IF(M200+N200=12,0,IF(O199&gt;H199,12-DATEDIF(H199,O199+1,"m"),IF(O199&lt;F199,0,DATEDIF(F199,O199+1,"m")))))</f>
        <v>0</v>
      </c>
      <c r="P200" s="117">
        <f>IF(IF(N200+O200+M200=12,0,IF(P199&gt;H199,12-DATEDIF(H199,P199+1,"m"),IF(P199&lt;F199,0,DATEDIF(F199,P199+1,"m"))))&lt;0,0,IF(N200+O200+M200=12,0,IF(P199&gt;H199,12-DATEDIF(H199,P199+1,"m"),IF(P199&lt;F199,0,DATEDIF(F199,P199+1,"m")))))</f>
        <v>0</v>
      </c>
      <c r="Q200" s="117">
        <f>IF(IF(O200+P200+N200+M200=12,0,IF(Q199&gt;$H$199,12-DATEDIF($H$199,Q199+1,"m"),IF(Q199&lt;$F$199,0,DATEDIF($F$199,Q199+1,"m"))))&lt;0,0,IF(O200+P200+N200+M200=12,0,IF(Q199&gt;$H$199,12-DATEDIF($H$199,Q199+1,"m"),IF(Q199&lt;$F$199,0,DATEDIF($F$199,Q199+1,"m")))))</f>
        <v>0</v>
      </c>
      <c r="R200" s="117">
        <f>IF(IF(P200+Q200+O200+N200+M200=12,0,IF(R199&gt;$H$199,12-DATEDIF($H$199,R199+1,"m"),IF(R199&lt;$F$199,0,DATEDIF($F$199,R199+1,"m"))))&lt;0,0,IF(P200+Q200+O200+N200+M200=12,0,IF(R199&gt;$H$199,12-DATEDIF($H$199,R199+1,"m"),IF(R199&lt;$F$199,0,DATEDIF($F$199,R199+1,"m")))))</f>
        <v>0</v>
      </c>
      <c r="S200" s="117">
        <f>IF(IF(Q200+R200+P200+O200+N200+M200=12,0,IF(S199&gt;$H$199,12-DATEDIF($H$199,S199+1,"m"),IF(S199&lt;$F$199,0,DATEDIF($F$199,S199+1,"m"))))&lt;0,0,IF(Q200+R200+P200+O200+N200+M200=12,0,IF(S199&gt;$H$199,12-DATEDIF($H$199,S199+1,"m"),IF(S199&lt;$F$199,0,DATEDIF($F$199,S199+1,"m")))))</f>
        <v>0</v>
      </c>
      <c r="T200" s="117">
        <f>IF(IF(R200+S200+Q200+P200+O200+N200+M200=12,0,IF(T199&gt;$H$199,12-DATEDIF($H$199,T199+1,"m"),IF(T199&lt;$F$199,0,DATEDIF($F$199,T199+1,"m"))))&lt;0,0,IF(R200+S200+Q200+P200+O200+N200+M200=12,0,IF(T199&gt;$H$199,12-DATEDIF($H$199,T199+1,"m"),IF(T199&lt;$F$199,0,DATEDIF($F$199,T199+1,"m")))))</f>
        <v>0</v>
      </c>
      <c r="U200" s="117">
        <f>IF(IF(M200+S200+T200+R200+Q200+P200+O200+N200=12,0,IF(U199&gt;$H$199,12-DATEDIF($H$199,U199+1,"m"),IF(U199&lt;$F$199,0,DATEDIF($F$199,U199+1,"m"))))&lt;0,0,IF(M200+S200+T200+R200+Q200+P200+O200+N200=12,0,IF(U199&gt;$H$199,12-DATEDIF($H$199,U199+1,"m"),IF(U199&lt;$F$199,0,DATEDIF($F$199,U199+1,"m")))))</f>
        <v>0</v>
      </c>
      <c r="V200" s="117">
        <f>IF(IF(M200+N200+T200+U200+S200+R200+Q200+P200+O200=12,0,IF(V199&gt;$H$199,12-DATEDIF($H$199,V199+1,"m"),IF(V199&lt;$F$199,0,DATEDIF($F$199,V199+1,"m"))))&lt;0,0,IF(M200+N200+T200+U200+S200+R200+Q200+P200+O200=12,0,IF(V199&gt;$H$199,12-DATEDIF($H$199,V199+1,"m"),IF(V199&lt;$F$199,0,DATEDIF($F$199,V199+1,"m")))))</f>
        <v>0</v>
      </c>
      <c r="W200" s="117">
        <f>IF(IF(M200+N200+O200+U200+V200+T200+S200+R200+Q200+P200=12,0,IF(W199&gt;$H$199,12-DATEDIF($H$199,W199+1,"m"),IF(W199&lt;$F$199,0,DATEDIF($F$199,W199+1,"m"))))&lt;0,0,IF(M200+N200+O200+U200+V200+T200+S200+R200+Q200+P200=12,0,IF(W199&gt;$H$199,12-DATEDIF($H$199,W199+1,"m"),IF(W199&lt;$F$199,0,DATEDIF($F$199,W199+1,"m")))))</f>
        <v>0</v>
      </c>
      <c r="X200" s="117">
        <f>IF(IF(M200+N200+O200+P200+V200+W200+U200+T200+S200+R200+Q200=12,0,IF(X199&gt;$H$199,12-DATEDIF($H$199,X199+1,"m"),IF(X199&lt;$F$199,0,DATEDIF($F$199,X199+1,"m"))))&lt;0,0,IF(M200+N200+O200+P200+V200+W200+U200+T200+S200+R200+Q200=12,0,IF(X199&gt;$H$199,12-DATEDIF($H$199,X199+1,"m"),IF(X199&lt;$F$199,0,DATEDIF($F$199,X199+1,"m")))))</f>
        <v>0</v>
      </c>
      <c r="Y200" s="117">
        <f>IF(IF(M200+N200+O200+P200+Q200+W200+X200+V200+U200+T200+S200+R200=12,0,IF(Y199&gt;$H$199,12-DATEDIF($H$199,Y199+1,"m"),IF(Y199&lt;$F$199,0,DATEDIF($F$199,Y199+1,"m"))))&lt;0,0,IF(M200+N200+O200+P200+Q200+W200+X200+V200+U200+T200+S200+R200=12,0,IF(Y199&gt;$H$199,12-DATEDIF($H$199,Y199+1,"m"),IF(Y199&lt;$F$199,0,DATEDIF($F$199,Y199+1,"m")))))</f>
        <v>0</v>
      </c>
      <c r="Z200" s="117">
        <f>IF(IF(M200+N200+O200+P200+Q200+R200+X200+Y200+W200+V200+U200+T200+S200=12,0,IF(Z199&gt;$H$199,12-DATEDIF($H$199,Z199+1,"m"),IF(Z199&lt;$F$199,0,DATEDIF($F$199,Z199+1,"m"))))&lt;0,0,IF(M200+N200+O200+P200+Q200+R200+X200+Y200+W200+V200+U200+T200+S200=12,0,IF(Z199&gt;$H$199,12-DATEDIF($H$199,Z199+1,"m"),IF(Z199&lt;$F$199,0,DATEDIF($F$199,Z199+1,"m")))))</f>
        <v>0</v>
      </c>
      <c r="AA200" s="117">
        <f>IF(IF(M200+N200+O200+P200+Q200+R200+S200+Y200+Z200+X200+W200+V200+U200+T200=12,0,IF(AA199&gt;$H$199,12-DATEDIF($H$199,AA199+1,"m"),IF(AA199&lt;$F$199,0,DATEDIF($F$199,AA199+1,"m"))))&lt;0,0,IF(M200+N200+O200+P200+Q200+R200+S200+Y200+Z200+X200+W200+V200+U200+T200=12,0,IF(AA199&gt;$H$199,12-DATEDIF($H$199,AA199+1,"m"),IF(AA199&lt;$F$199,0,DATEDIF($F$199,AA199+1,"m")))))</f>
        <v>0</v>
      </c>
      <c r="AB200" s="117">
        <f>IF(IF(M200+N200+O200+P200+Q200+R200+S200+T200+Z200+AA200+Y200+X200+W200+V200+U200=12,0,IF(AB199&gt;$H$199,12-DATEDIF($H$199,AB199+1,"m"),IF(AB199&lt;$F$199,0,DATEDIF($F$199,AB199+1,"m"))))&lt;0,0,IF(M200+N200+O200+P200+Q200+R200+S200+T200+Z200+AA200+Y200+X200+W200+V200+U200=12,0,IF(AB199&gt;$H$199,12-DATEDIF($H$199,AB199+1,"m"),IF(AB199&lt;$F$199,0,DATEDIF($F$199,AB199+1,"m")))))</f>
        <v>0</v>
      </c>
      <c r="AC200" s="117">
        <f>IF(IF(M200+N200+O200+P200+Q200+R200+S200+T200+U200+AA200+AB200+Z200+Y200+X200+W200+V200=12,0,IF(AC199&gt;$H$199,12-DATEDIF($H$199,AC199+1,"m"),IF(AC199&lt;$F$199,0,DATEDIF($F$199,AC199+1,"m"))))&lt;0,0,IF(M200+N200+O200+P200+Q200+R200+S200+T200+U200+AA200+AB200+Z200+Y200+X200+W200+V200=12,0,IF(AC199&gt;$H$199,12-DATEDIF($H$199,AC199+1,"m"),IF(AC199&lt;$F$199,0,DATEDIF($F$199,AC199+1,"m")))))</f>
        <v>0</v>
      </c>
      <c r="AD200" s="117">
        <f>SUM(M200:AC200)</f>
        <v>0</v>
      </c>
    </row>
    <row r="201" spans="1:30" s="155" customFormat="1" ht="3.75" customHeight="1">
      <c r="A201" s="164"/>
      <c r="B201" s="164"/>
      <c r="C201" s="124"/>
      <c r="D201" s="165"/>
      <c r="E201" s="166"/>
      <c r="F201" s="166"/>
      <c r="G201" s="166"/>
      <c r="H201" s="166"/>
      <c r="I201" s="167"/>
      <c r="M201" s="148"/>
      <c r="N201" s="139"/>
      <c r="O201" s="139"/>
      <c r="P201" s="139"/>
      <c r="Q201" s="139"/>
      <c r="R201" s="139"/>
      <c r="S201" s="139"/>
      <c r="T201" s="139"/>
      <c r="U201" s="139"/>
      <c r="V201" s="139"/>
      <c r="W201" s="139"/>
      <c r="X201" s="139"/>
      <c r="Y201" s="139"/>
      <c r="Z201" s="139"/>
      <c r="AA201" s="139"/>
      <c r="AB201" s="139"/>
      <c r="AC201" s="139"/>
      <c r="AD201" s="139"/>
    </row>
    <row r="202" spans="1:30">
      <c r="A202" s="157">
        <f>+A170</f>
        <v>0</v>
      </c>
      <c r="B202" s="158" t="str">
        <f t="shared" ref="B202:B226" si="144">IF(ISNA(VLOOKUP($A202,name_2,$B$9,0)),"",VLOOKUP($A202,name_2,$B$9,0))</f>
        <v>PI</v>
      </c>
      <c r="C202" s="159">
        <f t="shared" ref="C202:C226" si="145">IF(ISNA(VLOOKUP($A202,name_2,$C$9,0)),"",VLOOKUP($A202,name_2,$C$9,0))</f>
        <v>0</v>
      </c>
      <c r="D202" s="160">
        <f t="shared" ref="D202:D226" si="146">IF(ISNA(VLOOKUP($A202,name_2,$D$9,0)),0,VLOOKUP($A202,name_2,$D$9,0))</f>
        <v>0</v>
      </c>
      <c r="E202" s="144">
        <f>IF(ISNA($AD$200*D202),0,$AD$200*D202)</f>
        <v>0</v>
      </c>
      <c r="F202" s="161">
        <f>IF($F$199="No YEAR 7",0,IF(ISNA(VLOOKUP(A202,name_7,$F$9,0)),0,VLOOKUP(A202,name_7,$F$9,0)*(1+'1. SUMMARY'!$C$26)))</f>
        <v>0</v>
      </c>
      <c r="G202" s="146">
        <f>(F202/12)*$AD$200*D202</f>
        <v>0</v>
      </c>
      <c r="H202" s="146">
        <f>IF(ISNA(+AD202),0,AD202)</f>
        <v>0</v>
      </c>
      <c r="I202" s="147">
        <f>SUM(G202:H202)</f>
        <v>0</v>
      </c>
      <c r="M202" s="148">
        <f t="shared" ref="M202:M214" si="147">IF($M$200=0,0,((G202/$AD$200)*$M$200)*VLOOKUP(C202,benefits,2,0))</f>
        <v>0</v>
      </c>
      <c r="N202" s="148">
        <f t="shared" ref="N202:N226" si="148">IF($N$200=0,0,((G202/$AD$200)*$N$200)*VLOOKUP(C202,benefits,3,0))</f>
        <v>0</v>
      </c>
      <c r="O202" s="148">
        <f t="shared" ref="O202:O226" si="149">IF($O$200=0,0,((G202/$AD$200)*$O$200)*VLOOKUP(C202,benefits,4,0))</f>
        <v>0</v>
      </c>
      <c r="P202" s="148">
        <f t="shared" ref="P202:P226" si="150">IF($P$200=0,0,((G202/$AD$200)*$P$200)*VLOOKUP(C202,benefits,5,0))</f>
        <v>0</v>
      </c>
      <c r="Q202" s="148">
        <f t="shared" ref="Q202:Q226" si="151">IF(Q$200=0,0,(($G202/$AD$200)*Q$200)*VLOOKUP(C202,benefits,6,0))</f>
        <v>0</v>
      </c>
      <c r="R202" s="148">
        <f t="shared" ref="R202:R226" si="152">IF(R$200=0,0,(($G202/$AD$200)*R$200)*VLOOKUP(C202,benefits,7,0))</f>
        <v>0</v>
      </c>
      <c r="S202" s="148">
        <f t="shared" ref="S202:S226" si="153">IF(S$200=0,0,(($G202/$AD$200)*S$200)*VLOOKUP(C202,benefits,8,0))</f>
        <v>0</v>
      </c>
      <c r="T202" s="148">
        <f t="shared" ref="T202:T226" si="154">IF(T$200=0,0,(($G202/$AD$200)*T$200)*VLOOKUP(C202,benefits,9,0))</f>
        <v>0</v>
      </c>
      <c r="U202" s="148">
        <f t="shared" ref="U202:AC211" si="155">IF(U$200=0,0,(($G202/$AD$200)*U$200)*VLOOKUP($C202,benefits,10,0))</f>
        <v>0</v>
      </c>
      <c r="V202" s="148">
        <f t="shared" si="155"/>
        <v>0</v>
      </c>
      <c r="W202" s="148">
        <f t="shared" si="155"/>
        <v>0</v>
      </c>
      <c r="X202" s="148">
        <f t="shared" si="155"/>
        <v>0</v>
      </c>
      <c r="Y202" s="148">
        <f t="shared" si="155"/>
        <v>0</v>
      </c>
      <c r="Z202" s="148">
        <f t="shared" si="155"/>
        <v>0</v>
      </c>
      <c r="AA202" s="148">
        <f t="shared" si="155"/>
        <v>0</v>
      </c>
      <c r="AB202" s="148">
        <f t="shared" si="155"/>
        <v>0</v>
      </c>
      <c r="AC202" s="148">
        <f t="shared" si="155"/>
        <v>0</v>
      </c>
      <c r="AD202" s="148">
        <f>SUM(M202:AC202)</f>
        <v>0</v>
      </c>
    </row>
    <row r="203" spans="1:30">
      <c r="A203" s="140">
        <f>+A171</f>
        <v>0</v>
      </c>
      <c r="B203" s="162" t="str">
        <f t="shared" si="144"/>
        <v>PI</v>
      </c>
      <c r="C203" s="159">
        <f t="shared" si="145"/>
        <v>0</v>
      </c>
      <c r="D203" s="160">
        <f t="shared" si="146"/>
        <v>0</v>
      </c>
      <c r="E203" s="144">
        <f t="shared" ref="E203:E226" si="156">IF(ISNA($AD$200*D203),0,$AD$200*D203)</f>
        <v>0</v>
      </c>
      <c r="F203" s="161">
        <f>IF($F$199="No YEAR 7",0,IF(ISNA(VLOOKUP(A203,name_7,$F$9,0)),0,VLOOKUP(A203,name_7,$F$9,0)*(1+'1. SUMMARY'!$C$26)))</f>
        <v>0</v>
      </c>
      <c r="G203" s="146">
        <f t="shared" ref="G203:G226" si="157">(F203/12)*$AD$200*D203</f>
        <v>0</v>
      </c>
      <c r="H203" s="146">
        <f t="shared" ref="H203:H226" si="158">IF(ISNA(+AD203),0,AD203)</f>
        <v>0</v>
      </c>
      <c r="I203" s="147">
        <f t="shared" ref="I203:I226" si="159">SUM(G203:H203)</f>
        <v>0</v>
      </c>
      <c r="M203" s="148">
        <f t="shared" si="147"/>
        <v>0</v>
      </c>
      <c r="N203" s="148">
        <f t="shared" si="148"/>
        <v>0</v>
      </c>
      <c r="O203" s="148">
        <f t="shared" si="149"/>
        <v>0</v>
      </c>
      <c r="P203" s="148">
        <f t="shared" si="150"/>
        <v>0</v>
      </c>
      <c r="Q203" s="148">
        <f t="shared" si="151"/>
        <v>0</v>
      </c>
      <c r="R203" s="148">
        <f t="shared" si="152"/>
        <v>0</v>
      </c>
      <c r="S203" s="148">
        <f t="shared" si="153"/>
        <v>0</v>
      </c>
      <c r="T203" s="148">
        <f t="shared" si="154"/>
        <v>0</v>
      </c>
      <c r="U203" s="148">
        <f t="shared" si="155"/>
        <v>0</v>
      </c>
      <c r="V203" s="148">
        <f t="shared" si="155"/>
        <v>0</v>
      </c>
      <c r="W203" s="148">
        <f t="shared" si="155"/>
        <v>0</v>
      </c>
      <c r="X203" s="148">
        <f t="shared" si="155"/>
        <v>0</v>
      </c>
      <c r="Y203" s="148">
        <f t="shared" si="155"/>
        <v>0</v>
      </c>
      <c r="Z203" s="148">
        <f t="shared" si="155"/>
        <v>0</v>
      </c>
      <c r="AA203" s="148">
        <f t="shared" si="155"/>
        <v>0</v>
      </c>
      <c r="AB203" s="148">
        <f t="shared" si="155"/>
        <v>0</v>
      </c>
      <c r="AC203" s="148">
        <f t="shared" si="155"/>
        <v>0</v>
      </c>
      <c r="AD203" s="148">
        <f t="shared" ref="AD203:AD226" si="160">SUM(M203:AC203)</f>
        <v>0</v>
      </c>
    </row>
    <row r="204" spans="1:30">
      <c r="A204" s="140">
        <f t="shared" ref="A204:A226" si="161">+A172</f>
        <v>0</v>
      </c>
      <c r="B204" s="162" t="str">
        <f t="shared" si="144"/>
        <v>PI</v>
      </c>
      <c r="C204" s="159">
        <f t="shared" si="145"/>
        <v>0</v>
      </c>
      <c r="D204" s="160">
        <f t="shared" si="146"/>
        <v>0</v>
      </c>
      <c r="E204" s="144">
        <f t="shared" si="156"/>
        <v>0</v>
      </c>
      <c r="F204" s="161">
        <f>IF($F$199="No YEAR 7",0,IF(ISNA(VLOOKUP(A204,name_7,$F$9,0)),0,VLOOKUP(A204,name_7,$F$9,0)*(1+'1. SUMMARY'!$C$26)))</f>
        <v>0</v>
      </c>
      <c r="G204" s="146">
        <f t="shared" si="157"/>
        <v>0</v>
      </c>
      <c r="H204" s="146">
        <f t="shared" si="158"/>
        <v>0</v>
      </c>
      <c r="I204" s="147">
        <f t="shared" si="159"/>
        <v>0</v>
      </c>
      <c r="M204" s="148">
        <f t="shared" si="147"/>
        <v>0</v>
      </c>
      <c r="N204" s="148">
        <f t="shared" si="148"/>
        <v>0</v>
      </c>
      <c r="O204" s="148">
        <f t="shared" si="149"/>
        <v>0</v>
      </c>
      <c r="P204" s="148">
        <f t="shared" si="150"/>
        <v>0</v>
      </c>
      <c r="Q204" s="148">
        <f t="shared" si="151"/>
        <v>0</v>
      </c>
      <c r="R204" s="148">
        <f t="shared" si="152"/>
        <v>0</v>
      </c>
      <c r="S204" s="148">
        <f t="shared" si="153"/>
        <v>0</v>
      </c>
      <c r="T204" s="148">
        <f t="shared" si="154"/>
        <v>0</v>
      </c>
      <c r="U204" s="148">
        <f t="shared" si="155"/>
        <v>0</v>
      </c>
      <c r="V204" s="148">
        <f t="shared" si="155"/>
        <v>0</v>
      </c>
      <c r="W204" s="148">
        <f t="shared" si="155"/>
        <v>0</v>
      </c>
      <c r="X204" s="148">
        <f t="shared" si="155"/>
        <v>0</v>
      </c>
      <c r="Y204" s="148">
        <f t="shared" si="155"/>
        <v>0</v>
      </c>
      <c r="Z204" s="148">
        <f t="shared" si="155"/>
        <v>0</v>
      </c>
      <c r="AA204" s="148">
        <f t="shared" si="155"/>
        <v>0</v>
      </c>
      <c r="AB204" s="148">
        <f t="shared" si="155"/>
        <v>0</v>
      </c>
      <c r="AC204" s="148">
        <f t="shared" si="155"/>
        <v>0</v>
      </c>
      <c r="AD204" s="148">
        <f t="shared" si="160"/>
        <v>0</v>
      </c>
    </row>
    <row r="205" spans="1:30">
      <c r="A205" s="140">
        <f t="shared" si="161"/>
        <v>0</v>
      </c>
      <c r="B205" s="162" t="str">
        <f t="shared" si="144"/>
        <v>PI</v>
      </c>
      <c r="C205" s="159">
        <f t="shared" si="145"/>
        <v>0</v>
      </c>
      <c r="D205" s="160">
        <f t="shared" si="146"/>
        <v>0</v>
      </c>
      <c r="E205" s="144">
        <f t="shared" si="156"/>
        <v>0</v>
      </c>
      <c r="F205" s="161">
        <f>IF($F$199="No YEAR 7",0,IF(ISNA(VLOOKUP(A205,name_7,$F$9,0)),0,VLOOKUP(A205,name_7,$F$9,0)*(1+'1. SUMMARY'!$C$26)))</f>
        <v>0</v>
      </c>
      <c r="G205" s="146">
        <f t="shared" si="157"/>
        <v>0</v>
      </c>
      <c r="H205" s="146">
        <f t="shared" si="158"/>
        <v>0</v>
      </c>
      <c r="I205" s="147">
        <f t="shared" si="159"/>
        <v>0</v>
      </c>
      <c r="M205" s="148">
        <f t="shared" si="147"/>
        <v>0</v>
      </c>
      <c r="N205" s="148">
        <f t="shared" si="148"/>
        <v>0</v>
      </c>
      <c r="O205" s="148">
        <f t="shared" si="149"/>
        <v>0</v>
      </c>
      <c r="P205" s="148">
        <f t="shared" si="150"/>
        <v>0</v>
      </c>
      <c r="Q205" s="148">
        <f t="shared" si="151"/>
        <v>0</v>
      </c>
      <c r="R205" s="148">
        <f t="shared" si="152"/>
        <v>0</v>
      </c>
      <c r="S205" s="148">
        <f t="shared" si="153"/>
        <v>0</v>
      </c>
      <c r="T205" s="148">
        <f t="shared" si="154"/>
        <v>0</v>
      </c>
      <c r="U205" s="148">
        <f t="shared" si="155"/>
        <v>0</v>
      </c>
      <c r="V205" s="148">
        <f t="shared" si="155"/>
        <v>0</v>
      </c>
      <c r="W205" s="148">
        <f t="shared" si="155"/>
        <v>0</v>
      </c>
      <c r="X205" s="148">
        <f t="shared" si="155"/>
        <v>0</v>
      </c>
      <c r="Y205" s="148">
        <f t="shared" si="155"/>
        <v>0</v>
      </c>
      <c r="Z205" s="148">
        <f t="shared" si="155"/>
        <v>0</v>
      </c>
      <c r="AA205" s="148">
        <f t="shared" si="155"/>
        <v>0</v>
      </c>
      <c r="AB205" s="148">
        <f t="shared" si="155"/>
        <v>0</v>
      </c>
      <c r="AC205" s="148">
        <f t="shared" si="155"/>
        <v>0</v>
      </c>
      <c r="AD205" s="148">
        <f t="shared" si="160"/>
        <v>0</v>
      </c>
    </row>
    <row r="206" spans="1:30">
      <c r="A206" s="140">
        <f t="shared" si="161"/>
        <v>0</v>
      </c>
      <c r="B206" s="162" t="str">
        <f t="shared" si="144"/>
        <v>PI</v>
      </c>
      <c r="C206" s="159">
        <f t="shared" si="145"/>
        <v>0</v>
      </c>
      <c r="D206" s="160">
        <f t="shared" si="146"/>
        <v>0</v>
      </c>
      <c r="E206" s="144">
        <f t="shared" si="156"/>
        <v>0</v>
      </c>
      <c r="F206" s="161">
        <f>IF($F$199="No YEAR 7",0,IF(ISNA(VLOOKUP(A206,name_7,$F$9,0)),0,VLOOKUP(A206,name_7,$F$9,0)*(1+'1. SUMMARY'!$C$26)))</f>
        <v>0</v>
      </c>
      <c r="G206" s="146">
        <f t="shared" si="157"/>
        <v>0</v>
      </c>
      <c r="H206" s="146">
        <f t="shared" si="158"/>
        <v>0</v>
      </c>
      <c r="I206" s="147">
        <f t="shared" si="159"/>
        <v>0</v>
      </c>
      <c r="M206" s="148">
        <f t="shared" si="147"/>
        <v>0</v>
      </c>
      <c r="N206" s="148">
        <f t="shared" si="148"/>
        <v>0</v>
      </c>
      <c r="O206" s="148">
        <f t="shared" si="149"/>
        <v>0</v>
      </c>
      <c r="P206" s="148">
        <f t="shared" si="150"/>
        <v>0</v>
      </c>
      <c r="Q206" s="148">
        <f t="shared" si="151"/>
        <v>0</v>
      </c>
      <c r="R206" s="148">
        <f t="shared" si="152"/>
        <v>0</v>
      </c>
      <c r="S206" s="148">
        <f t="shared" si="153"/>
        <v>0</v>
      </c>
      <c r="T206" s="148">
        <f t="shared" si="154"/>
        <v>0</v>
      </c>
      <c r="U206" s="148">
        <f t="shared" si="155"/>
        <v>0</v>
      </c>
      <c r="V206" s="148">
        <f t="shared" si="155"/>
        <v>0</v>
      </c>
      <c r="W206" s="148">
        <f t="shared" si="155"/>
        <v>0</v>
      </c>
      <c r="X206" s="148">
        <f t="shared" si="155"/>
        <v>0</v>
      </c>
      <c r="Y206" s="148">
        <f t="shared" si="155"/>
        <v>0</v>
      </c>
      <c r="Z206" s="148">
        <f t="shared" si="155"/>
        <v>0</v>
      </c>
      <c r="AA206" s="148">
        <f t="shared" si="155"/>
        <v>0</v>
      </c>
      <c r="AB206" s="148">
        <f t="shared" si="155"/>
        <v>0</v>
      </c>
      <c r="AC206" s="148">
        <f t="shared" si="155"/>
        <v>0</v>
      </c>
      <c r="AD206" s="148">
        <f t="shared" si="160"/>
        <v>0</v>
      </c>
    </row>
    <row r="207" spans="1:30">
      <c r="A207" s="140">
        <f t="shared" si="161"/>
        <v>0</v>
      </c>
      <c r="B207" s="162" t="str">
        <f t="shared" si="144"/>
        <v>PI</v>
      </c>
      <c r="C207" s="159">
        <f t="shared" si="145"/>
        <v>0</v>
      </c>
      <c r="D207" s="160">
        <f t="shared" si="146"/>
        <v>0</v>
      </c>
      <c r="E207" s="144">
        <f t="shared" si="156"/>
        <v>0</v>
      </c>
      <c r="F207" s="161">
        <f>IF($F$199="No YEAR 7",0,IF(ISNA(VLOOKUP(A207,name_7,$F$9,0)),0,VLOOKUP(A207,name_7,$F$9,0)*(1+'1. SUMMARY'!$C$26)))</f>
        <v>0</v>
      </c>
      <c r="G207" s="146">
        <f t="shared" si="157"/>
        <v>0</v>
      </c>
      <c r="H207" s="146">
        <f t="shared" si="158"/>
        <v>0</v>
      </c>
      <c r="I207" s="147">
        <f t="shared" si="159"/>
        <v>0</v>
      </c>
      <c r="M207" s="148">
        <f t="shared" si="147"/>
        <v>0</v>
      </c>
      <c r="N207" s="148">
        <f t="shared" si="148"/>
        <v>0</v>
      </c>
      <c r="O207" s="148">
        <f t="shared" si="149"/>
        <v>0</v>
      </c>
      <c r="P207" s="148">
        <f t="shared" si="150"/>
        <v>0</v>
      </c>
      <c r="Q207" s="148">
        <f t="shared" si="151"/>
        <v>0</v>
      </c>
      <c r="R207" s="148">
        <f t="shared" si="152"/>
        <v>0</v>
      </c>
      <c r="S207" s="148">
        <f t="shared" si="153"/>
        <v>0</v>
      </c>
      <c r="T207" s="148">
        <f t="shared" si="154"/>
        <v>0</v>
      </c>
      <c r="U207" s="148">
        <f t="shared" si="155"/>
        <v>0</v>
      </c>
      <c r="V207" s="148">
        <f t="shared" si="155"/>
        <v>0</v>
      </c>
      <c r="W207" s="148">
        <f t="shared" si="155"/>
        <v>0</v>
      </c>
      <c r="X207" s="148">
        <f t="shared" si="155"/>
        <v>0</v>
      </c>
      <c r="Y207" s="148">
        <f t="shared" si="155"/>
        <v>0</v>
      </c>
      <c r="Z207" s="148">
        <f t="shared" si="155"/>
        <v>0</v>
      </c>
      <c r="AA207" s="148">
        <f t="shared" si="155"/>
        <v>0</v>
      </c>
      <c r="AB207" s="148">
        <f t="shared" si="155"/>
        <v>0</v>
      </c>
      <c r="AC207" s="148">
        <f t="shared" si="155"/>
        <v>0</v>
      </c>
      <c r="AD207" s="148">
        <f t="shared" si="160"/>
        <v>0</v>
      </c>
    </row>
    <row r="208" spans="1:30">
      <c r="A208" s="140">
        <f t="shared" si="161"/>
        <v>0</v>
      </c>
      <c r="B208" s="162" t="str">
        <f t="shared" si="144"/>
        <v>PI</v>
      </c>
      <c r="C208" s="159">
        <f t="shared" si="145"/>
        <v>0</v>
      </c>
      <c r="D208" s="160">
        <f t="shared" si="146"/>
        <v>0</v>
      </c>
      <c r="E208" s="144">
        <f t="shared" si="156"/>
        <v>0</v>
      </c>
      <c r="F208" s="161">
        <f>IF($F$199="No YEAR 7",0,IF(ISNA(VLOOKUP(A208,name_7,$F$9,0)),0,VLOOKUP(A208,name_7,$F$9,0)*(1+'1. SUMMARY'!$C$26)))</f>
        <v>0</v>
      </c>
      <c r="G208" s="146">
        <f t="shared" si="157"/>
        <v>0</v>
      </c>
      <c r="H208" s="146">
        <f t="shared" si="158"/>
        <v>0</v>
      </c>
      <c r="I208" s="147">
        <f t="shared" si="159"/>
        <v>0</v>
      </c>
      <c r="M208" s="148">
        <f t="shared" si="147"/>
        <v>0</v>
      </c>
      <c r="N208" s="148">
        <f t="shared" si="148"/>
        <v>0</v>
      </c>
      <c r="O208" s="148">
        <f t="shared" si="149"/>
        <v>0</v>
      </c>
      <c r="P208" s="148">
        <f t="shared" si="150"/>
        <v>0</v>
      </c>
      <c r="Q208" s="148">
        <f t="shared" si="151"/>
        <v>0</v>
      </c>
      <c r="R208" s="148">
        <f t="shared" si="152"/>
        <v>0</v>
      </c>
      <c r="S208" s="148">
        <f t="shared" si="153"/>
        <v>0</v>
      </c>
      <c r="T208" s="148">
        <f t="shared" si="154"/>
        <v>0</v>
      </c>
      <c r="U208" s="148">
        <f t="shared" si="155"/>
        <v>0</v>
      </c>
      <c r="V208" s="148">
        <f t="shared" si="155"/>
        <v>0</v>
      </c>
      <c r="W208" s="148">
        <f t="shared" si="155"/>
        <v>0</v>
      </c>
      <c r="X208" s="148">
        <f t="shared" si="155"/>
        <v>0</v>
      </c>
      <c r="Y208" s="148">
        <f t="shared" si="155"/>
        <v>0</v>
      </c>
      <c r="Z208" s="148">
        <f t="shared" si="155"/>
        <v>0</v>
      </c>
      <c r="AA208" s="148">
        <f t="shared" si="155"/>
        <v>0</v>
      </c>
      <c r="AB208" s="148">
        <f t="shared" si="155"/>
        <v>0</v>
      </c>
      <c r="AC208" s="148">
        <f t="shared" si="155"/>
        <v>0</v>
      </c>
      <c r="AD208" s="148">
        <f t="shared" si="160"/>
        <v>0</v>
      </c>
    </row>
    <row r="209" spans="1:30">
      <c r="A209" s="140">
        <f t="shared" si="161"/>
        <v>0</v>
      </c>
      <c r="B209" s="162" t="str">
        <f t="shared" si="144"/>
        <v>PI</v>
      </c>
      <c r="C209" s="159">
        <f t="shared" si="145"/>
        <v>0</v>
      </c>
      <c r="D209" s="160">
        <f t="shared" si="146"/>
        <v>0</v>
      </c>
      <c r="E209" s="144">
        <f t="shared" si="156"/>
        <v>0</v>
      </c>
      <c r="F209" s="161">
        <f>IF($F$199="No YEAR 7",0,IF(ISNA(VLOOKUP(A209,name_7,$F$9,0)),0,VLOOKUP(A209,name_7,$F$9,0)*(1+'1. SUMMARY'!$C$26)))</f>
        <v>0</v>
      </c>
      <c r="G209" s="146">
        <f t="shared" si="157"/>
        <v>0</v>
      </c>
      <c r="H209" s="146">
        <f t="shared" si="158"/>
        <v>0</v>
      </c>
      <c r="I209" s="147">
        <f t="shared" si="159"/>
        <v>0</v>
      </c>
      <c r="M209" s="148">
        <f t="shared" si="147"/>
        <v>0</v>
      </c>
      <c r="N209" s="148">
        <f t="shared" si="148"/>
        <v>0</v>
      </c>
      <c r="O209" s="148">
        <f t="shared" si="149"/>
        <v>0</v>
      </c>
      <c r="P209" s="148">
        <f t="shared" si="150"/>
        <v>0</v>
      </c>
      <c r="Q209" s="148">
        <f t="shared" si="151"/>
        <v>0</v>
      </c>
      <c r="R209" s="148">
        <f t="shared" si="152"/>
        <v>0</v>
      </c>
      <c r="S209" s="148">
        <f t="shared" si="153"/>
        <v>0</v>
      </c>
      <c r="T209" s="148">
        <f t="shared" si="154"/>
        <v>0</v>
      </c>
      <c r="U209" s="148">
        <f t="shared" si="155"/>
        <v>0</v>
      </c>
      <c r="V209" s="148">
        <f t="shared" si="155"/>
        <v>0</v>
      </c>
      <c r="W209" s="148">
        <f t="shared" si="155"/>
        <v>0</v>
      </c>
      <c r="X209" s="148">
        <f t="shared" si="155"/>
        <v>0</v>
      </c>
      <c r="Y209" s="148">
        <f t="shared" si="155"/>
        <v>0</v>
      </c>
      <c r="Z209" s="148">
        <f t="shared" si="155"/>
        <v>0</v>
      </c>
      <c r="AA209" s="148">
        <f t="shared" si="155"/>
        <v>0</v>
      </c>
      <c r="AB209" s="148">
        <f t="shared" si="155"/>
        <v>0</v>
      </c>
      <c r="AC209" s="148">
        <f t="shared" si="155"/>
        <v>0</v>
      </c>
      <c r="AD209" s="148">
        <f t="shared" si="160"/>
        <v>0</v>
      </c>
    </row>
    <row r="210" spans="1:30">
      <c r="A210" s="140">
        <f t="shared" si="161"/>
        <v>0</v>
      </c>
      <c r="B210" s="162" t="str">
        <f t="shared" si="144"/>
        <v>PI</v>
      </c>
      <c r="C210" s="159">
        <f t="shared" si="145"/>
        <v>0</v>
      </c>
      <c r="D210" s="160">
        <f t="shared" si="146"/>
        <v>0</v>
      </c>
      <c r="E210" s="144">
        <f t="shared" si="156"/>
        <v>0</v>
      </c>
      <c r="F210" s="161">
        <f>IF($F$199="No YEAR 7",0,IF(ISNA(VLOOKUP(A210,name_7,$F$9,0)),0,VLOOKUP(A210,name_7,$F$9,0)*(1+'1. SUMMARY'!$C$26)))</f>
        <v>0</v>
      </c>
      <c r="G210" s="146">
        <f t="shared" si="157"/>
        <v>0</v>
      </c>
      <c r="H210" s="146">
        <f t="shared" si="158"/>
        <v>0</v>
      </c>
      <c r="I210" s="147">
        <f t="shared" si="159"/>
        <v>0</v>
      </c>
      <c r="M210" s="148">
        <f t="shared" si="147"/>
        <v>0</v>
      </c>
      <c r="N210" s="148">
        <f t="shared" si="148"/>
        <v>0</v>
      </c>
      <c r="O210" s="148">
        <f t="shared" si="149"/>
        <v>0</v>
      </c>
      <c r="P210" s="148">
        <f t="shared" si="150"/>
        <v>0</v>
      </c>
      <c r="Q210" s="148">
        <f t="shared" si="151"/>
        <v>0</v>
      </c>
      <c r="R210" s="148">
        <f t="shared" si="152"/>
        <v>0</v>
      </c>
      <c r="S210" s="148">
        <f t="shared" si="153"/>
        <v>0</v>
      </c>
      <c r="T210" s="148">
        <f t="shared" si="154"/>
        <v>0</v>
      </c>
      <c r="U210" s="148">
        <f t="shared" si="155"/>
        <v>0</v>
      </c>
      <c r="V210" s="148">
        <f t="shared" si="155"/>
        <v>0</v>
      </c>
      <c r="W210" s="148">
        <f t="shared" si="155"/>
        <v>0</v>
      </c>
      <c r="X210" s="148">
        <f t="shared" si="155"/>
        <v>0</v>
      </c>
      <c r="Y210" s="148">
        <f t="shared" si="155"/>
        <v>0</v>
      </c>
      <c r="Z210" s="148">
        <f t="shared" si="155"/>
        <v>0</v>
      </c>
      <c r="AA210" s="148">
        <f t="shared" si="155"/>
        <v>0</v>
      </c>
      <c r="AB210" s="148">
        <f t="shared" si="155"/>
        <v>0</v>
      </c>
      <c r="AC210" s="148">
        <f t="shared" si="155"/>
        <v>0</v>
      </c>
      <c r="AD210" s="148">
        <f t="shared" si="160"/>
        <v>0</v>
      </c>
    </row>
    <row r="211" spans="1:30">
      <c r="A211" s="140">
        <f t="shared" si="161"/>
        <v>0</v>
      </c>
      <c r="B211" s="162" t="str">
        <f t="shared" si="144"/>
        <v>PI</v>
      </c>
      <c r="C211" s="159">
        <f t="shared" si="145"/>
        <v>0</v>
      </c>
      <c r="D211" s="160">
        <f t="shared" si="146"/>
        <v>0</v>
      </c>
      <c r="E211" s="144">
        <f t="shared" si="156"/>
        <v>0</v>
      </c>
      <c r="F211" s="161">
        <f>IF($F$199="No YEAR 7",0,IF(ISNA(VLOOKUP(A211,name_7,$F$9,0)),0,VLOOKUP(A211,name_7,$F$9,0)*(1+'1. SUMMARY'!$C$26)))</f>
        <v>0</v>
      </c>
      <c r="G211" s="146">
        <f t="shared" si="157"/>
        <v>0</v>
      </c>
      <c r="H211" s="146">
        <f t="shared" si="158"/>
        <v>0</v>
      </c>
      <c r="I211" s="147">
        <f t="shared" si="159"/>
        <v>0</v>
      </c>
      <c r="M211" s="148">
        <f t="shared" si="147"/>
        <v>0</v>
      </c>
      <c r="N211" s="148">
        <f t="shared" si="148"/>
        <v>0</v>
      </c>
      <c r="O211" s="148">
        <f t="shared" si="149"/>
        <v>0</v>
      </c>
      <c r="P211" s="148">
        <f t="shared" si="150"/>
        <v>0</v>
      </c>
      <c r="Q211" s="148">
        <f t="shared" si="151"/>
        <v>0</v>
      </c>
      <c r="R211" s="148">
        <f t="shared" si="152"/>
        <v>0</v>
      </c>
      <c r="S211" s="148">
        <f t="shared" si="153"/>
        <v>0</v>
      </c>
      <c r="T211" s="148">
        <f t="shared" si="154"/>
        <v>0</v>
      </c>
      <c r="U211" s="148">
        <f t="shared" si="155"/>
        <v>0</v>
      </c>
      <c r="V211" s="148">
        <f t="shared" si="155"/>
        <v>0</v>
      </c>
      <c r="W211" s="148">
        <f t="shared" si="155"/>
        <v>0</v>
      </c>
      <c r="X211" s="148">
        <f t="shared" si="155"/>
        <v>0</v>
      </c>
      <c r="Y211" s="148">
        <f t="shared" si="155"/>
        <v>0</v>
      </c>
      <c r="Z211" s="148">
        <f t="shared" si="155"/>
        <v>0</v>
      </c>
      <c r="AA211" s="148">
        <f t="shared" si="155"/>
        <v>0</v>
      </c>
      <c r="AB211" s="148">
        <f t="shared" si="155"/>
        <v>0</v>
      </c>
      <c r="AC211" s="148">
        <f t="shared" si="155"/>
        <v>0</v>
      </c>
      <c r="AD211" s="148">
        <f t="shared" si="160"/>
        <v>0</v>
      </c>
    </row>
    <row r="212" spans="1:30">
      <c r="A212" s="140">
        <f t="shared" si="161"/>
        <v>0</v>
      </c>
      <c r="B212" s="162" t="str">
        <f t="shared" si="144"/>
        <v>PI</v>
      </c>
      <c r="C212" s="159">
        <f t="shared" si="145"/>
        <v>0</v>
      </c>
      <c r="D212" s="160">
        <f t="shared" si="146"/>
        <v>0</v>
      </c>
      <c r="E212" s="144">
        <f t="shared" si="156"/>
        <v>0</v>
      </c>
      <c r="F212" s="161">
        <f>IF($F$199="No YEAR 7",0,IF(ISNA(VLOOKUP(A212,name_7,$F$9,0)),0,VLOOKUP(A212,name_7,$F$9,0)*(1+'1. SUMMARY'!$C$26)))</f>
        <v>0</v>
      </c>
      <c r="G212" s="146">
        <f t="shared" si="157"/>
        <v>0</v>
      </c>
      <c r="H212" s="146">
        <f t="shared" si="158"/>
        <v>0</v>
      </c>
      <c r="I212" s="147">
        <f t="shared" si="159"/>
        <v>0</v>
      </c>
      <c r="M212" s="148">
        <f t="shared" si="147"/>
        <v>0</v>
      </c>
      <c r="N212" s="148">
        <f t="shared" si="148"/>
        <v>0</v>
      </c>
      <c r="O212" s="148">
        <f t="shared" si="149"/>
        <v>0</v>
      </c>
      <c r="P212" s="148">
        <f t="shared" si="150"/>
        <v>0</v>
      </c>
      <c r="Q212" s="148">
        <f t="shared" si="151"/>
        <v>0</v>
      </c>
      <c r="R212" s="148">
        <f t="shared" si="152"/>
        <v>0</v>
      </c>
      <c r="S212" s="148">
        <f t="shared" si="153"/>
        <v>0</v>
      </c>
      <c r="T212" s="148">
        <f t="shared" si="154"/>
        <v>0</v>
      </c>
      <c r="U212" s="148">
        <f t="shared" ref="U212:AC226" si="162">IF(U$200=0,0,(($G212/$AD$200)*U$200)*VLOOKUP($C212,benefits,10,0))</f>
        <v>0</v>
      </c>
      <c r="V212" s="148">
        <f t="shared" si="162"/>
        <v>0</v>
      </c>
      <c r="W212" s="148">
        <f t="shared" si="162"/>
        <v>0</v>
      </c>
      <c r="X212" s="148">
        <f t="shared" si="162"/>
        <v>0</v>
      </c>
      <c r="Y212" s="148">
        <f t="shared" si="162"/>
        <v>0</v>
      </c>
      <c r="Z212" s="148">
        <f t="shared" si="162"/>
        <v>0</v>
      </c>
      <c r="AA212" s="148">
        <f t="shared" si="162"/>
        <v>0</v>
      </c>
      <c r="AB212" s="148">
        <f t="shared" si="162"/>
        <v>0</v>
      </c>
      <c r="AC212" s="148">
        <f t="shared" si="162"/>
        <v>0</v>
      </c>
      <c r="AD212" s="148">
        <f t="shared" si="160"/>
        <v>0</v>
      </c>
    </row>
    <row r="213" spans="1:30">
      <c r="A213" s="140">
        <f t="shared" si="161"/>
        <v>0</v>
      </c>
      <c r="B213" s="162" t="str">
        <f t="shared" si="144"/>
        <v>PI</v>
      </c>
      <c r="C213" s="159">
        <f t="shared" si="145"/>
        <v>0</v>
      </c>
      <c r="D213" s="160">
        <f t="shared" si="146"/>
        <v>0</v>
      </c>
      <c r="E213" s="144">
        <f t="shared" si="156"/>
        <v>0</v>
      </c>
      <c r="F213" s="161">
        <f>IF($F$199="No YEAR 7",0,IF(ISNA(VLOOKUP(A213,name_7,$F$9,0)),0,VLOOKUP(A213,name_7,$F$9,0)*(1+'1. SUMMARY'!$C$26)))</f>
        <v>0</v>
      </c>
      <c r="G213" s="146">
        <f t="shared" si="157"/>
        <v>0</v>
      </c>
      <c r="H213" s="146">
        <f t="shared" si="158"/>
        <v>0</v>
      </c>
      <c r="I213" s="147">
        <f t="shared" si="159"/>
        <v>0</v>
      </c>
      <c r="M213" s="148">
        <f t="shared" si="147"/>
        <v>0</v>
      </c>
      <c r="N213" s="148">
        <f t="shared" si="148"/>
        <v>0</v>
      </c>
      <c r="O213" s="148">
        <f t="shared" si="149"/>
        <v>0</v>
      </c>
      <c r="P213" s="148">
        <f t="shared" si="150"/>
        <v>0</v>
      </c>
      <c r="Q213" s="148">
        <f t="shared" si="151"/>
        <v>0</v>
      </c>
      <c r="R213" s="148">
        <f t="shared" si="152"/>
        <v>0</v>
      </c>
      <c r="S213" s="148">
        <f t="shared" si="153"/>
        <v>0</v>
      </c>
      <c r="T213" s="148">
        <f t="shared" si="154"/>
        <v>0</v>
      </c>
      <c r="U213" s="148">
        <f t="shared" si="162"/>
        <v>0</v>
      </c>
      <c r="V213" s="148">
        <f t="shared" si="162"/>
        <v>0</v>
      </c>
      <c r="W213" s="148">
        <f t="shared" si="162"/>
        <v>0</v>
      </c>
      <c r="X213" s="148">
        <f t="shared" si="162"/>
        <v>0</v>
      </c>
      <c r="Y213" s="148">
        <f t="shared" si="162"/>
        <v>0</v>
      </c>
      <c r="Z213" s="148">
        <f t="shared" si="162"/>
        <v>0</v>
      </c>
      <c r="AA213" s="148">
        <f t="shared" si="162"/>
        <v>0</v>
      </c>
      <c r="AB213" s="148">
        <f t="shared" si="162"/>
        <v>0</v>
      </c>
      <c r="AC213" s="148">
        <f t="shared" si="162"/>
        <v>0</v>
      </c>
      <c r="AD213" s="148">
        <f t="shared" si="160"/>
        <v>0</v>
      </c>
    </row>
    <row r="214" spans="1:30">
      <c r="A214" s="140">
        <f t="shared" si="161"/>
        <v>0</v>
      </c>
      <c r="B214" s="162" t="str">
        <f t="shared" si="144"/>
        <v>PI</v>
      </c>
      <c r="C214" s="159">
        <f t="shared" si="145"/>
        <v>0</v>
      </c>
      <c r="D214" s="160">
        <f t="shared" si="146"/>
        <v>0</v>
      </c>
      <c r="E214" s="144">
        <f t="shared" si="156"/>
        <v>0</v>
      </c>
      <c r="F214" s="161">
        <f>IF($F$199="No YEAR 7",0,IF(ISNA(VLOOKUP(A214,name_7,$F$9,0)),0,VLOOKUP(A214,name_7,$F$9,0)*(1+'1. SUMMARY'!$C$26)))</f>
        <v>0</v>
      </c>
      <c r="G214" s="146">
        <f t="shared" si="157"/>
        <v>0</v>
      </c>
      <c r="H214" s="146">
        <f t="shared" si="158"/>
        <v>0</v>
      </c>
      <c r="I214" s="147">
        <f t="shared" si="159"/>
        <v>0</v>
      </c>
      <c r="M214" s="148">
        <f t="shared" si="147"/>
        <v>0</v>
      </c>
      <c r="N214" s="148">
        <f t="shared" si="148"/>
        <v>0</v>
      </c>
      <c r="O214" s="148">
        <f t="shared" si="149"/>
        <v>0</v>
      </c>
      <c r="P214" s="148">
        <f t="shared" si="150"/>
        <v>0</v>
      </c>
      <c r="Q214" s="148">
        <f t="shared" si="151"/>
        <v>0</v>
      </c>
      <c r="R214" s="148">
        <f t="shared" si="152"/>
        <v>0</v>
      </c>
      <c r="S214" s="148">
        <f t="shared" si="153"/>
        <v>0</v>
      </c>
      <c r="T214" s="148">
        <f t="shared" si="154"/>
        <v>0</v>
      </c>
      <c r="U214" s="148">
        <f t="shared" si="162"/>
        <v>0</v>
      </c>
      <c r="V214" s="148">
        <f t="shared" si="162"/>
        <v>0</v>
      </c>
      <c r="W214" s="148">
        <f t="shared" si="162"/>
        <v>0</v>
      </c>
      <c r="X214" s="148">
        <f t="shared" si="162"/>
        <v>0</v>
      </c>
      <c r="Y214" s="148">
        <f t="shared" si="162"/>
        <v>0</v>
      </c>
      <c r="Z214" s="148">
        <f t="shared" si="162"/>
        <v>0</v>
      </c>
      <c r="AA214" s="148">
        <f t="shared" si="162"/>
        <v>0</v>
      </c>
      <c r="AB214" s="148">
        <f t="shared" si="162"/>
        <v>0</v>
      </c>
      <c r="AC214" s="148">
        <f t="shared" si="162"/>
        <v>0</v>
      </c>
      <c r="AD214" s="148">
        <f t="shared" si="160"/>
        <v>0</v>
      </c>
    </row>
    <row r="215" spans="1:30">
      <c r="A215" s="140">
        <f t="shared" si="161"/>
        <v>0</v>
      </c>
      <c r="B215" s="162" t="str">
        <f t="shared" si="144"/>
        <v>PI</v>
      </c>
      <c r="C215" s="159">
        <f t="shared" si="145"/>
        <v>0</v>
      </c>
      <c r="D215" s="160">
        <f t="shared" si="146"/>
        <v>0</v>
      </c>
      <c r="E215" s="144">
        <f t="shared" si="156"/>
        <v>0</v>
      </c>
      <c r="F215" s="161">
        <f>IF($F$199="No YEAR 7",0,IF(ISNA(VLOOKUP(A215,name_7,$F$9,0)),0,VLOOKUP(A215,name_7,$F$9,0)*(1+'1. SUMMARY'!$C$26)))</f>
        <v>0</v>
      </c>
      <c r="G215" s="146">
        <f t="shared" si="157"/>
        <v>0</v>
      </c>
      <c r="H215" s="146">
        <f t="shared" si="158"/>
        <v>0</v>
      </c>
      <c r="I215" s="147">
        <f t="shared" si="159"/>
        <v>0</v>
      </c>
      <c r="M215" s="148">
        <f t="shared" ref="M215:M226" si="163">IF($M$200=0,0,((G215/$AD$200)*$M$200)*VLOOKUP(C183,benefits,2,0))</f>
        <v>0</v>
      </c>
      <c r="N215" s="148">
        <f t="shared" si="148"/>
        <v>0</v>
      </c>
      <c r="O215" s="148">
        <f t="shared" si="149"/>
        <v>0</v>
      </c>
      <c r="P215" s="148">
        <f t="shared" si="150"/>
        <v>0</v>
      </c>
      <c r="Q215" s="148">
        <f t="shared" si="151"/>
        <v>0</v>
      </c>
      <c r="R215" s="148">
        <f t="shared" si="152"/>
        <v>0</v>
      </c>
      <c r="S215" s="148">
        <f t="shared" si="153"/>
        <v>0</v>
      </c>
      <c r="T215" s="148">
        <f t="shared" si="154"/>
        <v>0</v>
      </c>
      <c r="U215" s="148">
        <f t="shared" si="162"/>
        <v>0</v>
      </c>
      <c r="V215" s="148">
        <f t="shared" si="162"/>
        <v>0</v>
      </c>
      <c r="W215" s="148">
        <f t="shared" si="162"/>
        <v>0</v>
      </c>
      <c r="X215" s="148">
        <f t="shared" si="162"/>
        <v>0</v>
      </c>
      <c r="Y215" s="148">
        <f t="shared" si="162"/>
        <v>0</v>
      </c>
      <c r="Z215" s="148">
        <f t="shared" si="162"/>
        <v>0</v>
      </c>
      <c r="AA215" s="148">
        <f t="shared" si="162"/>
        <v>0</v>
      </c>
      <c r="AB215" s="148">
        <f t="shared" si="162"/>
        <v>0</v>
      </c>
      <c r="AC215" s="148">
        <f t="shared" si="162"/>
        <v>0</v>
      </c>
      <c r="AD215" s="148">
        <f t="shared" si="160"/>
        <v>0</v>
      </c>
    </row>
    <row r="216" spans="1:30">
      <c r="A216" s="140">
        <f t="shared" si="161"/>
        <v>0</v>
      </c>
      <c r="B216" s="162" t="str">
        <f t="shared" si="144"/>
        <v>PI</v>
      </c>
      <c r="C216" s="159">
        <f t="shared" si="145"/>
        <v>0</v>
      </c>
      <c r="D216" s="160">
        <f t="shared" si="146"/>
        <v>0</v>
      </c>
      <c r="E216" s="144">
        <f t="shared" si="156"/>
        <v>0</v>
      </c>
      <c r="F216" s="161">
        <f>IF($F$199="No YEAR 7",0,IF(ISNA(VLOOKUP(A216,name_7,$F$9,0)),0,VLOOKUP(A216,name_7,$F$9,0)*(1+'1. SUMMARY'!$C$26)))</f>
        <v>0</v>
      </c>
      <c r="G216" s="146">
        <f t="shared" si="157"/>
        <v>0</v>
      </c>
      <c r="H216" s="146">
        <f t="shared" si="158"/>
        <v>0</v>
      </c>
      <c r="I216" s="147">
        <f t="shared" si="159"/>
        <v>0</v>
      </c>
      <c r="M216" s="148">
        <f t="shared" si="163"/>
        <v>0</v>
      </c>
      <c r="N216" s="148">
        <f t="shared" si="148"/>
        <v>0</v>
      </c>
      <c r="O216" s="148">
        <f t="shared" si="149"/>
        <v>0</v>
      </c>
      <c r="P216" s="148">
        <f t="shared" si="150"/>
        <v>0</v>
      </c>
      <c r="Q216" s="148">
        <f t="shared" si="151"/>
        <v>0</v>
      </c>
      <c r="R216" s="148">
        <f t="shared" si="152"/>
        <v>0</v>
      </c>
      <c r="S216" s="148">
        <f t="shared" si="153"/>
        <v>0</v>
      </c>
      <c r="T216" s="148">
        <f t="shared" si="154"/>
        <v>0</v>
      </c>
      <c r="U216" s="148">
        <f t="shared" si="162"/>
        <v>0</v>
      </c>
      <c r="V216" s="148">
        <f t="shared" si="162"/>
        <v>0</v>
      </c>
      <c r="W216" s="148">
        <f t="shared" si="162"/>
        <v>0</v>
      </c>
      <c r="X216" s="148">
        <f t="shared" si="162"/>
        <v>0</v>
      </c>
      <c r="Y216" s="148">
        <f t="shared" si="162"/>
        <v>0</v>
      </c>
      <c r="Z216" s="148">
        <f t="shared" si="162"/>
        <v>0</v>
      </c>
      <c r="AA216" s="148">
        <f t="shared" si="162"/>
        <v>0</v>
      </c>
      <c r="AB216" s="148">
        <f t="shared" si="162"/>
        <v>0</v>
      </c>
      <c r="AC216" s="148">
        <f t="shared" si="162"/>
        <v>0</v>
      </c>
      <c r="AD216" s="148">
        <f t="shared" si="160"/>
        <v>0</v>
      </c>
    </row>
    <row r="217" spans="1:30">
      <c r="A217" s="140">
        <f t="shared" si="161"/>
        <v>0</v>
      </c>
      <c r="B217" s="162" t="str">
        <f t="shared" si="144"/>
        <v>PI</v>
      </c>
      <c r="C217" s="159">
        <f t="shared" si="145"/>
        <v>0</v>
      </c>
      <c r="D217" s="160">
        <f t="shared" si="146"/>
        <v>0</v>
      </c>
      <c r="E217" s="144">
        <f t="shared" si="156"/>
        <v>0</v>
      </c>
      <c r="F217" s="161">
        <f>IF($F$199="No YEAR 7",0,IF(ISNA(VLOOKUP(A217,name_7,$F$9,0)),0,VLOOKUP(A217,name_7,$F$9,0)*(1+'1. SUMMARY'!$C$26)))</f>
        <v>0</v>
      </c>
      <c r="G217" s="146">
        <f t="shared" si="157"/>
        <v>0</v>
      </c>
      <c r="H217" s="146">
        <f t="shared" si="158"/>
        <v>0</v>
      </c>
      <c r="I217" s="147">
        <f t="shared" si="159"/>
        <v>0</v>
      </c>
      <c r="M217" s="148">
        <f t="shared" si="163"/>
        <v>0</v>
      </c>
      <c r="N217" s="148">
        <f t="shared" si="148"/>
        <v>0</v>
      </c>
      <c r="O217" s="148">
        <f t="shared" si="149"/>
        <v>0</v>
      </c>
      <c r="P217" s="148">
        <f t="shared" si="150"/>
        <v>0</v>
      </c>
      <c r="Q217" s="148">
        <f t="shared" si="151"/>
        <v>0</v>
      </c>
      <c r="R217" s="148">
        <f t="shared" si="152"/>
        <v>0</v>
      </c>
      <c r="S217" s="148">
        <f t="shared" si="153"/>
        <v>0</v>
      </c>
      <c r="T217" s="148">
        <f t="shared" si="154"/>
        <v>0</v>
      </c>
      <c r="U217" s="148">
        <f t="shared" si="162"/>
        <v>0</v>
      </c>
      <c r="V217" s="148">
        <f t="shared" si="162"/>
        <v>0</v>
      </c>
      <c r="W217" s="148">
        <f t="shared" si="162"/>
        <v>0</v>
      </c>
      <c r="X217" s="148">
        <f t="shared" si="162"/>
        <v>0</v>
      </c>
      <c r="Y217" s="148">
        <f t="shared" si="162"/>
        <v>0</v>
      </c>
      <c r="Z217" s="148">
        <f t="shared" si="162"/>
        <v>0</v>
      </c>
      <c r="AA217" s="148">
        <f t="shared" si="162"/>
        <v>0</v>
      </c>
      <c r="AB217" s="148">
        <f t="shared" si="162"/>
        <v>0</v>
      </c>
      <c r="AC217" s="148">
        <f t="shared" si="162"/>
        <v>0</v>
      </c>
      <c r="AD217" s="148">
        <f t="shared" si="160"/>
        <v>0</v>
      </c>
    </row>
    <row r="218" spans="1:30">
      <c r="A218" s="140">
        <f t="shared" si="161"/>
        <v>0</v>
      </c>
      <c r="B218" s="162" t="str">
        <f t="shared" si="144"/>
        <v>PI</v>
      </c>
      <c r="C218" s="159">
        <f t="shared" si="145"/>
        <v>0</v>
      </c>
      <c r="D218" s="160">
        <f t="shared" si="146"/>
        <v>0</v>
      </c>
      <c r="E218" s="144">
        <f t="shared" si="156"/>
        <v>0</v>
      </c>
      <c r="F218" s="161">
        <f>IF($F$199="No YEAR 7",0,IF(ISNA(VLOOKUP(A218,name_7,$F$9,0)),0,VLOOKUP(A218,name_7,$F$9,0)*(1+'1. SUMMARY'!$C$26)))</f>
        <v>0</v>
      </c>
      <c r="G218" s="146">
        <f t="shared" si="157"/>
        <v>0</v>
      </c>
      <c r="H218" s="146">
        <f t="shared" si="158"/>
        <v>0</v>
      </c>
      <c r="I218" s="147">
        <f t="shared" si="159"/>
        <v>0</v>
      </c>
      <c r="M218" s="148">
        <f t="shared" si="163"/>
        <v>0</v>
      </c>
      <c r="N218" s="148">
        <f t="shared" si="148"/>
        <v>0</v>
      </c>
      <c r="O218" s="148">
        <f t="shared" si="149"/>
        <v>0</v>
      </c>
      <c r="P218" s="148">
        <f t="shared" si="150"/>
        <v>0</v>
      </c>
      <c r="Q218" s="148">
        <f t="shared" si="151"/>
        <v>0</v>
      </c>
      <c r="R218" s="148">
        <f t="shared" si="152"/>
        <v>0</v>
      </c>
      <c r="S218" s="148">
        <f t="shared" si="153"/>
        <v>0</v>
      </c>
      <c r="T218" s="148">
        <f t="shared" si="154"/>
        <v>0</v>
      </c>
      <c r="U218" s="148">
        <f t="shared" si="162"/>
        <v>0</v>
      </c>
      <c r="V218" s="148">
        <f t="shared" si="162"/>
        <v>0</v>
      </c>
      <c r="W218" s="148">
        <f t="shared" si="162"/>
        <v>0</v>
      </c>
      <c r="X218" s="148">
        <f t="shared" si="162"/>
        <v>0</v>
      </c>
      <c r="Y218" s="148">
        <f t="shared" si="162"/>
        <v>0</v>
      </c>
      <c r="Z218" s="148">
        <f t="shared" si="162"/>
        <v>0</v>
      </c>
      <c r="AA218" s="148">
        <f t="shared" si="162"/>
        <v>0</v>
      </c>
      <c r="AB218" s="148">
        <f t="shared" si="162"/>
        <v>0</v>
      </c>
      <c r="AC218" s="148">
        <f t="shared" si="162"/>
        <v>0</v>
      </c>
      <c r="AD218" s="148">
        <f t="shared" si="160"/>
        <v>0</v>
      </c>
    </row>
    <row r="219" spans="1:30">
      <c r="A219" s="140">
        <f t="shared" si="161"/>
        <v>0</v>
      </c>
      <c r="B219" s="162" t="str">
        <f t="shared" si="144"/>
        <v>PI</v>
      </c>
      <c r="C219" s="159">
        <f t="shared" si="145"/>
        <v>0</v>
      </c>
      <c r="D219" s="160">
        <f t="shared" si="146"/>
        <v>0</v>
      </c>
      <c r="E219" s="144">
        <f t="shared" si="156"/>
        <v>0</v>
      </c>
      <c r="F219" s="161">
        <f>IF($F$199="No YEAR 7",0,IF(ISNA(VLOOKUP(A219,name_7,$F$9,0)),0,VLOOKUP(A219,name_7,$F$9,0)*(1+'1. SUMMARY'!$C$26)))</f>
        <v>0</v>
      </c>
      <c r="G219" s="146">
        <f t="shared" si="157"/>
        <v>0</v>
      </c>
      <c r="H219" s="146">
        <f t="shared" si="158"/>
        <v>0</v>
      </c>
      <c r="I219" s="147">
        <f t="shared" si="159"/>
        <v>0</v>
      </c>
      <c r="M219" s="148">
        <f t="shared" si="163"/>
        <v>0</v>
      </c>
      <c r="N219" s="148">
        <f t="shared" si="148"/>
        <v>0</v>
      </c>
      <c r="O219" s="148">
        <f t="shared" si="149"/>
        <v>0</v>
      </c>
      <c r="P219" s="148">
        <f t="shared" si="150"/>
        <v>0</v>
      </c>
      <c r="Q219" s="148">
        <f t="shared" si="151"/>
        <v>0</v>
      </c>
      <c r="R219" s="148">
        <f t="shared" si="152"/>
        <v>0</v>
      </c>
      <c r="S219" s="148">
        <f t="shared" si="153"/>
        <v>0</v>
      </c>
      <c r="T219" s="148">
        <f t="shared" si="154"/>
        <v>0</v>
      </c>
      <c r="U219" s="148">
        <f t="shared" si="162"/>
        <v>0</v>
      </c>
      <c r="V219" s="148">
        <f t="shared" si="162"/>
        <v>0</v>
      </c>
      <c r="W219" s="148">
        <f t="shared" si="162"/>
        <v>0</v>
      </c>
      <c r="X219" s="148">
        <f t="shared" si="162"/>
        <v>0</v>
      </c>
      <c r="Y219" s="148">
        <f t="shared" si="162"/>
        <v>0</v>
      </c>
      <c r="Z219" s="148">
        <f t="shared" si="162"/>
        <v>0</v>
      </c>
      <c r="AA219" s="148">
        <f t="shared" si="162"/>
        <v>0</v>
      </c>
      <c r="AB219" s="148">
        <f t="shared" si="162"/>
        <v>0</v>
      </c>
      <c r="AC219" s="148">
        <f t="shared" si="162"/>
        <v>0</v>
      </c>
      <c r="AD219" s="148">
        <f t="shared" si="160"/>
        <v>0</v>
      </c>
    </row>
    <row r="220" spans="1:30">
      <c r="A220" s="140">
        <f t="shared" si="161"/>
        <v>0</v>
      </c>
      <c r="B220" s="162" t="str">
        <f t="shared" si="144"/>
        <v>PI</v>
      </c>
      <c r="C220" s="159">
        <f t="shared" si="145"/>
        <v>0</v>
      </c>
      <c r="D220" s="160">
        <f t="shared" si="146"/>
        <v>0</v>
      </c>
      <c r="E220" s="144">
        <f t="shared" si="156"/>
        <v>0</v>
      </c>
      <c r="F220" s="161">
        <f>IF($F$199="No YEAR 7",0,IF(ISNA(VLOOKUP(A220,name_7,$F$9,0)),0,VLOOKUP(A220,name_7,$F$9,0)*(1+'1. SUMMARY'!$C$26)))</f>
        <v>0</v>
      </c>
      <c r="G220" s="146">
        <f t="shared" si="157"/>
        <v>0</v>
      </c>
      <c r="H220" s="146">
        <f t="shared" si="158"/>
        <v>0</v>
      </c>
      <c r="I220" s="147">
        <f t="shared" si="159"/>
        <v>0</v>
      </c>
      <c r="M220" s="148">
        <f t="shared" si="163"/>
        <v>0</v>
      </c>
      <c r="N220" s="148">
        <f t="shared" si="148"/>
        <v>0</v>
      </c>
      <c r="O220" s="148">
        <f t="shared" si="149"/>
        <v>0</v>
      </c>
      <c r="P220" s="148">
        <f t="shared" si="150"/>
        <v>0</v>
      </c>
      <c r="Q220" s="148">
        <f t="shared" si="151"/>
        <v>0</v>
      </c>
      <c r="R220" s="148">
        <f t="shared" si="152"/>
        <v>0</v>
      </c>
      <c r="S220" s="148">
        <f t="shared" si="153"/>
        <v>0</v>
      </c>
      <c r="T220" s="148">
        <f t="shared" si="154"/>
        <v>0</v>
      </c>
      <c r="U220" s="148">
        <f t="shared" si="162"/>
        <v>0</v>
      </c>
      <c r="V220" s="148">
        <f t="shared" si="162"/>
        <v>0</v>
      </c>
      <c r="W220" s="148">
        <f t="shared" si="162"/>
        <v>0</v>
      </c>
      <c r="X220" s="148">
        <f t="shared" si="162"/>
        <v>0</v>
      </c>
      <c r="Y220" s="148">
        <f t="shared" si="162"/>
        <v>0</v>
      </c>
      <c r="Z220" s="148">
        <f t="shared" si="162"/>
        <v>0</v>
      </c>
      <c r="AA220" s="148">
        <f t="shared" si="162"/>
        <v>0</v>
      </c>
      <c r="AB220" s="148">
        <f t="shared" si="162"/>
        <v>0</v>
      </c>
      <c r="AC220" s="148">
        <f t="shared" si="162"/>
        <v>0</v>
      </c>
      <c r="AD220" s="148">
        <f t="shared" si="160"/>
        <v>0</v>
      </c>
    </row>
    <row r="221" spans="1:30">
      <c r="A221" s="140">
        <f t="shared" si="161"/>
        <v>0</v>
      </c>
      <c r="B221" s="162" t="str">
        <f t="shared" si="144"/>
        <v>PI</v>
      </c>
      <c r="C221" s="159">
        <f t="shared" si="145"/>
        <v>0</v>
      </c>
      <c r="D221" s="160">
        <f t="shared" si="146"/>
        <v>0</v>
      </c>
      <c r="E221" s="144">
        <f t="shared" si="156"/>
        <v>0</v>
      </c>
      <c r="F221" s="161">
        <f>IF($F$199="No YEAR 7",0,IF(ISNA(VLOOKUP(A221,name_7,$F$9,0)),0,VLOOKUP(A221,name_7,$F$9,0)*(1+'1. SUMMARY'!$C$26)))</f>
        <v>0</v>
      </c>
      <c r="G221" s="146">
        <f t="shared" si="157"/>
        <v>0</v>
      </c>
      <c r="H221" s="146">
        <f t="shared" si="158"/>
        <v>0</v>
      </c>
      <c r="I221" s="147">
        <f t="shared" si="159"/>
        <v>0</v>
      </c>
      <c r="M221" s="148">
        <f t="shared" si="163"/>
        <v>0</v>
      </c>
      <c r="N221" s="148">
        <f t="shared" si="148"/>
        <v>0</v>
      </c>
      <c r="O221" s="148">
        <f t="shared" si="149"/>
        <v>0</v>
      </c>
      <c r="P221" s="148">
        <f t="shared" si="150"/>
        <v>0</v>
      </c>
      <c r="Q221" s="148">
        <f t="shared" si="151"/>
        <v>0</v>
      </c>
      <c r="R221" s="148">
        <f t="shared" si="152"/>
        <v>0</v>
      </c>
      <c r="S221" s="148">
        <f t="shared" si="153"/>
        <v>0</v>
      </c>
      <c r="T221" s="148">
        <f t="shared" si="154"/>
        <v>0</v>
      </c>
      <c r="U221" s="148">
        <f t="shared" si="162"/>
        <v>0</v>
      </c>
      <c r="V221" s="148">
        <f t="shared" si="162"/>
        <v>0</v>
      </c>
      <c r="W221" s="148">
        <f t="shared" si="162"/>
        <v>0</v>
      </c>
      <c r="X221" s="148">
        <f t="shared" si="162"/>
        <v>0</v>
      </c>
      <c r="Y221" s="148">
        <f t="shared" si="162"/>
        <v>0</v>
      </c>
      <c r="Z221" s="148">
        <f t="shared" si="162"/>
        <v>0</v>
      </c>
      <c r="AA221" s="148">
        <f t="shared" si="162"/>
        <v>0</v>
      </c>
      <c r="AB221" s="148">
        <f t="shared" si="162"/>
        <v>0</v>
      </c>
      <c r="AC221" s="148">
        <f t="shared" si="162"/>
        <v>0</v>
      </c>
      <c r="AD221" s="148">
        <f t="shared" si="160"/>
        <v>0</v>
      </c>
    </row>
    <row r="222" spans="1:30">
      <c r="A222" s="140">
        <f t="shared" si="161"/>
        <v>0</v>
      </c>
      <c r="B222" s="162" t="str">
        <f t="shared" si="144"/>
        <v>PI</v>
      </c>
      <c r="C222" s="159">
        <f t="shared" si="145"/>
        <v>0</v>
      </c>
      <c r="D222" s="160">
        <f t="shared" si="146"/>
        <v>0</v>
      </c>
      <c r="E222" s="144">
        <f t="shared" si="156"/>
        <v>0</v>
      </c>
      <c r="F222" s="161">
        <f>IF($F$199="No YEAR 7",0,IF(ISNA(VLOOKUP(A222,name_7,$F$9,0)),0,VLOOKUP(A222,name_7,$F$9,0)*(1+'1. SUMMARY'!$C$26)))</f>
        <v>0</v>
      </c>
      <c r="G222" s="146">
        <f t="shared" si="157"/>
        <v>0</v>
      </c>
      <c r="H222" s="146">
        <f t="shared" si="158"/>
        <v>0</v>
      </c>
      <c r="I222" s="147">
        <f t="shared" si="159"/>
        <v>0</v>
      </c>
      <c r="M222" s="148">
        <f t="shared" si="163"/>
        <v>0</v>
      </c>
      <c r="N222" s="148">
        <f t="shared" si="148"/>
        <v>0</v>
      </c>
      <c r="O222" s="148">
        <f t="shared" si="149"/>
        <v>0</v>
      </c>
      <c r="P222" s="148">
        <f t="shared" si="150"/>
        <v>0</v>
      </c>
      <c r="Q222" s="148">
        <f t="shared" si="151"/>
        <v>0</v>
      </c>
      <c r="R222" s="148">
        <f t="shared" si="152"/>
        <v>0</v>
      </c>
      <c r="S222" s="148">
        <f t="shared" si="153"/>
        <v>0</v>
      </c>
      <c r="T222" s="148">
        <f t="shared" si="154"/>
        <v>0</v>
      </c>
      <c r="U222" s="148">
        <f t="shared" si="162"/>
        <v>0</v>
      </c>
      <c r="V222" s="148">
        <f t="shared" si="162"/>
        <v>0</v>
      </c>
      <c r="W222" s="148">
        <f t="shared" si="162"/>
        <v>0</v>
      </c>
      <c r="X222" s="148">
        <f t="shared" si="162"/>
        <v>0</v>
      </c>
      <c r="Y222" s="148">
        <f t="shared" si="162"/>
        <v>0</v>
      </c>
      <c r="Z222" s="148">
        <f t="shared" si="162"/>
        <v>0</v>
      </c>
      <c r="AA222" s="148">
        <f t="shared" si="162"/>
        <v>0</v>
      </c>
      <c r="AB222" s="148">
        <f t="shared" si="162"/>
        <v>0</v>
      </c>
      <c r="AC222" s="148">
        <f t="shared" si="162"/>
        <v>0</v>
      </c>
      <c r="AD222" s="148">
        <f t="shared" si="160"/>
        <v>0</v>
      </c>
    </row>
    <row r="223" spans="1:30">
      <c r="A223" s="140">
        <f t="shared" si="161"/>
        <v>0</v>
      </c>
      <c r="B223" s="162" t="str">
        <f t="shared" si="144"/>
        <v>PI</v>
      </c>
      <c r="C223" s="159">
        <f t="shared" si="145"/>
        <v>0</v>
      </c>
      <c r="D223" s="160">
        <f t="shared" si="146"/>
        <v>0</v>
      </c>
      <c r="E223" s="144">
        <f t="shared" si="156"/>
        <v>0</v>
      </c>
      <c r="F223" s="161">
        <f>IF($F$199="No YEAR 7",0,IF(ISNA(VLOOKUP(A223,name_7,$F$9,0)),0,VLOOKUP(A223,name_7,$F$9,0)*(1+'1. SUMMARY'!$C$26)))</f>
        <v>0</v>
      </c>
      <c r="G223" s="146">
        <f t="shared" si="157"/>
        <v>0</v>
      </c>
      <c r="H223" s="146">
        <f t="shared" si="158"/>
        <v>0</v>
      </c>
      <c r="I223" s="147">
        <f t="shared" si="159"/>
        <v>0</v>
      </c>
      <c r="M223" s="148">
        <f t="shared" si="163"/>
        <v>0</v>
      </c>
      <c r="N223" s="148">
        <f t="shared" si="148"/>
        <v>0</v>
      </c>
      <c r="O223" s="148">
        <f t="shared" si="149"/>
        <v>0</v>
      </c>
      <c r="P223" s="148">
        <f t="shared" si="150"/>
        <v>0</v>
      </c>
      <c r="Q223" s="148">
        <f t="shared" si="151"/>
        <v>0</v>
      </c>
      <c r="R223" s="148">
        <f t="shared" si="152"/>
        <v>0</v>
      </c>
      <c r="S223" s="148">
        <f t="shared" si="153"/>
        <v>0</v>
      </c>
      <c r="T223" s="148">
        <f t="shared" si="154"/>
        <v>0</v>
      </c>
      <c r="U223" s="148">
        <f t="shared" si="162"/>
        <v>0</v>
      </c>
      <c r="V223" s="148">
        <f t="shared" si="162"/>
        <v>0</v>
      </c>
      <c r="W223" s="148">
        <f t="shared" si="162"/>
        <v>0</v>
      </c>
      <c r="X223" s="148">
        <f t="shared" si="162"/>
        <v>0</v>
      </c>
      <c r="Y223" s="148">
        <f t="shared" si="162"/>
        <v>0</v>
      </c>
      <c r="Z223" s="148">
        <f t="shared" si="162"/>
        <v>0</v>
      </c>
      <c r="AA223" s="148">
        <f t="shared" si="162"/>
        <v>0</v>
      </c>
      <c r="AB223" s="148">
        <f t="shared" si="162"/>
        <v>0</v>
      </c>
      <c r="AC223" s="148">
        <f t="shared" si="162"/>
        <v>0</v>
      </c>
      <c r="AD223" s="148">
        <f t="shared" si="160"/>
        <v>0</v>
      </c>
    </row>
    <row r="224" spans="1:30">
      <c r="A224" s="140">
        <f t="shared" si="161"/>
        <v>0</v>
      </c>
      <c r="B224" s="162" t="str">
        <f t="shared" si="144"/>
        <v>PI</v>
      </c>
      <c r="C224" s="159">
        <f t="shared" si="145"/>
        <v>0</v>
      </c>
      <c r="D224" s="160">
        <f t="shared" si="146"/>
        <v>0</v>
      </c>
      <c r="E224" s="144">
        <f t="shared" si="156"/>
        <v>0</v>
      </c>
      <c r="F224" s="161">
        <f>IF($F$199="No YEAR 7",0,IF(ISNA(VLOOKUP(A224,name_7,$F$9,0)),0,VLOOKUP(A224,name_7,$F$9,0)*(1+'1. SUMMARY'!$C$26)))</f>
        <v>0</v>
      </c>
      <c r="G224" s="146">
        <f t="shared" si="157"/>
        <v>0</v>
      </c>
      <c r="H224" s="146">
        <f t="shared" si="158"/>
        <v>0</v>
      </c>
      <c r="I224" s="147">
        <f t="shared" si="159"/>
        <v>0</v>
      </c>
      <c r="M224" s="148">
        <f t="shared" si="163"/>
        <v>0</v>
      </c>
      <c r="N224" s="148">
        <f t="shared" si="148"/>
        <v>0</v>
      </c>
      <c r="O224" s="148">
        <f t="shared" si="149"/>
        <v>0</v>
      </c>
      <c r="P224" s="148">
        <f t="shared" si="150"/>
        <v>0</v>
      </c>
      <c r="Q224" s="148">
        <f t="shared" si="151"/>
        <v>0</v>
      </c>
      <c r="R224" s="148">
        <f t="shared" si="152"/>
        <v>0</v>
      </c>
      <c r="S224" s="148">
        <f t="shared" si="153"/>
        <v>0</v>
      </c>
      <c r="T224" s="148">
        <f t="shared" si="154"/>
        <v>0</v>
      </c>
      <c r="U224" s="148">
        <f t="shared" si="162"/>
        <v>0</v>
      </c>
      <c r="V224" s="148">
        <f t="shared" si="162"/>
        <v>0</v>
      </c>
      <c r="W224" s="148">
        <f t="shared" si="162"/>
        <v>0</v>
      </c>
      <c r="X224" s="148">
        <f t="shared" si="162"/>
        <v>0</v>
      </c>
      <c r="Y224" s="148">
        <f t="shared" si="162"/>
        <v>0</v>
      </c>
      <c r="Z224" s="148">
        <f t="shared" si="162"/>
        <v>0</v>
      </c>
      <c r="AA224" s="148">
        <f t="shared" si="162"/>
        <v>0</v>
      </c>
      <c r="AB224" s="148">
        <f t="shared" si="162"/>
        <v>0</v>
      </c>
      <c r="AC224" s="148">
        <f t="shared" si="162"/>
        <v>0</v>
      </c>
      <c r="AD224" s="148">
        <f t="shared" si="160"/>
        <v>0</v>
      </c>
    </row>
    <row r="225" spans="1:30">
      <c r="A225" s="140">
        <f t="shared" si="161"/>
        <v>0</v>
      </c>
      <c r="B225" s="162" t="str">
        <f t="shared" si="144"/>
        <v>PI</v>
      </c>
      <c r="C225" s="159">
        <f t="shared" si="145"/>
        <v>0</v>
      </c>
      <c r="D225" s="160">
        <f t="shared" si="146"/>
        <v>0</v>
      </c>
      <c r="E225" s="144">
        <f t="shared" si="156"/>
        <v>0</v>
      </c>
      <c r="F225" s="161">
        <f>IF($F$199="No YEAR 7",0,IF(ISNA(VLOOKUP(A225,name_7,$F$9,0)),0,VLOOKUP(A225,name_7,$F$9,0)*(1+'1. SUMMARY'!$C$26)))</f>
        <v>0</v>
      </c>
      <c r="G225" s="146">
        <f t="shared" si="157"/>
        <v>0</v>
      </c>
      <c r="H225" s="146">
        <f t="shared" si="158"/>
        <v>0</v>
      </c>
      <c r="I225" s="147">
        <f t="shared" si="159"/>
        <v>0</v>
      </c>
      <c r="M225" s="148">
        <f t="shared" si="163"/>
        <v>0</v>
      </c>
      <c r="N225" s="148">
        <f t="shared" si="148"/>
        <v>0</v>
      </c>
      <c r="O225" s="148">
        <f t="shared" si="149"/>
        <v>0</v>
      </c>
      <c r="P225" s="148">
        <f t="shared" si="150"/>
        <v>0</v>
      </c>
      <c r="Q225" s="148">
        <f t="shared" si="151"/>
        <v>0</v>
      </c>
      <c r="R225" s="148">
        <f t="shared" si="152"/>
        <v>0</v>
      </c>
      <c r="S225" s="148">
        <f t="shared" si="153"/>
        <v>0</v>
      </c>
      <c r="T225" s="148">
        <f t="shared" si="154"/>
        <v>0</v>
      </c>
      <c r="U225" s="148">
        <f t="shared" si="162"/>
        <v>0</v>
      </c>
      <c r="V225" s="148">
        <f t="shared" si="162"/>
        <v>0</v>
      </c>
      <c r="W225" s="148">
        <f t="shared" si="162"/>
        <v>0</v>
      </c>
      <c r="X225" s="148">
        <f t="shared" si="162"/>
        <v>0</v>
      </c>
      <c r="Y225" s="148">
        <f t="shared" si="162"/>
        <v>0</v>
      </c>
      <c r="Z225" s="148">
        <f t="shared" si="162"/>
        <v>0</v>
      </c>
      <c r="AA225" s="148">
        <f t="shared" si="162"/>
        <v>0</v>
      </c>
      <c r="AB225" s="148">
        <f t="shared" si="162"/>
        <v>0</v>
      </c>
      <c r="AC225" s="148">
        <f t="shared" si="162"/>
        <v>0</v>
      </c>
      <c r="AD225" s="148">
        <f t="shared" si="160"/>
        <v>0</v>
      </c>
    </row>
    <row r="226" spans="1:30">
      <c r="A226" s="140">
        <f t="shared" si="161"/>
        <v>0</v>
      </c>
      <c r="B226" s="162" t="str">
        <f t="shared" si="144"/>
        <v>PI</v>
      </c>
      <c r="C226" s="159">
        <f t="shared" si="145"/>
        <v>0</v>
      </c>
      <c r="D226" s="160">
        <f t="shared" si="146"/>
        <v>0</v>
      </c>
      <c r="E226" s="144">
        <f t="shared" si="156"/>
        <v>0</v>
      </c>
      <c r="F226" s="161">
        <f>IF($F$199="No YEAR 7",0,IF(ISNA(VLOOKUP(A226,name_7,$F$9,0)),0,VLOOKUP(A226,name_7,$F$9,0)*(1+'1. SUMMARY'!$C$26)))</f>
        <v>0</v>
      </c>
      <c r="G226" s="146">
        <f t="shared" si="157"/>
        <v>0</v>
      </c>
      <c r="H226" s="146">
        <f t="shared" si="158"/>
        <v>0</v>
      </c>
      <c r="I226" s="147">
        <f t="shared" si="159"/>
        <v>0</v>
      </c>
      <c r="M226" s="148">
        <f t="shared" si="163"/>
        <v>0</v>
      </c>
      <c r="N226" s="148">
        <f t="shared" si="148"/>
        <v>0</v>
      </c>
      <c r="O226" s="148">
        <f t="shared" si="149"/>
        <v>0</v>
      </c>
      <c r="P226" s="148">
        <f t="shared" si="150"/>
        <v>0</v>
      </c>
      <c r="Q226" s="148">
        <f t="shared" si="151"/>
        <v>0</v>
      </c>
      <c r="R226" s="148">
        <f t="shared" si="152"/>
        <v>0</v>
      </c>
      <c r="S226" s="148">
        <f t="shared" si="153"/>
        <v>0</v>
      </c>
      <c r="T226" s="148">
        <f t="shared" si="154"/>
        <v>0</v>
      </c>
      <c r="U226" s="148">
        <f t="shared" si="162"/>
        <v>0</v>
      </c>
      <c r="V226" s="148">
        <f t="shared" si="162"/>
        <v>0</v>
      </c>
      <c r="W226" s="148">
        <f t="shared" si="162"/>
        <v>0</v>
      </c>
      <c r="X226" s="148">
        <f t="shared" si="162"/>
        <v>0</v>
      </c>
      <c r="Y226" s="148">
        <f t="shared" si="162"/>
        <v>0</v>
      </c>
      <c r="Z226" s="148">
        <f t="shared" si="162"/>
        <v>0</v>
      </c>
      <c r="AA226" s="148">
        <f t="shared" si="162"/>
        <v>0</v>
      </c>
      <c r="AB226" s="148">
        <f t="shared" si="162"/>
        <v>0</v>
      </c>
      <c r="AC226" s="148">
        <f t="shared" si="162"/>
        <v>0</v>
      </c>
      <c r="AD226" s="148">
        <f t="shared" si="160"/>
        <v>0</v>
      </c>
    </row>
    <row r="227" spans="1:30" ht="14" thickBot="1">
      <c r="A227" s="117"/>
      <c r="B227" s="117"/>
      <c r="C227" s="150" t="s">
        <v>47</v>
      </c>
      <c r="D227" s="151"/>
      <c r="E227" s="152"/>
      <c r="F227" s="152"/>
      <c r="G227" s="153">
        <f>SUM(G202:G226)</f>
        <v>0</v>
      </c>
      <c r="H227" s="153">
        <f>SUM(H202:H226)</f>
        <v>0</v>
      </c>
      <c r="I227" s="154">
        <f>SUM(I202:I226)</f>
        <v>0</v>
      </c>
      <c r="M227" s="168"/>
      <c r="S227" s="148"/>
    </row>
    <row r="228" spans="1:30">
      <c r="S228" s="148"/>
    </row>
    <row r="229" spans="1:30">
      <c r="M229" s="114" t="s">
        <v>109</v>
      </c>
      <c r="S229" s="148"/>
    </row>
    <row r="230" spans="1:30">
      <c r="A230" s="124"/>
      <c r="B230" s="124"/>
      <c r="C230" s="120"/>
      <c r="D230" s="127"/>
      <c r="E230" s="128"/>
      <c r="F230" s="128"/>
      <c r="G230" s="128"/>
      <c r="H230" s="128"/>
      <c r="I230" s="128"/>
      <c r="M230" s="121">
        <f>+Sheet1!$T$8</f>
        <v>44105</v>
      </c>
      <c r="N230" s="121">
        <f>+Sheet1!$U$8</f>
        <v>44470</v>
      </c>
      <c r="O230" s="121">
        <f>+Sheet1!$V$8</f>
        <v>44835</v>
      </c>
      <c r="P230" s="121">
        <f>+Sheet1!$W$8</f>
        <v>45200</v>
      </c>
      <c r="Q230" s="121">
        <f>+Sheet1!$X$8</f>
        <v>45566</v>
      </c>
      <c r="R230" s="121">
        <f>+Sheet1!$Y$8</f>
        <v>45931</v>
      </c>
      <c r="S230" s="121">
        <f>+Sheet1!$Z$8</f>
        <v>46296</v>
      </c>
      <c r="T230" s="121">
        <f>+Sheet1!$AA$8</f>
        <v>46661</v>
      </c>
      <c r="U230" s="121">
        <f>+Sheet1!$AB$8</f>
        <v>47027</v>
      </c>
      <c r="V230" s="121">
        <f>+Sheet1!$AC$8</f>
        <v>47392</v>
      </c>
      <c r="W230" s="121">
        <f>+Sheet1!$AD$8</f>
        <v>47757</v>
      </c>
      <c r="X230" s="121">
        <f>+Sheet1!AE$8</f>
        <v>48122</v>
      </c>
      <c r="Y230" s="121">
        <f>+Sheet1!AF$8</f>
        <v>48488</v>
      </c>
      <c r="Z230" s="121">
        <f>+Sheet1!AG$8</f>
        <v>48853</v>
      </c>
      <c r="AA230" s="121">
        <f>+Sheet1!AH$8</f>
        <v>49218</v>
      </c>
      <c r="AB230" s="121">
        <f>+Sheet1!AI$8</f>
        <v>49583</v>
      </c>
      <c r="AC230" s="121">
        <f>+Sheet1!AJ$8</f>
        <v>49949</v>
      </c>
      <c r="AD230" s="117"/>
    </row>
    <row r="231" spans="1:30">
      <c r="A231" s="118" t="s">
        <v>112</v>
      </c>
      <c r="B231" s="118"/>
      <c r="C231" s="118"/>
      <c r="D231" s="129"/>
      <c r="E231" s="130"/>
      <c r="F231" s="131" t="str">
        <f>IF(F199="No "&amp;A199,"No "&amp;A231,IF(+H199+1&gt;'1. SUMMARY'!$C$18,"No "&amp;A231,+H199+1))</f>
        <v>No YEAR 8</v>
      </c>
      <c r="G231" s="131" t="str">
        <f>"----"</f>
        <v>----</v>
      </c>
      <c r="H231" s="131" t="str">
        <f>IF(F231="No "&amp;A231,"No "&amp;A231,IF(H199='1. SUMMARY'!Q177,"a",IF((DATE(YEAR(F231),MONTH(F231)+12,DAY(F231)-1))&lt;=('1. SUMMARY'!$C$18),DATE(YEAR(F231),MONTH(F231)+12,DAY(F231)-1),'1. SUMMARY'!$C$18)))</f>
        <v>No YEAR 8</v>
      </c>
      <c r="I231" s="132"/>
      <c r="M231" s="121">
        <f>+Sheet1!$T$9</f>
        <v>44469</v>
      </c>
      <c r="N231" s="121">
        <f>+Sheet1!$U$9</f>
        <v>44834</v>
      </c>
      <c r="O231" s="121">
        <f>+Sheet1!$V$9</f>
        <v>45199</v>
      </c>
      <c r="P231" s="121">
        <f>+Sheet1!$W$9</f>
        <v>45565</v>
      </c>
      <c r="Q231" s="121">
        <f>+Sheet1!$X$9</f>
        <v>45930</v>
      </c>
      <c r="R231" s="121">
        <f>+Sheet1!$Y$9</f>
        <v>46295</v>
      </c>
      <c r="S231" s="121">
        <f>+Sheet1!$Z$9</f>
        <v>46660</v>
      </c>
      <c r="T231" s="121">
        <f>+Sheet1!$AA$9</f>
        <v>47026</v>
      </c>
      <c r="U231" s="121">
        <f>+Sheet1!$AB$9</f>
        <v>47391</v>
      </c>
      <c r="V231" s="121">
        <f>+Sheet1!$AC$9</f>
        <v>47756</v>
      </c>
      <c r="W231" s="121">
        <f>+Sheet1!$AD$9</f>
        <v>48121</v>
      </c>
      <c r="X231" s="121">
        <f>+Sheet1!AE$9</f>
        <v>48487</v>
      </c>
      <c r="Y231" s="121">
        <f>+Sheet1!AF$9</f>
        <v>48852</v>
      </c>
      <c r="Z231" s="121">
        <f>+Sheet1!AG$9</f>
        <v>49217</v>
      </c>
      <c r="AA231" s="121">
        <f>+Sheet1!AH$9</f>
        <v>49582</v>
      </c>
      <c r="AB231" s="121">
        <f>+Sheet1!AI$9</f>
        <v>49948</v>
      </c>
      <c r="AC231" s="121">
        <f>+Sheet1!AJ$9</f>
        <v>50313</v>
      </c>
      <c r="AD231" s="117"/>
    </row>
    <row r="232" spans="1:30" ht="28">
      <c r="A232" s="133" t="s">
        <v>39</v>
      </c>
      <c r="B232" s="134" t="s">
        <v>40</v>
      </c>
      <c r="C232" s="134" t="s">
        <v>41</v>
      </c>
      <c r="D232" s="135" t="s">
        <v>42</v>
      </c>
      <c r="E232" s="136" t="s">
        <v>43</v>
      </c>
      <c r="F232" s="136" t="s">
        <v>44</v>
      </c>
      <c r="G232" s="136" t="s">
        <v>45</v>
      </c>
      <c r="H232" s="136" t="s">
        <v>46</v>
      </c>
      <c r="I232" s="137" t="s">
        <v>47</v>
      </c>
      <c r="M232" s="117">
        <f>IF(IF(M231&lt;F231,0,DATEDIF(F231,M231+1,"m"))&lt;0,0,IF(M231&lt;F231,0,DATEDIF(F231,M231+1,"m")))</f>
        <v>0</v>
      </c>
      <c r="N232" s="117">
        <f>IF(IF(M232=12,0,IF(N231&gt;H231,12-DATEDIF(H231,N231+1,"m"),IF(N231&lt;F231,0,DATEDIF(F231,N231+1,"m"))))&lt;0,0,IF(M232=12,0,IF(N231&gt;H231,12-DATEDIF(H231,N231+1,"m"),IF(N231&lt;F231,0,DATEDIF(F231,N231+1,"m")))))</f>
        <v>0</v>
      </c>
      <c r="O232" s="117">
        <f>IF(IF(M232+N232=12,0,IF(O231&gt;H231,12-DATEDIF(H231,O231+1,"m"),IF(O231&lt;F231,0,DATEDIF(F231,O231+1,"m"))))&lt;0,0,IF(M232+N232=12,0,IF(O231&gt;H231,12-DATEDIF(H231,O231+1,"m"),IF(O231&lt;F231,0,DATEDIF(F231,O231+1,"m")))))</f>
        <v>0</v>
      </c>
      <c r="P232" s="117">
        <f>IF(IF(N232+O232+M232=12,0,IF(P231&gt;H231,12-DATEDIF(H231,P231+1,"m"),IF(P231&lt;F231,0,DATEDIF(F231,P231+1,"m"))))&lt;0,0,IF(N232+O232+M232=12,0,IF(P231&gt;H231,12-DATEDIF(H231,P231+1,"m"),IF(P231&lt;F231,0,DATEDIF(F231,P231+1,"m")))))</f>
        <v>0</v>
      </c>
      <c r="Q232" s="117">
        <f>IF(IF(O232+P232+N232+M232=12,0,IF(Q231&gt;$H$231,12-DATEDIF($H$231,Q231+1,"m"),IF(Q231&lt;$F$231,0,DATEDIF($F$231,Q231+1,"m"))))&lt;0,0,IF(O232+P232+N232+M232=12,0,IF(Q231&gt;$H$231,12-DATEDIF($H$231,Q231+1,"m"),IF(Q231&lt;$F$231,0,DATEDIF($F$231,Q231+1,"m")))))</f>
        <v>0</v>
      </c>
      <c r="R232" s="117">
        <f>IF(IF(P232+Q232+O232+N232+M232=12,0,IF(R231&gt;$H$231,12-DATEDIF($H$231,R231+1,"m"),IF(R231&lt;$F$231,0,DATEDIF($F$231,R231+1,"m"))))&lt;0,0,IF(P232+Q232+O232+N232+M232=12,0,IF(R231&gt;$H$231,12-DATEDIF($H$231,R231+1,"m"),IF(R231&lt;$F$231,0,DATEDIF($F$231,R231+1,"m")))))</f>
        <v>0</v>
      </c>
      <c r="S232" s="117">
        <f>IF(IF(Q232+R232+P232+O232+N232+M232=12,0,IF(S231&gt;$H$231,12-DATEDIF($H$231,S231+1,"m"),IF(S231&lt;$F$231,0,DATEDIF($F$231,S231+1,"m"))))&lt;0,0,IF(Q232+R232+P232+O232+N232+M232=12,0,IF(S231&gt;$H$231,12-DATEDIF($H$231,S231+1,"m"),IF(S231&lt;$F$231,0,DATEDIF($F$231,S231+1,"m")))))</f>
        <v>0</v>
      </c>
      <c r="T232" s="117">
        <f>IF(IF(R232+S232+Q232+P232+O232+N232+M232=12,0,IF(T231&gt;$H$231,12-DATEDIF($H$231,T231+1,"m"),IF(T231&lt;$F$231,0,DATEDIF($F$231,T231+1,"m"))))&lt;0,0,IF(R232+S232+Q232+P232+O232+N232+M232=12,0,IF(T231&gt;$H$231,12-DATEDIF($H$231,T231+1,"m"),IF(T231&lt;$F$231,0,DATEDIF($F$231,T231+1,"m")))))</f>
        <v>0</v>
      </c>
      <c r="U232" s="117">
        <f>IF(IF(M232+S232+T232+R232+Q232+P232+O232+N232=12,0,IF(U231&gt;$H$231,12-DATEDIF($H$231,U231+1,"m"),IF(U231&lt;$F$231,0,DATEDIF($F$231,U231+1,"m"))))&lt;0,0,IF(M232+S232+T232+R232+Q232+P232+O232+N232=12,0,IF(U231&gt;$H$231,12-DATEDIF($H$231,U231+1,"m"),IF(U231&lt;$F$231,0,DATEDIF($F$231,U231+1,"m")))))</f>
        <v>0</v>
      </c>
      <c r="V232" s="117">
        <f>IF(IF(M232+N232+T232+U232+S232+R232+Q232+P232+O232=12,0,IF(V231&gt;$H$231,12-DATEDIF($H$231,V231+1,"m"),IF(V231&lt;$F$231,0,DATEDIF($F$231,V231+1,"m"))))&lt;0,0,IF(M232+N232+T232+U232+S232+R232+Q232+P232+O232=12,0,IF(V231&gt;$H$231,12-DATEDIF($H$231,V231+1,"m"),IF(V231&lt;$F$231,0,DATEDIF($F$231,V231+1,"m")))))</f>
        <v>0</v>
      </c>
      <c r="W232" s="117">
        <f>IF(IF(M232+N232+O232+U232+V232+T232+S232+R232+Q232+P232=12,0,IF(W231&gt;$H$231,12-DATEDIF($H$231,W231+1,"m"),IF(W231&lt;$F$231,0,DATEDIF($F$231,W231+1,"m"))))&lt;0,0,IF(M232+N232+O232+U232+V232+T232+S232+R232+Q232+P232=12,0,IF(W231&gt;$H$231,12-DATEDIF($H$231,W231+1,"m"),IF(W231&lt;$F$231,0,DATEDIF($F$231,W231+1,"m")))))</f>
        <v>0</v>
      </c>
      <c r="X232" s="117">
        <f>IF(IF(+M232+N232+O232+P232+V232+W232+U232+T232+S232+R232+Q232=12,0,IF(X231&gt;$H$231,12-DATEDIF($H$231,X231+1,"m"),IF(X231&lt;$F$231,0,DATEDIF($F$231,X231+1,"m"))))&lt;0,0,IF(M232+N232+O232+P232+V232+W232+U232+T232+S232+R232+Q232=12,0,IF(X231&gt;$H$231,12-DATEDIF($H$231,X231+1,"m"),IF(X231&lt;$F$231,0,DATEDIF($F$231,X231+1,"m")))))</f>
        <v>0</v>
      </c>
      <c r="Y232" s="117">
        <f>IF(IF(M232+N232+O232+P232+Q232+W232+X232+V232+U232+T232+S232+R232=12,0,IF(Y231&gt;$H$231,12-DATEDIF($H$231,Y231+1,"m"),IF(Y231&lt;$F$231,0,DATEDIF($F$231,Y231+1,"m"))))&lt;0,0,IF(M232+N232+O232+P232+Q232+W232+X232+V232+U232+T232+S232+R232=12,0,IF(Y231&gt;$H$231,12-DATEDIF($H$231,Y231+1,"m"),IF(Y231&lt;$F$231,0,DATEDIF($F$231,Y231+1,"m")))))</f>
        <v>0</v>
      </c>
      <c r="Z232" s="117">
        <f>IF(IF(M232+N232+O232+P232+Q232+R232+X232+Y232+W232+V232+U232+T232+S232=12,0,IF(Z231&gt;$H$231,12-DATEDIF($H$231,Z231+1,"m"),IF(Z231&lt;$F$231,0,DATEDIF($F$231,Z231+1,"m"))))&lt;0,0,IF(M232+N232+O232+P232+Q232+R232+X232+Y232+W232+V232+U232+T232+S232=12,0,IF(Z231&gt;$H$231,12-DATEDIF($H$231,Z231+1,"m"),IF(Z231&lt;$F$231,0,DATEDIF($F$231,Z231+1,"m")))))</f>
        <v>0</v>
      </c>
      <c r="AA232" s="117">
        <f>IF(IF(M232+N232+O232+P232+Q232+R232+S232+Y232+Z232+X232+W232+V232+U232+T232=12,0,IF(AA231&gt;$H$231,12-DATEDIF($H$231,AA231+1,"m"),IF(AA231&lt;$F$231,0,DATEDIF($F$231,AA231+1,"m"))))&lt;0,0,IF(M232+N232+O232+P232+Q232+R232+S232+Y232+Z232+X232+W232+V232+U232+T232=12,0,IF(AA231&gt;$H$231,12-DATEDIF($H$231,AA231+1,"m"),IF(AA231&lt;$F$231,0,DATEDIF($F$231,AA231+1,"m")))))</f>
        <v>0</v>
      </c>
      <c r="AB232" s="117">
        <f>IF(IF(M232+N232+O232+P232+Q232+R232+S232+T232+Z232+AA232+Y232+X232+W232+V232+U232=12,0,IF(AB231&gt;$H$231,12-DATEDIF($H$231,AB231+1,"m"),IF(AB231&lt;$F$231,0,DATEDIF($F$231,AB231+1,"m"))))&lt;0,0,IF(M232+N232+O232+P232+Q232+R232+S232+T232+Z232+AA232+Y232+X232+W232+V232+U232=12,0,IF(AB231&gt;$H$231,12-DATEDIF($H$231,AB231+1,"m"),IF(AB231&lt;$F$231,0,DATEDIF($F$231,AB231+1,"m")))))</f>
        <v>0</v>
      </c>
      <c r="AC232" s="117">
        <f>IF(IF(M232+N232+O232+P232+Q232+R232+S232+T232+U232+AA232+AB232+Z232+Y232+X232+W232+V232=12,0,IF(AC231&gt;$H$231,12-DATEDIF($H$231,AC231+1,"m"),IF(AC231&lt;$F$231,0,DATEDIF($F$231,AC231+1,"m"))))&lt;0,0,IF(M232+N232+O232+P232+Q232+R232+S232+T232+U232+AA232+AB232+Z232+Y232+X232+W232+V232=12,0,IF(AC231&gt;$H$231,12-DATEDIF($H$231,AC231+1,"m"),IF(AC231&lt;$F$231,0,DATEDIF($F$231,AC231+1,"m")))))</f>
        <v>0</v>
      </c>
      <c r="AD232" s="117">
        <f>SUM(M232:AC232)</f>
        <v>0</v>
      </c>
    </row>
    <row r="233" spans="1:30">
      <c r="A233" s="164"/>
      <c r="B233" s="164"/>
      <c r="C233" s="124"/>
      <c r="D233" s="165"/>
      <c r="E233" s="166"/>
      <c r="F233" s="166"/>
      <c r="G233" s="166"/>
      <c r="H233" s="166"/>
      <c r="I233" s="167"/>
      <c r="M233" s="148"/>
      <c r="N233" s="139"/>
      <c r="O233" s="139"/>
      <c r="P233" s="139"/>
      <c r="Q233" s="139"/>
      <c r="R233" s="139"/>
      <c r="S233" s="139"/>
      <c r="T233" s="139"/>
      <c r="U233" s="139"/>
      <c r="V233" s="139"/>
      <c r="W233" s="139"/>
      <c r="X233" s="139"/>
      <c r="Y233" s="139"/>
      <c r="Z233" s="139"/>
      <c r="AA233" s="139"/>
      <c r="AB233" s="139"/>
      <c r="AC233" s="139"/>
      <c r="AD233" s="139"/>
    </row>
    <row r="234" spans="1:30">
      <c r="A234" s="157">
        <f>+A202</f>
        <v>0</v>
      </c>
      <c r="B234" s="158" t="str">
        <f t="shared" ref="B234:B258" si="164">IF(ISNA(VLOOKUP($A234,name_2,$B$9,0)),"",VLOOKUP($A234,name_2,$B$9,0))</f>
        <v>PI</v>
      </c>
      <c r="C234" s="159">
        <f t="shared" ref="C234:C258" si="165">IF(ISNA(VLOOKUP($A234,name_2,$C$9,0)),"",VLOOKUP($A234,name_2,$C$9,0))</f>
        <v>0</v>
      </c>
      <c r="D234" s="160">
        <f t="shared" ref="D234:D258" si="166">IF(ISNA(VLOOKUP($A234,name_2,$D$9,0)),0,VLOOKUP($A234,name_2,$D$9,0))</f>
        <v>0</v>
      </c>
      <c r="E234" s="144">
        <f>IF(ISNA($AD$232*D234),0,$AD$232*D234)</f>
        <v>0</v>
      </c>
      <c r="F234" s="161">
        <f>IF($F$231="No YEAR 8",0,IF(ISNA(VLOOKUP(A234,name_8,$F$9,0)),0,VLOOKUP(A234,name_8,$F$9,0)*(1+'1. SUMMARY'!$C$26)))</f>
        <v>0</v>
      </c>
      <c r="G234" s="146">
        <f>(F234/12)*$AD$232*D234</f>
        <v>0</v>
      </c>
      <c r="H234" s="146">
        <f>IF(ISNA(+AD234),0,AD234)</f>
        <v>0</v>
      </c>
      <c r="I234" s="147">
        <f>SUM(G234:H234)</f>
        <v>0</v>
      </c>
      <c r="M234" s="148">
        <f t="shared" ref="M234:M246" si="167">IF($M$232=0,0,((G234/$AD$232)*$M$232)*VLOOKUP(C234,benefits,2,0))</f>
        <v>0</v>
      </c>
      <c r="N234" s="148">
        <f t="shared" ref="N234:N258" si="168">IF($N$232=0,0,((G234/$AD$232)*$N$232)*VLOOKUP(C234,benefits,3,0))</f>
        <v>0</v>
      </c>
      <c r="O234" s="148">
        <f t="shared" ref="O234:O258" si="169">IF($O$232=0,0,((G234/$AD$232)*$O$232)*VLOOKUP(C234,benefits,4,0))</f>
        <v>0</v>
      </c>
      <c r="P234" s="148">
        <f t="shared" ref="P234:P258" si="170">IF($P$232=0,0,((G234/$AD$232)*$P$232)*VLOOKUP(C234,benefits,5,0))</f>
        <v>0</v>
      </c>
      <c r="Q234" s="148">
        <f t="shared" ref="Q234:Q258" si="171">IF(Q$232=0,0,(($G234/$AD$232)*Q$232)*VLOOKUP(C234,benefits,6,0))</f>
        <v>0</v>
      </c>
      <c r="R234" s="148">
        <f t="shared" ref="R234:R258" si="172">IF(R$232=0,0,(($G234/$AD$232)*R$232)*VLOOKUP(C234,benefits,7,0))</f>
        <v>0</v>
      </c>
      <c r="S234" s="148">
        <f t="shared" ref="S234:S258" si="173">IF(S$232=0,0,(($G234/$AD$232)*S$232)*VLOOKUP(C234,benefits,8,0))</f>
        <v>0</v>
      </c>
      <c r="T234" s="148">
        <f t="shared" ref="T234:T258" si="174">IF(T$232=0,0,(($G234/$AD$232)*T$232)*VLOOKUP(C234,benefits,9,0))</f>
        <v>0</v>
      </c>
      <c r="U234" s="148">
        <f t="shared" ref="U234:U258" si="175">IF(U$232=0,0,(($G234/$AD$232)*U$232)*VLOOKUP(C234,benefits,10,0))</f>
        <v>0</v>
      </c>
      <c r="V234" s="148">
        <f t="shared" ref="V234:V258" si="176">IF(V$232=0,0,(($G234/$AD$232)*V$232)*VLOOKUP(C234,benefits,11,0))</f>
        <v>0</v>
      </c>
      <c r="W234" s="148">
        <f t="shared" ref="W234:W258" si="177">IF(W$232=0,0,(($G234/$AD$232)*W$232)*VLOOKUP(C234,benefits,12,0))</f>
        <v>0</v>
      </c>
      <c r="X234" s="148">
        <f t="shared" ref="X234:AC243" si="178">IF(X$232=0,0,(($G234/$AD$232)*X$232)*VLOOKUP($C234,benefits,12,0))</f>
        <v>0</v>
      </c>
      <c r="Y234" s="148">
        <f t="shared" si="178"/>
        <v>0</v>
      </c>
      <c r="Z234" s="148">
        <f t="shared" si="178"/>
        <v>0</v>
      </c>
      <c r="AA234" s="148">
        <f t="shared" si="178"/>
        <v>0</v>
      </c>
      <c r="AB234" s="148">
        <f t="shared" si="178"/>
        <v>0</v>
      </c>
      <c r="AC234" s="148">
        <f t="shared" si="178"/>
        <v>0</v>
      </c>
      <c r="AD234" s="148">
        <f>SUM(M234:AC234)</f>
        <v>0</v>
      </c>
    </row>
    <row r="235" spans="1:30">
      <c r="A235" s="140">
        <f>+A203</f>
        <v>0</v>
      </c>
      <c r="B235" s="162" t="str">
        <f t="shared" si="164"/>
        <v>PI</v>
      </c>
      <c r="C235" s="159">
        <f t="shared" si="165"/>
        <v>0</v>
      </c>
      <c r="D235" s="160">
        <f t="shared" si="166"/>
        <v>0</v>
      </c>
      <c r="E235" s="144">
        <f t="shared" ref="E235:E258" si="179">IF(ISNA($AD$232*D235),0,$AD$232*D235)</f>
        <v>0</v>
      </c>
      <c r="F235" s="161">
        <f>IF($F$231="No YEAR 8",0,IF(ISNA(VLOOKUP(A235,name_8,$F$9,0)),0,VLOOKUP(A235,name_8,$F$9,0)*(1+'1. SUMMARY'!$C$26)))</f>
        <v>0</v>
      </c>
      <c r="G235" s="146">
        <f t="shared" ref="G235:G258" si="180">(F235/12)*$AD$232*D235</f>
        <v>0</v>
      </c>
      <c r="H235" s="146">
        <f t="shared" ref="H235:H258" si="181">IF(ISNA(+AD235),0,AD235)</f>
        <v>0</v>
      </c>
      <c r="I235" s="147">
        <f t="shared" ref="I235:I258" si="182">SUM(G235:H235)</f>
        <v>0</v>
      </c>
      <c r="M235" s="148">
        <f t="shared" si="167"/>
        <v>0</v>
      </c>
      <c r="N235" s="148">
        <f t="shared" si="168"/>
        <v>0</v>
      </c>
      <c r="O235" s="148">
        <f t="shared" si="169"/>
        <v>0</v>
      </c>
      <c r="P235" s="148">
        <f t="shared" si="170"/>
        <v>0</v>
      </c>
      <c r="Q235" s="148">
        <f t="shared" si="171"/>
        <v>0</v>
      </c>
      <c r="R235" s="148">
        <f t="shared" si="172"/>
        <v>0</v>
      </c>
      <c r="S235" s="148">
        <f t="shared" si="173"/>
        <v>0</v>
      </c>
      <c r="T235" s="148">
        <f t="shared" si="174"/>
        <v>0</v>
      </c>
      <c r="U235" s="148">
        <f t="shared" si="175"/>
        <v>0</v>
      </c>
      <c r="V235" s="148">
        <f t="shared" si="176"/>
        <v>0</v>
      </c>
      <c r="W235" s="148">
        <f t="shared" si="177"/>
        <v>0</v>
      </c>
      <c r="X235" s="148">
        <f t="shared" si="178"/>
        <v>0</v>
      </c>
      <c r="Y235" s="148">
        <f t="shared" si="178"/>
        <v>0</v>
      </c>
      <c r="Z235" s="148">
        <f t="shared" si="178"/>
        <v>0</v>
      </c>
      <c r="AA235" s="148">
        <f t="shared" si="178"/>
        <v>0</v>
      </c>
      <c r="AB235" s="148">
        <f t="shared" si="178"/>
        <v>0</v>
      </c>
      <c r="AC235" s="148">
        <f t="shared" si="178"/>
        <v>0</v>
      </c>
      <c r="AD235" s="148">
        <f t="shared" ref="AD235:AD258" si="183">SUM(M235:AC235)</f>
        <v>0</v>
      </c>
    </row>
    <row r="236" spans="1:30">
      <c r="A236" s="140">
        <f t="shared" ref="A236:A258" si="184">+A204</f>
        <v>0</v>
      </c>
      <c r="B236" s="162" t="str">
        <f t="shared" si="164"/>
        <v>PI</v>
      </c>
      <c r="C236" s="159">
        <f t="shared" si="165"/>
        <v>0</v>
      </c>
      <c r="D236" s="160">
        <f t="shared" si="166"/>
        <v>0</v>
      </c>
      <c r="E236" s="144">
        <f t="shared" si="179"/>
        <v>0</v>
      </c>
      <c r="F236" s="161">
        <f>IF($F$231="No YEAR 8",0,IF(ISNA(VLOOKUP(A236,name_8,$F$9,0)),0,VLOOKUP(A236,name_8,$F$9,0)*(1+'1. SUMMARY'!$C$26)))</f>
        <v>0</v>
      </c>
      <c r="G236" s="146">
        <f t="shared" si="180"/>
        <v>0</v>
      </c>
      <c r="H236" s="146">
        <f t="shared" si="181"/>
        <v>0</v>
      </c>
      <c r="I236" s="147">
        <f t="shared" si="182"/>
        <v>0</v>
      </c>
      <c r="M236" s="148">
        <f t="shared" si="167"/>
        <v>0</v>
      </c>
      <c r="N236" s="148">
        <f t="shared" si="168"/>
        <v>0</v>
      </c>
      <c r="O236" s="148">
        <f t="shared" si="169"/>
        <v>0</v>
      </c>
      <c r="P236" s="148">
        <f t="shared" si="170"/>
        <v>0</v>
      </c>
      <c r="Q236" s="148">
        <f t="shared" si="171"/>
        <v>0</v>
      </c>
      <c r="R236" s="148">
        <f t="shared" si="172"/>
        <v>0</v>
      </c>
      <c r="S236" s="148">
        <f t="shared" si="173"/>
        <v>0</v>
      </c>
      <c r="T236" s="148">
        <f t="shared" si="174"/>
        <v>0</v>
      </c>
      <c r="U236" s="148">
        <f t="shared" si="175"/>
        <v>0</v>
      </c>
      <c r="V236" s="148">
        <f t="shared" si="176"/>
        <v>0</v>
      </c>
      <c r="W236" s="148">
        <f t="shared" si="177"/>
        <v>0</v>
      </c>
      <c r="X236" s="148">
        <f t="shared" si="178"/>
        <v>0</v>
      </c>
      <c r="Y236" s="148">
        <f t="shared" si="178"/>
        <v>0</v>
      </c>
      <c r="Z236" s="148">
        <f t="shared" si="178"/>
        <v>0</v>
      </c>
      <c r="AA236" s="148">
        <f t="shared" si="178"/>
        <v>0</v>
      </c>
      <c r="AB236" s="148">
        <f t="shared" si="178"/>
        <v>0</v>
      </c>
      <c r="AC236" s="148">
        <f t="shared" si="178"/>
        <v>0</v>
      </c>
      <c r="AD236" s="148">
        <f t="shared" si="183"/>
        <v>0</v>
      </c>
    </row>
    <row r="237" spans="1:30">
      <c r="A237" s="140">
        <f t="shared" si="184"/>
        <v>0</v>
      </c>
      <c r="B237" s="162" t="str">
        <f t="shared" si="164"/>
        <v>PI</v>
      </c>
      <c r="C237" s="159">
        <f t="shared" si="165"/>
        <v>0</v>
      </c>
      <c r="D237" s="160">
        <f t="shared" si="166"/>
        <v>0</v>
      </c>
      <c r="E237" s="144">
        <f t="shared" si="179"/>
        <v>0</v>
      </c>
      <c r="F237" s="161">
        <f>IF($F$231="No YEAR 8",0,IF(ISNA(VLOOKUP(A237,name_8,$F$9,0)),0,VLOOKUP(A237,name_8,$F$9,0)*(1+'1. SUMMARY'!$C$26)))</f>
        <v>0</v>
      </c>
      <c r="G237" s="146">
        <f t="shared" si="180"/>
        <v>0</v>
      </c>
      <c r="H237" s="146">
        <f t="shared" si="181"/>
        <v>0</v>
      </c>
      <c r="I237" s="147">
        <f t="shared" si="182"/>
        <v>0</v>
      </c>
      <c r="M237" s="148">
        <f t="shared" si="167"/>
        <v>0</v>
      </c>
      <c r="N237" s="148">
        <f t="shared" si="168"/>
        <v>0</v>
      </c>
      <c r="O237" s="148">
        <f t="shared" si="169"/>
        <v>0</v>
      </c>
      <c r="P237" s="148">
        <f t="shared" si="170"/>
        <v>0</v>
      </c>
      <c r="Q237" s="148">
        <f t="shared" si="171"/>
        <v>0</v>
      </c>
      <c r="R237" s="148">
        <f t="shared" si="172"/>
        <v>0</v>
      </c>
      <c r="S237" s="148">
        <f t="shared" si="173"/>
        <v>0</v>
      </c>
      <c r="T237" s="148">
        <f t="shared" si="174"/>
        <v>0</v>
      </c>
      <c r="U237" s="148">
        <f t="shared" si="175"/>
        <v>0</v>
      </c>
      <c r="V237" s="148">
        <f t="shared" si="176"/>
        <v>0</v>
      </c>
      <c r="W237" s="148">
        <f t="shared" si="177"/>
        <v>0</v>
      </c>
      <c r="X237" s="148">
        <f t="shared" si="178"/>
        <v>0</v>
      </c>
      <c r="Y237" s="148">
        <f t="shared" si="178"/>
        <v>0</v>
      </c>
      <c r="Z237" s="148">
        <f t="shared" si="178"/>
        <v>0</v>
      </c>
      <c r="AA237" s="148">
        <f t="shared" si="178"/>
        <v>0</v>
      </c>
      <c r="AB237" s="148">
        <f t="shared" si="178"/>
        <v>0</v>
      </c>
      <c r="AC237" s="148">
        <f t="shared" si="178"/>
        <v>0</v>
      </c>
      <c r="AD237" s="148">
        <f t="shared" si="183"/>
        <v>0</v>
      </c>
    </row>
    <row r="238" spans="1:30">
      <c r="A238" s="140">
        <f t="shared" si="184"/>
        <v>0</v>
      </c>
      <c r="B238" s="162" t="str">
        <f t="shared" si="164"/>
        <v>PI</v>
      </c>
      <c r="C238" s="159">
        <f t="shared" si="165"/>
        <v>0</v>
      </c>
      <c r="D238" s="160">
        <f t="shared" si="166"/>
        <v>0</v>
      </c>
      <c r="E238" s="144">
        <f t="shared" si="179"/>
        <v>0</v>
      </c>
      <c r="F238" s="161">
        <f>IF($F$231="No YEAR 8",0,IF(ISNA(VLOOKUP(A238,name_8,$F$9,0)),0,VLOOKUP(A238,name_8,$F$9,0)*(1+'1. SUMMARY'!$C$26)))</f>
        <v>0</v>
      </c>
      <c r="G238" s="146">
        <f t="shared" si="180"/>
        <v>0</v>
      </c>
      <c r="H238" s="146">
        <f t="shared" si="181"/>
        <v>0</v>
      </c>
      <c r="I238" s="147">
        <f t="shared" si="182"/>
        <v>0</v>
      </c>
      <c r="M238" s="148">
        <f t="shared" si="167"/>
        <v>0</v>
      </c>
      <c r="N238" s="148">
        <f t="shared" si="168"/>
        <v>0</v>
      </c>
      <c r="O238" s="148">
        <f t="shared" si="169"/>
        <v>0</v>
      </c>
      <c r="P238" s="148">
        <f t="shared" si="170"/>
        <v>0</v>
      </c>
      <c r="Q238" s="148">
        <f t="shared" si="171"/>
        <v>0</v>
      </c>
      <c r="R238" s="148">
        <f t="shared" si="172"/>
        <v>0</v>
      </c>
      <c r="S238" s="148">
        <f t="shared" si="173"/>
        <v>0</v>
      </c>
      <c r="T238" s="148">
        <f t="shared" si="174"/>
        <v>0</v>
      </c>
      <c r="U238" s="148">
        <f t="shared" si="175"/>
        <v>0</v>
      </c>
      <c r="V238" s="148">
        <f t="shared" si="176"/>
        <v>0</v>
      </c>
      <c r="W238" s="148">
        <f t="shared" si="177"/>
        <v>0</v>
      </c>
      <c r="X238" s="148">
        <f t="shared" si="178"/>
        <v>0</v>
      </c>
      <c r="Y238" s="148">
        <f t="shared" si="178"/>
        <v>0</v>
      </c>
      <c r="Z238" s="148">
        <f t="shared" si="178"/>
        <v>0</v>
      </c>
      <c r="AA238" s="148">
        <f t="shared" si="178"/>
        <v>0</v>
      </c>
      <c r="AB238" s="148">
        <f t="shared" si="178"/>
        <v>0</v>
      </c>
      <c r="AC238" s="148">
        <f t="shared" si="178"/>
        <v>0</v>
      </c>
      <c r="AD238" s="148">
        <f t="shared" si="183"/>
        <v>0</v>
      </c>
    </row>
    <row r="239" spans="1:30">
      <c r="A239" s="140">
        <f t="shared" si="184"/>
        <v>0</v>
      </c>
      <c r="B239" s="162" t="str">
        <f t="shared" si="164"/>
        <v>PI</v>
      </c>
      <c r="C239" s="159">
        <f t="shared" si="165"/>
        <v>0</v>
      </c>
      <c r="D239" s="160">
        <f t="shared" si="166"/>
        <v>0</v>
      </c>
      <c r="E239" s="144">
        <f t="shared" si="179"/>
        <v>0</v>
      </c>
      <c r="F239" s="161">
        <f>IF($F$231="No YEAR 8",0,IF(ISNA(VLOOKUP(A239,name_8,$F$9,0)),0,VLOOKUP(A239,name_8,$F$9,0)*(1+'1. SUMMARY'!$C$26)))</f>
        <v>0</v>
      </c>
      <c r="G239" s="146">
        <f t="shared" si="180"/>
        <v>0</v>
      </c>
      <c r="H239" s="146">
        <f t="shared" si="181"/>
        <v>0</v>
      </c>
      <c r="I239" s="147">
        <f t="shared" si="182"/>
        <v>0</v>
      </c>
      <c r="M239" s="148">
        <f t="shared" si="167"/>
        <v>0</v>
      </c>
      <c r="N239" s="148">
        <f t="shared" si="168"/>
        <v>0</v>
      </c>
      <c r="O239" s="148">
        <f t="shared" si="169"/>
        <v>0</v>
      </c>
      <c r="P239" s="148">
        <f t="shared" si="170"/>
        <v>0</v>
      </c>
      <c r="Q239" s="148">
        <f t="shared" si="171"/>
        <v>0</v>
      </c>
      <c r="R239" s="148">
        <f t="shared" si="172"/>
        <v>0</v>
      </c>
      <c r="S239" s="148">
        <f t="shared" si="173"/>
        <v>0</v>
      </c>
      <c r="T239" s="148">
        <f t="shared" si="174"/>
        <v>0</v>
      </c>
      <c r="U239" s="148">
        <f t="shared" si="175"/>
        <v>0</v>
      </c>
      <c r="V239" s="148">
        <f t="shared" si="176"/>
        <v>0</v>
      </c>
      <c r="W239" s="148">
        <f t="shared" si="177"/>
        <v>0</v>
      </c>
      <c r="X239" s="148">
        <f t="shared" si="178"/>
        <v>0</v>
      </c>
      <c r="Y239" s="148">
        <f t="shared" si="178"/>
        <v>0</v>
      </c>
      <c r="Z239" s="148">
        <f t="shared" si="178"/>
        <v>0</v>
      </c>
      <c r="AA239" s="148">
        <f t="shared" si="178"/>
        <v>0</v>
      </c>
      <c r="AB239" s="148">
        <f t="shared" si="178"/>
        <v>0</v>
      </c>
      <c r="AC239" s="148">
        <f t="shared" si="178"/>
        <v>0</v>
      </c>
      <c r="AD239" s="148">
        <f t="shared" si="183"/>
        <v>0</v>
      </c>
    </row>
    <row r="240" spans="1:30">
      <c r="A240" s="140">
        <f t="shared" si="184"/>
        <v>0</v>
      </c>
      <c r="B240" s="162" t="str">
        <f t="shared" si="164"/>
        <v>PI</v>
      </c>
      <c r="C240" s="159">
        <f t="shared" si="165"/>
        <v>0</v>
      </c>
      <c r="D240" s="160">
        <f t="shared" si="166"/>
        <v>0</v>
      </c>
      <c r="E240" s="144">
        <f t="shared" si="179"/>
        <v>0</v>
      </c>
      <c r="F240" s="161">
        <f>IF($F$231="No YEAR 8",0,IF(ISNA(VLOOKUP(A240,name_8,$F$9,0)),0,VLOOKUP(A240,name_8,$F$9,0)*(1+'1. SUMMARY'!$C$26)))</f>
        <v>0</v>
      </c>
      <c r="G240" s="146">
        <f t="shared" si="180"/>
        <v>0</v>
      </c>
      <c r="H240" s="146">
        <f t="shared" si="181"/>
        <v>0</v>
      </c>
      <c r="I240" s="147">
        <f t="shared" si="182"/>
        <v>0</v>
      </c>
      <c r="M240" s="148">
        <f t="shared" si="167"/>
        <v>0</v>
      </c>
      <c r="N240" s="148">
        <f t="shared" si="168"/>
        <v>0</v>
      </c>
      <c r="O240" s="148">
        <f t="shared" si="169"/>
        <v>0</v>
      </c>
      <c r="P240" s="148">
        <f t="shared" si="170"/>
        <v>0</v>
      </c>
      <c r="Q240" s="148">
        <f t="shared" si="171"/>
        <v>0</v>
      </c>
      <c r="R240" s="148">
        <f t="shared" si="172"/>
        <v>0</v>
      </c>
      <c r="S240" s="148">
        <f t="shared" si="173"/>
        <v>0</v>
      </c>
      <c r="T240" s="148">
        <f t="shared" si="174"/>
        <v>0</v>
      </c>
      <c r="U240" s="148">
        <f t="shared" si="175"/>
        <v>0</v>
      </c>
      <c r="V240" s="148">
        <f t="shared" si="176"/>
        <v>0</v>
      </c>
      <c r="W240" s="148">
        <f t="shared" si="177"/>
        <v>0</v>
      </c>
      <c r="X240" s="148">
        <f t="shared" si="178"/>
        <v>0</v>
      </c>
      <c r="Y240" s="148">
        <f t="shared" si="178"/>
        <v>0</v>
      </c>
      <c r="Z240" s="148">
        <f t="shared" si="178"/>
        <v>0</v>
      </c>
      <c r="AA240" s="148">
        <f t="shared" si="178"/>
        <v>0</v>
      </c>
      <c r="AB240" s="148">
        <f t="shared" si="178"/>
        <v>0</v>
      </c>
      <c r="AC240" s="148">
        <f t="shared" si="178"/>
        <v>0</v>
      </c>
      <c r="AD240" s="148">
        <f t="shared" si="183"/>
        <v>0</v>
      </c>
    </row>
    <row r="241" spans="1:30">
      <c r="A241" s="140">
        <f t="shared" si="184"/>
        <v>0</v>
      </c>
      <c r="B241" s="162" t="str">
        <f t="shared" si="164"/>
        <v>PI</v>
      </c>
      <c r="C241" s="159">
        <f t="shared" si="165"/>
        <v>0</v>
      </c>
      <c r="D241" s="160">
        <f t="shared" si="166"/>
        <v>0</v>
      </c>
      <c r="E241" s="144">
        <f t="shared" si="179"/>
        <v>0</v>
      </c>
      <c r="F241" s="161">
        <f>IF($F$231="No YEAR 8",0,IF(ISNA(VLOOKUP(A241,name_8,$F$9,0)),0,VLOOKUP(A241,name_8,$F$9,0)*(1+'1. SUMMARY'!$C$26)))</f>
        <v>0</v>
      </c>
      <c r="G241" s="146">
        <f t="shared" si="180"/>
        <v>0</v>
      </c>
      <c r="H241" s="146">
        <f t="shared" si="181"/>
        <v>0</v>
      </c>
      <c r="I241" s="147">
        <f t="shared" si="182"/>
        <v>0</v>
      </c>
      <c r="M241" s="148">
        <f t="shared" si="167"/>
        <v>0</v>
      </c>
      <c r="N241" s="148">
        <f t="shared" si="168"/>
        <v>0</v>
      </c>
      <c r="O241" s="148">
        <f t="shared" si="169"/>
        <v>0</v>
      </c>
      <c r="P241" s="148">
        <f t="shared" si="170"/>
        <v>0</v>
      </c>
      <c r="Q241" s="148">
        <f t="shared" si="171"/>
        <v>0</v>
      </c>
      <c r="R241" s="148">
        <f t="shared" si="172"/>
        <v>0</v>
      </c>
      <c r="S241" s="148">
        <f t="shared" si="173"/>
        <v>0</v>
      </c>
      <c r="T241" s="148">
        <f t="shared" si="174"/>
        <v>0</v>
      </c>
      <c r="U241" s="148">
        <f t="shared" si="175"/>
        <v>0</v>
      </c>
      <c r="V241" s="148">
        <f t="shared" si="176"/>
        <v>0</v>
      </c>
      <c r="W241" s="148">
        <f t="shared" si="177"/>
        <v>0</v>
      </c>
      <c r="X241" s="148">
        <f t="shared" si="178"/>
        <v>0</v>
      </c>
      <c r="Y241" s="148">
        <f t="shared" si="178"/>
        <v>0</v>
      </c>
      <c r="Z241" s="148">
        <f t="shared" si="178"/>
        <v>0</v>
      </c>
      <c r="AA241" s="148">
        <f t="shared" si="178"/>
        <v>0</v>
      </c>
      <c r="AB241" s="148">
        <f t="shared" si="178"/>
        <v>0</v>
      </c>
      <c r="AC241" s="148">
        <f t="shared" si="178"/>
        <v>0</v>
      </c>
      <c r="AD241" s="148">
        <f t="shared" si="183"/>
        <v>0</v>
      </c>
    </row>
    <row r="242" spans="1:30">
      <c r="A242" s="140">
        <f t="shared" si="184"/>
        <v>0</v>
      </c>
      <c r="B242" s="162" t="str">
        <f t="shared" si="164"/>
        <v>PI</v>
      </c>
      <c r="C242" s="159">
        <f t="shared" si="165"/>
        <v>0</v>
      </c>
      <c r="D242" s="160">
        <f t="shared" si="166"/>
        <v>0</v>
      </c>
      <c r="E242" s="144">
        <f t="shared" si="179"/>
        <v>0</v>
      </c>
      <c r="F242" s="161">
        <f>IF($F$231="No YEAR 8",0,IF(ISNA(VLOOKUP(A242,name_8,$F$9,0)),0,VLOOKUP(A242,name_8,$F$9,0)*(1+'1. SUMMARY'!$C$26)))</f>
        <v>0</v>
      </c>
      <c r="G242" s="146">
        <f t="shared" si="180"/>
        <v>0</v>
      </c>
      <c r="H242" s="146">
        <f t="shared" si="181"/>
        <v>0</v>
      </c>
      <c r="I242" s="147">
        <f t="shared" si="182"/>
        <v>0</v>
      </c>
      <c r="M242" s="148">
        <f t="shared" si="167"/>
        <v>0</v>
      </c>
      <c r="N242" s="148">
        <f t="shared" si="168"/>
        <v>0</v>
      </c>
      <c r="O242" s="148">
        <f t="shared" si="169"/>
        <v>0</v>
      </c>
      <c r="P242" s="148">
        <f t="shared" si="170"/>
        <v>0</v>
      </c>
      <c r="Q242" s="148">
        <f t="shared" si="171"/>
        <v>0</v>
      </c>
      <c r="R242" s="148">
        <f t="shared" si="172"/>
        <v>0</v>
      </c>
      <c r="S242" s="148">
        <f t="shared" si="173"/>
        <v>0</v>
      </c>
      <c r="T242" s="148">
        <f t="shared" si="174"/>
        <v>0</v>
      </c>
      <c r="U242" s="148">
        <f t="shared" si="175"/>
        <v>0</v>
      </c>
      <c r="V242" s="148">
        <f t="shared" si="176"/>
        <v>0</v>
      </c>
      <c r="W242" s="148">
        <f t="shared" si="177"/>
        <v>0</v>
      </c>
      <c r="X242" s="148">
        <f t="shared" si="178"/>
        <v>0</v>
      </c>
      <c r="Y242" s="148">
        <f t="shared" si="178"/>
        <v>0</v>
      </c>
      <c r="Z242" s="148">
        <f t="shared" si="178"/>
        <v>0</v>
      </c>
      <c r="AA242" s="148">
        <f t="shared" si="178"/>
        <v>0</v>
      </c>
      <c r="AB242" s="148">
        <f t="shared" si="178"/>
        <v>0</v>
      </c>
      <c r="AC242" s="148">
        <f t="shared" si="178"/>
        <v>0</v>
      </c>
      <c r="AD242" s="148">
        <f t="shared" si="183"/>
        <v>0</v>
      </c>
    </row>
    <row r="243" spans="1:30">
      <c r="A243" s="140">
        <f t="shared" si="184"/>
        <v>0</v>
      </c>
      <c r="B243" s="162" t="str">
        <f t="shared" si="164"/>
        <v>PI</v>
      </c>
      <c r="C243" s="159">
        <f t="shared" si="165"/>
        <v>0</v>
      </c>
      <c r="D243" s="160">
        <f t="shared" si="166"/>
        <v>0</v>
      </c>
      <c r="E243" s="144">
        <f t="shared" si="179"/>
        <v>0</v>
      </c>
      <c r="F243" s="161">
        <f>IF($F$231="No YEAR 8",0,IF(ISNA(VLOOKUP(A243,name_8,$F$9,0)),0,VLOOKUP(A243,name_8,$F$9,0)*(1+'1. SUMMARY'!$C$26)))</f>
        <v>0</v>
      </c>
      <c r="G243" s="146">
        <f t="shared" si="180"/>
        <v>0</v>
      </c>
      <c r="H243" s="146">
        <f t="shared" si="181"/>
        <v>0</v>
      </c>
      <c r="I243" s="147">
        <f t="shared" si="182"/>
        <v>0</v>
      </c>
      <c r="M243" s="148">
        <f t="shared" si="167"/>
        <v>0</v>
      </c>
      <c r="N243" s="148">
        <f t="shared" si="168"/>
        <v>0</v>
      </c>
      <c r="O243" s="148">
        <f t="shared" si="169"/>
        <v>0</v>
      </c>
      <c r="P243" s="148">
        <f t="shared" si="170"/>
        <v>0</v>
      </c>
      <c r="Q243" s="148">
        <f t="shared" si="171"/>
        <v>0</v>
      </c>
      <c r="R243" s="148">
        <f t="shared" si="172"/>
        <v>0</v>
      </c>
      <c r="S243" s="148">
        <f t="shared" si="173"/>
        <v>0</v>
      </c>
      <c r="T243" s="148">
        <f t="shared" si="174"/>
        <v>0</v>
      </c>
      <c r="U243" s="148">
        <f t="shared" si="175"/>
        <v>0</v>
      </c>
      <c r="V243" s="148">
        <f t="shared" si="176"/>
        <v>0</v>
      </c>
      <c r="W243" s="148">
        <f t="shared" si="177"/>
        <v>0</v>
      </c>
      <c r="X243" s="148">
        <f t="shared" si="178"/>
        <v>0</v>
      </c>
      <c r="Y243" s="148">
        <f t="shared" si="178"/>
        <v>0</v>
      </c>
      <c r="Z243" s="148">
        <f t="shared" si="178"/>
        <v>0</v>
      </c>
      <c r="AA243" s="148">
        <f t="shared" si="178"/>
        <v>0</v>
      </c>
      <c r="AB243" s="148">
        <f t="shared" si="178"/>
        <v>0</v>
      </c>
      <c r="AC243" s="148">
        <f t="shared" si="178"/>
        <v>0</v>
      </c>
      <c r="AD243" s="148">
        <f t="shared" si="183"/>
        <v>0</v>
      </c>
    </row>
    <row r="244" spans="1:30">
      <c r="A244" s="140">
        <f t="shared" si="184"/>
        <v>0</v>
      </c>
      <c r="B244" s="162" t="str">
        <f t="shared" si="164"/>
        <v>PI</v>
      </c>
      <c r="C244" s="159">
        <f t="shared" si="165"/>
        <v>0</v>
      </c>
      <c r="D244" s="160">
        <f t="shared" si="166"/>
        <v>0</v>
      </c>
      <c r="E244" s="144">
        <f t="shared" si="179"/>
        <v>0</v>
      </c>
      <c r="F244" s="161">
        <f>IF($F$231="No YEAR 8",0,IF(ISNA(VLOOKUP(A244,name_8,$F$9,0)),0,VLOOKUP(A244,name_8,$F$9,0)*(1+'1. SUMMARY'!$C$26)))</f>
        <v>0</v>
      </c>
      <c r="G244" s="146">
        <f t="shared" si="180"/>
        <v>0</v>
      </c>
      <c r="H244" s="146">
        <f t="shared" si="181"/>
        <v>0</v>
      </c>
      <c r="I244" s="147">
        <f t="shared" si="182"/>
        <v>0</v>
      </c>
      <c r="M244" s="148">
        <f t="shared" si="167"/>
        <v>0</v>
      </c>
      <c r="N244" s="148">
        <f t="shared" si="168"/>
        <v>0</v>
      </c>
      <c r="O244" s="148">
        <f t="shared" si="169"/>
        <v>0</v>
      </c>
      <c r="P244" s="148">
        <f t="shared" si="170"/>
        <v>0</v>
      </c>
      <c r="Q244" s="148">
        <f t="shared" si="171"/>
        <v>0</v>
      </c>
      <c r="R244" s="148">
        <f t="shared" si="172"/>
        <v>0</v>
      </c>
      <c r="S244" s="148">
        <f t="shared" si="173"/>
        <v>0</v>
      </c>
      <c r="T244" s="148">
        <f t="shared" si="174"/>
        <v>0</v>
      </c>
      <c r="U244" s="148">
        <f t="shared" si="175"/>
        <v>0</v>
      </c>
      <c r="V244" s="148">
        <f t="shared" si="176"/>
        <v>0</v>
      </c>
      <c r="W244" s="148">
        <f t="shared" si="177"/>
        <v>0</v>
      </c>
      <c r="X244" s="148">
        <f t="shared" ref="X244:AC258" si="185">IF(X$232=0,0,(($G244/$AD$232)*X$232)*VLOOKUP($C244,benefits,12,0))</f>
        <v>0</v>
      </c>
      <c r="Y244" s="148">
        <f t="shared" si="185"/>
        <v>0</v>
      </c>
      <c r="Z244" s="148">
        <f t="shared" si="185"/>
        <v>0</v>
      </c>
      <c r="AA244" s="148">
        <f t="shared" si="185"/>
        <v>0</v>
      </c>
      <c r="AB244" s="148">
        <f t="shared" si="185"/>
        <v>0</v>
      </c>
      <c r="AC244" s="148">
        <f t="shared" si="185"/>
        <v>0</v>
      </c>
      <c r="AD244" s="148">
        <f t="shared" si="183"/>
        <v>0</v>
      </c>
    </row>
    <row r="245" spans="1:30">
      <c r="A245" s="140">
        <f t="shared" si="184"/>
        <v>0</v>
      </c>
      <c r="B245" s="162" t="str">
        <f t="shared" si="164"/>
        <v>PI</v>
      </c>
      <c r="C245" s="159">
        <f t="shared" si="165"/>
        <v>0</v>
      </c>
      <c r="D245" s="160">
        <f t="shared" si="166"/>
        <v>0</v>
      </c>
      <c r="E245" s="144">
        <f t="shared" si="179"/>
        <v>0</v>
      </c>
      <c r="F245" s="161">
        <f>IF($F$231="No YEAR 8",0,IF(ISNA(VLOOKUP(A245,name_8,$F$9,0)),0,VLOOKUP(A245,name_8,$F$9,0)*(1+'1. SUMMARY'!$C$26)))</f>
        <v>0</v>
      </c>
      <c r="G245" s="146">
        <f t="shared" si="180"/>
        <v>0</v>
      </c>
      <c r="H245" s="146">
        <f t="shared" si="181"/>
        <v>0</v>
      </c>
      <c r="I245" s="147">
        <f t="shared" si="182"/>
        <v>0</v>
      </c>
      <c r="M245" s="148">
        <f t="shared" si="167"/>
        <v>0</v>
      </c>
      <c r="N245" s="148">
        <f t="shared" si="168"/>
        <v>0</v>
      </c>
      <c r="O245" s="148">
        <f t="shared" si="169"/>
        <v>0</v>
      </c>
      <c r="P245" s="148">
        <f t="shared" si="170"/>
        <v>0</v>
      </c>
      <c r="Q245" s="148">
        <f t="shared" si="171"/>
        <v>0</v>
      </c>
      <c r="R245" s="148">
        <f t="shared" si="172"/>
        <v>0</v>
      </c>
      <c r="S245" s="148">
        <f t="shared" si="173"/>
        <v>0</v>
      </c>
      <c r="T245" s="148">
        <f t="shared" si="174"/>
        <v>0</v>
      </c>
      <c r="U245" s="148">
        <f t="shared" si="175"/>
        <v>0</v>
      </c>
      <c r="V245" s="148">
        <f t="shared" si="176"/>
        <v>0</v>
      </c>
      <c r="W245" s="148">
        <f t="shared" si="177"/>
        <v>0</v>
      </c>
      <c r="X245" s="148">
        <f t="shared" si="185"/>
        <v>0</v>
      </c>
      <c r="Y245" s="148">
        <f t="shared" si="185"/>
        <v>0</v>
      </c>
      <c r="Z245" s="148">
        <f t="shared" si="185"/>
        <v>0</v>
      </c>
      <c r="AA245" s="148">
        <f t="shared" si="185"/>
        <v>0</v>
      </c>
      <c r="AB245" s="148">
        <f t="shared" si="185"/>
        <v>0</v>
      </c>
      <c r="AC245" s="148">
        <f t="shared" si="185"/>
        <v>0</v>
      </c>
      <c r="AD245" s="148">
        <f t="shared" si="183"/>
        <v>0</v>
      </c>
    </row>
    <row r="246" spans="1:30">
      <c r="A246" s="140">
        <f t="shared" si="184"/>
        <v>0</v>
      </c>
      <c r="B246" s="162" t="str">
        <f t="shared" si="164"/>
        <v>PI</v>
      </c>
      <c r="C246" s="159">
        <f t="shared" si="165"/>
        <v>0</v>
      </c>
      <c r="D246" s="160">
        <f t="shared" si="166"/>
        <v>0</v>
      </c>
      <c r="E246" s="144">
        <f t="shared" si="179"/>
        <v>0</v>
      </c>
      <c r="F246" s="161">
        <f>IF($F$231="No YEAR 8",0,IF(ISNA(VLOOKUP(A246,name_8,$F$9,0)),0,VLOOKUP(A246,name_8,$F$9,0)*(1+'1. SUMMARY'!$C$26)))</f>
        <v>0</v>
      </c>
      <c r="G246" s="146">
        <f t="shared" si="180"/>
        <v>0</v>
      </c>
      <c r="H246" s="146">
        <f t="shared" si="181"/>
        <v>0</v>
      </c>
      <c r="I246" s="147">
        <f t="shared" si="182"/>
        <v>0</v>
      </c>
      <c r="M246" s="148">
        <f t="shared" si="167"/>
        <v>0</v>
      </c>
      <c r="N246" s="148">
        <f t="shared" si="168"/>
        <v>0</v>
      </c>
      <c r="O246" s="148">
        <f t="shared" si="169"/>
        <v>0</v>
      </c>
      <c r="P246" s="148">
        <f t="shared" si="170"/>
        <v>0</v>
      </c>
      <c r="Q246" s="148">
        <f t="shared" si="171"/>
        <v>0</v>
      </c>
      <c r="R246" s="148">
        <f t="shared" si="172"/>
        <v>0</v>
      </c>
      <c r="S246" s="148">
        <f t="shared" si="173"/>
        <v>0</v>
      </c>
      <c r="T246" s="148">
        <f t="shared" si="174"/>
        <v>0</v>
      </c>
      <c r="U246" s="148">
        <f t="shared" si="175"/>
        <v>0</v>
      </c>
      <c r="V246" s="148">
        <f t="shared" si="176"/>
        <v>0</v>
      </c>
      <c r="W246" s="148">
        <f t="shared" si="177"/>
        <v>0</v>
      </c>
      <c r="X246" s="148">
        <f t="shared" si="185"/>
        <v>0</v>
      </c>
      <c r="Y246" s="148">
        <f t="shared" si="185"/>
        <v>0</v>
      </c>
      <c r="Z246" s="148">
        <f t="shared" si="185"/>
        <v>0</v>
      </c>
      <c r="AA246" s="148">
        <f t="shared" si="185"/>
        <v>0</v>
      </c>
      <c r="AB246" s="148">
        <f t="shared" si="185"/>
        <v>0</v>
      </c>
      <c r="AC246" s="148">
        <f t="shared" si="185"/>
        <v>0</v>
      </c>
      <c r="AD246" s="148">
        <f t="shared" si="183"/>
        <v>0</v>
      </c>
    </row>
    <row r="247" spans="1:30">
      <c r="A247" s="140">
        <f t="shared" si="184"/>
        <v>0</v>
      </c>
      <c r="B247" s="162" t="str">
        <f t="shared" si="164"/>
        <v>PI</v>
      </c>
      <c r="C247" s="159">
        <f t="shared" si="165"/>
        <v>0</v>
      </c>
      <c r="D247" s="160">
        <f t="shared" si="166"/>
        <v>0</v>
      </c>
      <c r="E247" s="144">
        <f t="shared" si="179"/>
        <v>0</v>
      </c>
      <c r="F247" s="161">
        <f>IF($F$231="No YEAR 8",0,IF(ISNA(VLOOKUP(A247,name_8,$F$9,0)),0,VLOOKUP(A247,name_8,$F$9,0)*(1+'1. SUMMARY'!$C$26)))</f>
        <v>0</v>
      </c>
      <c r="G247" s="146">
        <f t="shared" si="180"/>
        <v>0</v>
      </c>
      <c r="H247" s="146">
        <f t="shared" si="181"/>
        <v>0</v>
      </c>
      <c r="I247" s="147">
        <f t="shared" si="182"/>
        <v>0</v>
      </c>
      <c r="M247" s="148">
        <f t="shared" ref="M247:M258" si="186">IF($M$232=0,0,((G247/$AD$232)*$M$232)*VLOOKUP(C215,benefits,2,0))</f>
        <v>0</v>
      </c>
      <c r="N247" s="148">
        <f t="shared" si="168"/>
        <v>0</v>
      </c>
      <c r="O247" s="148">
        <f t="shared" si="169"/>
        <v>0</v>
      </c>
      <c r="P247" s="148">
        <f t="shared" si="170"/>
        <v>0</v>
      </c>
      <c r="Q247" s="148">
        <f t="shared" si="171"/>
        <v>0</v>
      </c>
      <c r="R247" s="148">
        <f t="shared" si="172"/>
        <v>0</v>
      </c>
      <c r="S247" s="148">
        <f t="shared" si="173"/>
        <v>0</v>
      </c>
      <c r="T247" s="148">
        <f t="shared" si="174"/>
        <v>0</v>
      </c>
      <c r="U247" s="148">
        <f t="shared" si="175"/>
        <v>0</v>
      </c>
      <c r="V247" s="148">
        <f t="shared" si="176"/>
        <v>0</v>
      </c>
      <c r="W247" s="148">
        <f t="shared" si="177"/>
        <v>0</v>
      </c>
      <c r="X247" s="148">
        <f t="shared" si="185"/>
        <v>0</v>
      </c>
      <c r="Y247" s="148">
        <f t="shared" si="185"/>
        <v>0</v>
      </c>
      <c r="Z247" s="148">
        <f t="shared" si="185"/>
        <v>0</v>
      </c>
      <c r="AA247" s="148">
        <f t="shared" si="185"/>
        <v>0</v>
      </c>
      <c r="AB247" s="148">
        <f t="shared" si="185"/>
        <v>0</v>
      </c>
      <c r="AC247" s="148">
        <f t="shared" si="185"/>
        <v>0</v>
      </c>
      <c r="AD247" s="148">
        <f t="shared" si="183"/>
        <v>0</v>
      </c>
    </row>
    <row r="248" spans="1:30">
      <c r="A248" s="140">
        <f t="shared" si="184"/>
        <v>0</v>
      </c>
      <c r="B248" s="162" t="str">
        <f t="shared" si="164"/>
        <v>PI</v>
      </c>
      <c r="C248" s="159">
        <f t="shared" si="165"/>
        <v>0</v>
      </c>
      <c r="D248" s="160">
        <f t="shared" si="166"/>
        <v>0</v>
      </c>
      <c r="E248" s="144">
        <f t="shared" si="179"/>
        <v>0</v>
      </c>
      <c r="F248" s="161">
        <f>IF($F$231="No YEAR 8",0,IF(ISNA(VLOOKUP(A248,name_8,$F$9,0)),0,VLOOKUP(A248,name_8,$F$9,0)*(1+'1. SUMMARY'!$C$26)))</f>
        <v>0</v>
      </c>
      <c r="G248" s="146">
        <f t="shared" si="180"/>
        <v>0</v>
      </c>
      <c r="H248" s="146">
        <f t="shared" si="181"/>
        <v>0</v>
      </c>
      <c r="I248" s="147">
        <f t="shared" si="182"/>
        <v>0</v>
      </c>
      <c r="M248" s="148">
        <f t="shared" si="186"/>
        <v>0</v>
      </c>
      <c r="N248" s="148">
        <f t="shared" si="168"/>
        <v>0</v>
      </c>
      <c r="O248" s="148">
        <f t="shared" si="169"/>
        <v>0</v>
      </c>
      <c r="P248" s="148">
        <f t="shared" si="170"/>
        <v>0</v>
      </c>
      <c r="Q248" s="148">
        <f t="shared" si="171"/>
        <v>0</v>
      </c>
      <c r="R248" s="148">
        <f t="shared" si="172"/>
        <v>0</v>
      </c>
      <c r="S248" s="148">
        <f t="shared" si="173"/>
        <v>0</v>
      </c>
      <c r="T248" s="148">
        <f t="shared" si="174"/>
        <v>0</v>
      </c>
      <c r="U248" s="148">
        <f t="shared" si="175"/>
        <v>0</v>
      </c>
      <c r="V248" s="148">
        <f t="shared" si="176"/>
        <v>0</v>
      </c>
      <c r="W248" s="148">
        <f t="shared" si="177"/>
        <v>0</v>
      </c>
      <c r="X248" s="148">
        <f t="shared" si="185"/>
        <v>0</v>
      </c>
      <c r="Y248" s="148">
        <f t="shared" si="185"/>
        <v>0</v>
      </c>
      <c r="Z248" s="148">
        <f t="shared" si="185"/>
        <v>0</v>
      </c>
      <c r="AA248" s="148">
        <f t="shared" si="185"/>
        <v>0</v>
      </c>
      <c r="AB248" s="148">
        <f t="shared" si="185"/>
        <v>0</v>
      </c>
      <c r="AC248" s="148">
        <f t="shared" si="185"/>
        <v>0</v>
      </c>
      <c r="AD248" s="148">
        <f t="shared" si="183"/>
        <v>0</v>
      </c>
    </row>
    <row r="249" spans="1:30">
      <c r="A249" s="140">
        <f t="shared" si="184"/>
        <v>0</v>
      </c>
      <c r="B249" s="162" t="str">
        <f t="shared" si="164"/>
        <v>PI</v>
      </c>
      <c r="C249" s="159">
        <f t="shared" si="165"/>
        <v>0</v>
      </c>
      <c r="D249" s="160">
        <f t="shared" si="166"/>
        <v>0</v>
      </c>
      <c r="E249" s="144">
        <f t="shared" si="179"/>
        <v>0</v>
      </c>
      <c r="F249" s="161">
        <f>IF($F$231="No YEAR 8",0,IF(ISNA(VLOOKUP(A249,name_8,$F$9,0)),0,VLOOKUP(A249,name_8,$F$9,0)*(1+'1. SUMMARY'!$C$26)))</f>
        <v>0</v>
      </c>
      <c r="G249" s="146">
        <f t="shared" si="180"/>
        <v>0</v>
      </c>
      <c r="H249" s="146">
        <f t="shared" si="181"/>
        <v>0</v>
      </c>
      <c r="I249" s="147">
        <f t="shared" si="182"/>
        <v>0</v>
      </c>
      <c r="M249" s="148">
        <f t="shared" si="186"/>
        <v>0</v>
      </c>
      <c r="N249" s="148">
        <f t="shared" si="168"/>
        <v>0</v>
      </c>
      <c r="O249" s="148">
        <f t="shared" si="169"/>
        <v>0</v>
      </c>
      <c r="P249" s="148">
        <f t="shared" si="170"/>
        <v>0</v>
      </c>
      <c r="Q249" s="148">
        <f t="shared" si="171"/>
        <v>0</v>
      </c>
      <c r="R249" s="148">
        <f t="shared" si="172"/>
        <v>0</v>
      </c>
      <c r="S249" s="148">
        <f t="shared" si="173"/>
        <v>0</v>
      </c>
      <c r="T249" s="148">
        <f t="shared" si="174"/>
        <v>0</v>
      </c>
      <c r="U249" s="148">
        <f t="shared" si="175"/>
        <v>0</v>
      </c>
      <c r="V249" s="148">
        <f t="shared" si="176"/>
        <v>0</v>
      </c>
      <c r="W249" s="148">
        <f t="shared" si="177"/>
        <v>0</v>
      </c>
      <c r="X249" s="148">
        <f t="shared" si="185"/>
        <v>0</v>
      </c>
      <c r="Y249" s="148">
        <f t="shared" si="185"/>
        <v>0</v>
      </c>
      <c r="Z249" s="148">
        <f t="shared" si="185"/>
        <v>0</v>
      </c>
      <c r="AA249" s="148">
        <f t="shared" si="185"/>
        <v>0</v>
      </c>
      <c r="AB249" s="148">
        <f t="shared" si="185"/>
        <v>0</v>
      </c>
      <c r="AC249" s="148">
        <f t="shared" si="185"/>
        <v>0</v>
      </c>
      <c r="AD249" s="148">
        <f t="shared" si="183"/>
        <v>0</v>
      </c>
    </row>
    <row r="250" spans="1:30">
      <c r="A250" s="140">
        <f t="shared" si="184"/>
        <v>0</v>
      </c>
      <c r="B250" s="162" t="str">
        <f t="shared" si="164"/>
        <v>PI</v>
      </c>
      <c r="C250" s="159">
        <f t="shared" si="165"/>
        <v>0</v>
      </c>
      <c r="D250" s="160">
        <f t="shared" si="166"/>
        <v>0</v>
      </c>
      <c r="E250" s="144">
        <f t="shared" si="179"/>
        <v>0</v>
      </c>
      <c r="F250" s="161">
        <f>IF($F$231="No YEAR 8",0,IF(ISNA(VLOOKUP(A250,name_8,$F$9,0)),0,VLOOKUP(A250,name_8,$F$9,0)*(1+'1. SUMMARY'!$C$26)))</f>
        <v>0</v>
      </c>
      <c r="G250" s="146">
        <f t="shared" si="180"/>
        <v>0</v>
      </c>
      <c r="H250" s="146">
        <f t="shared" si="181"/>
        <v>0</v>
      </c>
      <c r="I250" s="147">
        <f t="shared" si="182"/>
        <v>0</v>
      </c>
      <c r="M250" s="148">
        <f t="shared" si="186"/>
        <v>0</v>
      </c>
      <c r="N250" s="148">
        <f t="shared" si="168"/>
        <v>0</v>
      </c>
      <c r="O250" s="148">
        <f t="shared" si="169"/>
        <v>0</v>
      </c>
      <c r="P250" s="148">
        <f t="shared" si="170"/>
        <v>0</v>
      </c>
      <c r="Q250" s="148">
        <f t="shared" si="171"/>
        <v>0</v>
      </c>
      <c r="R250" s="148">
        <f t="shared" si="172"/>
        <v>0</v>
      </c>
      <c r="S250" s="148">
        <f t="shared" si="173"/>
        <v>0</v>
      </c>
      <c r="T250" s="148">
        <f t="shared" si="174"/>
        <v>0</v>
      </c>
      <c r="U250" s="148">
        <f t="shared" si="175"/>
        <v>0</v>
      </c>
      <c r="V250" s="148">
        <f t="shared" si="176"/>
        <v>0</v>
      </c>
      <c r="W250" s="148">
        <f t="shared" si="177"/>
        <v>0</v>
      </c>
      <c r="X250" s="148">
        <f t="shared" si="185"/>
        <v>0</v>
      </c>
      <c r="Y250" s="148">
        <f t="shared" si="185"/>
        <v>0</v>
      </c>
      <c r="Z250" s="148">
        <f t="shared" si="185"/>
        <v>0</v>
      </c>
      <c r="AA250" s="148">
        <f t="shared" si="185"/>
        <v>0</v>
      </c>
      <c r="AB250" s="148">
        <f t="shared" si="185"/>
        <v>0</v>
      </c>
      <c r="AC250" s="148">
        <f t="shared" si="185"/>
        <v>0</v>
      </c>
      <c r="AD250" s="148">
        <f t="shared" si="183"/>
        <v>0</v>
      </c>
    </row>
    <row r="251" spans="1:30">
      <c r="A251" s="140">
        <f t="shared" si="184"/>
        <v>0</v>
      </c>
      <c r="B251" s="162" t="str">
        <f t="shared" si="164"/>
        <v>PI</v>
      </c>
      <c r="C251" s="159">
        <f t="shared" si="165"/>
        <v>0</v>
      </c>
      <c r="D251" s="160">
        <f t="shared" si="166"/>
        <v>0</v>
      </c>
      <c r="E251" s="144">
        <f t="shared" si="179"/>
        <v>0</v>
      </c>
      <c r="F251" s="161">
        <f>IF($F$231="No YEAR 8",0,IF(ISNA(VLOOKUP(A251,name_8,$F$9,0)),0,VLOOKUP(A251,name_8,$F$9,0)*(1+'1. SUMMARY'!$C$26)))</f>
        <v>0</v>
      </c>
      <c r="G251" s="146">
        <f t="shared" si="180"/>
        <v>0</v>
      </c>
      <c r="H251" s="146">
        <f t="shared" si="181"/>
        <v>0</v>
      </c>
      <c r="I251" s="147">
        <f t="shared" si="182"/>
        <v>0</v>
      </c>
      <c r="M251" s="148">
        <f t="shared" si="186"/>
        <v>0</v>
      </c>
      <c r="N251" s="148">
        <f t="shared" si="168"/>
        <v>0</v>
      </c>
      <c r="O251" s="148">
        <f t="shared" si="169"/>
        <v>0</v>
      </c>
      <c r="P251" s="148">
        <f t="shared" si="170"/>
        <v>0</v>
      </c>
      <c r="Q251" s="148">
        <f t="shared" si="171"/>
        <v>0</v>
      </c>
      <c r="R251" s="148">
        <f t="shared" si="172"/>
        <v>0</v>
      </c>
      <c r="S251" s="148">
        <f t="shared" si="173"/>
        <v>0</v>
      </c>
      <c r="T251" s="148">
        <f t="shared" si="174"/>
        <v>0</v>
      </c>
      <c r="U251" s="148">
        <f t="shared" si="175"/>
        <v>0</v>
      </c>
      <c r="V251" s="148">
        <f t="shared" si="176"/>
        <v>0</v>
      </c>
      <c r="W251" s="148">
        <f t="shared" si="177"/>
        <v>0</v>
      </c>
      <c r="X251" s="148">
        <f t="shared" si="185"/>
        <v>0</v>
      </c>
      <c r="Y251" s="148">
        <f t="shared" si="185"/>
        <v>0</v>
      </c>
      <c r="Z251" s="148">
        <f t="shared" si="185"/>
        <v>0</v>
      </c>
      <c r="AA251" s="148">
        <f t="shared" si="185"/>
        <v>0</v>
      </c>
      <c r="AB251" s="148">
        <f t="shared" si="185"/>
        <v>0</v>
      </c>
      <c r="AC251" s="148">
        <f t="shared" si="185"/>
        <v>0</v>
      </c>
      <c r="AD251" s="148">
        <f t="shared" si="183"/>
        <v>0</v>
      </c>
    </row>
    <row r="252" spans="1:30">
      <c r="A252" s="140">
        <f t="shared" si="184"/>
        <v>0</v>
      </c>
      <c r="B252" s="162" t="str">
        <f t="shared" si="164"/>
        <v>PI</v>
      </c>
      <c r="C252" s="159">
        <f t="shared" si="165"/>
        <v>0</v>
      </c>
      <c r="D252" s="160">
        <f t="shared" si="166"/>
        <v>0</v>
      </c>
      <c r="E252" s="144">
        <f t="shared" si="179"/>
        <v>0</v>
      </c>
      <c r="F252" s="161">
        <f>IF($F$231="No YEAR 8",0,IF(ISNA(VLOOKUP(A252,name_8,$F$9,0)),0,VLOOKUP(A252,name_8,$F$9,0)*(1+'1. SUMMARY'!$C$26)))</f>
        <v>0</v>
      </c>
      <c r="G252" s="146">
        <f t="shared" si="180"/>
        <v>0</v>
      </c>
      <c r="H252" s="146">
        <f t="shared" si="181"/>
        <v>0</v>
      </c>
      <c r="I252" s="147">
        <f t="shared" si="182"/>
        <v>0</v>
      </c>
      <c r="M252" s="148">
        <f t="shared" si="186"/>
        <v>0</v>
      </c>
      <c r="N252" s="148">
        <f t="shared" si="168"/>
        <v>0</v>
      </c>
      <c r="O252" s="148">
        <f t="shared" si="169"/>
        <v>0</v>
      </c>
      <c r="P252" s="148">
        <f t="shared" si="170"/>
        <v>0</v>
      </c>
      <c r="Q252" s="148">
        <f t="shared" si="171"/>
        <v>0</v>
      </c>
      <c r="R252" s="148">
        <f t="shared" si="172"/>
        <v>0</v>
      </c>
      <c r="S252" s="148">
        <f t="shared" si="173"/>
        <v>0</v>
      </c>
      <c r="T252" s="148">
        <f t="shared" si="174"/>
        <v>0</v>
      </c>
      <c r="U252" s="148">
        <f t="shared" si="175"/>
        <v>0</v>
      </c>
      <c r="V252" s="148">
        <f t="shared" si="176"/>
        <v>0</v>
      </c>
      <c r="W252" s="148">
        <f t="shared" si="177"/>
        <v>0</v>
      </c>
      <c r="X252" s="148">
        <f t="shared" si="185"/>
        <v>0</v>
      </c>
      <c r="Y252" s="148">
        <f t="shared" si="185"/>
        <v>0</v>
      </c>
      <c r="Z252" s="148">
        <f t="shared" si="185"/>
        <v>0</v>
      </c>
      <c r="AA252" s="148">
        <f t="shared" si="185"/>
        <v>0</v>
      </c>
      <c r="AB252" s="148">
        <f t="shared" si="185"/>
        <v>0</v>
      </c>
      <c r="AC252" s="148">
        <f t="shared" si="185"/>
        <v>0</v>
      </c>
      <c r="AD252" s="148">
        <f t="shared" si="183"/>
        <v>0</v>
      </c>
    </row>
    <row r="253" spans="1:30">
      <c r="A253" s="140">
        <f t="shared" si="184"/>
        <v>0</v>
      </c>
      <c r="B253" s="162" t="str">
        <f t="shared" si="164"/>
        <v>PI</v>
      </c>
      <c r="C253" s="159">
        <f t="shared" si="165"/>
        <v>0</v>
      </c>
      <c r="D253" s="160">
        <f t="shared" si="166"/>
        <v>0</v>
      </c>
      <c r="E253" s="144">
        <f t="shared" si="179"/>
        <v>0</v>
      </c>
      <c r="F253" s="161">
        <f>IF($F$231="No YEAR 8",0,IF(ISNA(VLOOKUP(A253,name_8,$F$9,0)),0,VLOOKUP(A253,name_8,$F$9,0)*(1+'1. SUMMARY'!$C$26)))</f>
        <v>0</v>
      </c>
      <c r="G253" s="146">
        <f t="shared" si="180"/>
        <v>0</v>
      </c>
      <c r="H253" s="146">
        <f t="shared" si="181"/>
        <v>0</v>
      </c>
      <c r="I253" s="147">
        <f t="shared" si="182"/>
        <v>0</v>
      </c>
      <c r="M253" s="148">
        <f t="shared" si="186"/>
        <v>0</v>
      </c>
      <c r="N253" s="148">
        <f t="shared" si="168"/>
        <v>0</v>
      </c>
      <c r="O253" s="148">
        <f t="shared" si="169"/>
        <v>0</v>
      </c>
      <c r="P253" s="148">
        <f t="shared" si="170"/>
        <v>0</v>
      </c>
      <c r="Q253" s="148">
        <f t="shared" si="171"/>
        <v>0</v>
      </c>
      <c r="R253" s="148">
        <f t="shared" si="172"/>
        <v>0</v>
      </c>
      <c r="S253" s="148">
        <f t="shared" si="173"/>
        <v>0</v>
      </c>
      <c r="T253" s="148">
        <f t="shared" si="174"/>
        <v>0</v>
      </c>
      <c r="U253" s="148">
        <f t="shared" si="175"/>
        <v>0</v>
      </c>
      <c r="V253" s="148">
        <f t="shared" si="176"/>
        <v>0</v>
      </c>
      <c r="W253" s="148">
        <f t="shared" si="177"/>
        <v>0</v>
      </c>
      <c r="X253" s="148">
        <f t="shared" si="185"/>
        <v>0</v>
      </c>
      <c r="Y253" s="148">
        <f t="shared" si="185"/>
        <v>0</v>
      </c>
      <c r="Z253" s="148">
        <f t="shared" si="185"/>
        <v>0</v>
      </c>
      <c r="AA253" s="148">
        <f t="shared" si="185"/>
        <v>0</v>
      </c>
      <c r="AB253" s="148">
        <f t="shared" si="185"/>
        <v>0</v>
      </c>
      <c r="AC253" s="148">
        <f t="shared" si="185"/>
        <v>0</v>
      </c>
      <c r="AD253" s="148">
        <f t="shared" si="183"/>
        <v>0</v>
      </c>
    </row>
    <row r="254" spans="1:30">
      <c r="A254" s="140">
        <f t="shared" si="184"/>
        <v>0</v>
      </c>
      <c r="B254" s="162" t="str">
        <f t="shared" si="164"/>
        <v>PI</v>
      </c>
      <c r="C254" s="159">
        <f t="shared" si="165"/>
        <v>0</v>
      </c>
      <c r="D254" s="160">
        <f t="shared" si="166"/>
        <v>0</v>
      </c>
      <c r="E254" s="144">
        <f t="shared" si="179"/>
        <v>0</v>
      </c>
      <c r="F254" s="161">
        <f>IF($F$231="No YEAR 8",0,IF(ISNA(VLOOKUP(A254,name_8,$F$9,0)),0,VLOOKUP(A254,name_8,$F$9,0)*(1+'1. SUMMARY'!$C$26)))</f>
        <v>0</v>
      </c>
      <c r="G254" s="146">
        <f t="shared" si="180"/>
        <v>0</v>
      </c>
      <c r="H254" s="146">
        <f t="shared" si="181"/>
        <v>0</v>
      </c>
      <c r="I254" s="147">
        <f t="shared" si="182"/>
        <v>0</v>
      </c>
      <c r="M254" s="148">
        <f t="shared" si="186"/>
        <v>0</v>
      </c>
      <c r="N254" s="148">
        <f t="shared" si="168"/>
        <v>0</v>
      </c>
      <c r="O254" s="148">
        <f t="shared" si="169"/>
        <v>0</v>
      </c>
      <c r="P254" s="148">
        <f t="shared" si="170"/>
        <v>0</v>
      </c>
      <c r="Q254" s="148">
        <f t="shared" si="171"/>
        <v>0</v>
      </c>
      <c r="R254" s="148">
        <f t="shared" si="172"/>
        <v>0</v>
      </c>
      <c r="S254" s="148">
        <f t="shared" si="173"/>
        <v>0</v>
      </c>
      <c r="T254" s="148">
        <f t="shared" si="174"/>
        <v>0</v>
      </c>
      <c r="U254" s="148">
        <f t="shared" si="175"/>
        <v>0</v>
      </c>
      <c r="V254" s="148">
        <f t="shared" si="176"/>
        <v>0</v>
      </c>
      <c r="W254" s="148">
        <f t="shared" si="177"/>
        <v>0</v>
      </c>
      <c r="X254" s="148">
        <f t="shared" si="185"/>
        <v>0</v>
      </c>
      <c r="Y254" s="148">
        <f t="shared" si="185"/>
        <v>0</v>
      </c>
      <c r="Z254" s="148">
        <f t="shared" si="185"/>
        <v>0</v>
      </c>
      <c r="AA254" s="148">
        <f t="shared" si="185"/>
        <v>0</v>
      </c>
      <c r="AB254" s="148">
        <f t="shared" si="185"/>
        <v>0</v>
      </c>
      <c r="AC254" s="148">
        <f t="shared" si="185"/>
        <v>0</v>
      </c>
      <c r="AD254" s="148">
        <f t="shared" si="183"/>
        <v>0</v>
      </c>
    </row>
    <row r="255" spans="1:30">
      <c r="A255" s="140">
        <f t="shared" si="184"/>
        <v>0</v>
      </c>
      <c r="B255" s="162" t="str">
        <f t="shared" si="164"/>
        <v>PI</v>
      </c>
      <c r="C255" s="159">
        <f t="shared" si="165"/>
        <v>0</v>
      </c>
      <c r="D255" s="160">
        <f t="shared" si="166"/>
        <v>0</v>
      </c>
      <c r="E255" s="144">
        <f t="shared" si="179"/>
        <v>0</v>
      </c>
      <c r="F255" s="161">
        <f>IF($F$231="No YEAR 8",0,IF(ISNA(VLOOKUP(A255,name_8,$F$9,0)),0,VLOOKUP(A255,name_8,$F$9,0)*(1+'1. SUMMARY'!$C$26)))</f>
        <v>0</v>
      </c>
      <c r="G255" s="146">
        <f t="shared" si="180"/>
        <v>0</v>
      </c>
      <c r="H255" s="146">
        <f t="shared" si="181"/>
        <v>0</v>
      </c>
      <c r="I255" s="147">
        <f t="shared" si="182"/>
        <v>0</v>
      </c>
      <c r="M255" s="148">
        <f t="shared" si="186"/>
        <v>0</v>
      </c>
      <c r="N255" s="148">
        <f t="shared" si="168"/>
        <v>0</v>
      </c>
      <c r="O255" s="148">
        <f t="shared" si="169"/>
        <v>0</v>
      </c>
      <c r="P255" s="148">
        <f t="shared" si="170"/>
        <v>0</v>
      </c>
      <c r="Q255" s="148">
        <f t="shared" si="171"/>
        <v>0</v>
      </c>
      <c r="R255" s="148">
        <f t="shared" si="172"/>
        <v>0</v>
      </c>
      <c r="S255" s="148">
        <f t="shared" si="173"/>
        <v>0</v>
      </c>
      <c r="T255" s="148">
        <f t="shared" si="174"/>
        <v>0</v>
      </c>
      <c r="U255" s="148">
        <f t="shared" si="175"/>
        <v>0</v>
      </c>
      <c r="V255" s="148">
        <f t="shared" si="176"/>
        <v>0</v>
      </c>
      <c r="W255" s="148">
        <f t="shared" si="177"/>
        <v>0</v>
      </c>
      <c r="X255" s="148">
        <f t="shared" si="185"/>
        <v>0</v>
      </c>
      <c r="Y255" s="148">
        <f t="shared" si="185"/>
        <v>0</v>
      </c>
      <c r="Z255" s="148">
        <f t="shared" si="185"/>
        <v>0</v>
      </c>
      <c r="AA255" s="148">
        <f t="shared" si="185"/>
        <v>0</v>
      </c>
      <c r="AB255" s="148">
        <f t="shared" si="185"/>
        <v>0</v>
      </c>
      <c r="AC255" s="148">
        <f t="shared" si="185"/>
        <v>0</v>
      </c>
      <c r="AD255" s="148">
        <f t="shared" si="183"/>
        <v>0</v>
      </c>
    </row>
    <row r="256" spans="1:30">
      <c r="A256" s="140">
        <f t="shared" si="184"/>
        <v>0</v>
      </c>
      <c r="B256" s="162" t="str">
        <f t="shared" si="164"/>
        <v>PI</v>
      </c>
      <c r="C256" s="159">
        <f t="shared" si="165"/>
        <v>0</v>
      </c>
      <c r="D256" s="160">
        <f t="shared" si="166"/>
        <v>0</v>
      </c>
      <c r="E256" s="144">
        <f t="shared" si="179"/>
        <v>0</v>
      </c>
      <c r="F256" s="161">
        <f>IF($F$231="No YEAR 8",0,IF(ISNA(VLOOKUP(A256,name_8,$F$9,0)),0,VLOOKUP(A256,name_8,$F$9,0)*(1+'1. SUMMARY'!$C$26)))</f>
        <v>0</v>
      </c>
      <c r="G256" s="146">
        <f t="shared" si="180"/>
        <v>0</v>
      </c>
      <c r="H256" s="146">
        <f t="shared" si="181"/>
        <v>0</v>
      </c>
      <c r="I256" s="147">
        <f t="shared" si="182"/>
        <v>0</v>
      </c>
      <c r="M256" s="148">
        <f t="shared" si="186"/>
        <v>0</v>
      </c>
      <c r="N256" s="148">
        <f t="shared" si="168"/>
        <v>0</v>
      </c>
      <c r="O256" s="148">
        <f t="shared" si="169"/>
        <v>0</v>
      </c>
      <c r="P256" s="148">
        <f t="shared" si="170"/>
        <v>0</v>
      </c>
      <c r="Q256" s="148">
        <f t="shared" si="171"/>
        <v>0</v>
      </c>
      <c r="R256" s="148">
        <f t="shared" si="172"/>
        <v>0</v>
      </c>
      <c r="S256" s="148">
        <f t="shared" si="173"/>
        <v>0</v>
      </c>
      <c r="T256" s="148">
        <f t="shared" si="174"/>
        <v>0</v>
      </c>
      <c r="U256" s="148">
        <f t="shared" si="175"/>
        <v>0</v>
      </c>
      <c r="V256" s="148">
        <f t="shared" si="176"/>
        <v>0</v>
      </c>
      <c r="W256" s="148">
        <f t="shared" si="177"/>
        <v>0</v>
      </c>
      <c r="X256" s="148">
        <f t="shared" si="185"/>
        <v>0</v>
      </c>
      <c r="Y256" s="148">
        <f t="shared" si="185"/>
        <v>0</v>
      </c>
      <c r="Z256" s="148">
        <f t="shared" si="185"/>
        <v>0</v>
      </c>
      <c r="AA256" s="148">
        <f t="shared" si="185"/>
        <v>0</v>
      </c>
      <c r="AB256" s="148">
        <f t="shared" si="185"/>
        <v>0</v>
      </c>
      <c r="AC256" s="148">
        <f t="shared" si="185"/>
        <v>0</v>
      </c>
      <c r="AD256" s="148">
        <f t="shared" si="183"/>
        <v>0</v>
      </c>
    </row>
    <row r="257" spans="1:30">
      <c r="A257" s="140">
        <f t="shared" si="184"/>
        <v>0</v>
      </c>
      <c r="B257" s="162" t="str">
        <f t="shared" si="164"/>
        <v>PI</v>
      </c>
      <c r="C257" s="159">
        <f t="shared" si="165"/>
        <v>0</v>
      </c>
      <c r="D257" s="160">
        <f t="shared" si="166"/>
        <v>0</v>
      </c>
      <c r="E257" s="144">
        <f t="shared" si="179"/>
        <v>0</v>
      </c>
      <c r="F257" s="161">
        <f>IF($F$231="No YEAR 8",0,IF(ISNA(VLOOKUP(A257,name_8,$F$9,0)),0,VLOOKUP(A257,name_8,$F$9,0)*(1+'1. SUMMARY'!$C$26)))</f>
        <v>0</v>
      </c>
      <c r="G257" s="146">
        <f t="shared" si="180"/>
        <v>0</v>
      </c>
      <c r="H257" s="146">
        <f t="shared" si="181"/>
        <v>0</v>
      </c>
      <c r="I257" s="147">
        <f t="shared" si="182"/>
        <v>0</v>
      </c>
      <c r="M257" s="148">
        <f t="shared" si="186"/>
        <v>0</v>
      </c>
      <c r="N257" s="148">
        <f t="shared" si="168"/>
        <v>0</v>
      </c>
      <c r="O257" s="148">
        <f t="shared" si="169"/>
        <v>0</v>
      </c>
      <c r="P257" s="148">
        <f t="shared" si="170"/>
        <v>0</v>
      </c>
      <c r="Q257" s="148">
        <f t="shared" si="171"/>
        <v>0</v>
      </c>
      <c r="R257" s="148">
        <f t="shared" si="172"/>
        <v>0</v>
      </c>
      <c r="S257" s="148">
        <f t="shared" si="173"/>
        <v>0</v>
      </c>
      <c r="T257" s="148">
        <f t="shared" si="174"/>
        <v>0</v>
      </c>
      <c r="U257" s="148">
        <f t="shared" si="175"/>
        <v>0</v>
      </c>
      <c r="V257" s="148">
        <f t="shared" si="176"/>
        <v>0</v>
      </c>
      <c r="W257" s="148">
        <f t="shared" si="177"/>
        <v>0</v>
      </c>
      <c r="X257" s="148">
        <f t="shared" si="185"/>
        <v>0</v>
      </c>
      <c r="Y257" s="148">
        <f t="shared" si="185"/>
        <v>0</v>
      </c>
      <c r="Z257" s="148">
        <f t="shared" si="185"/>
        <v>0</v>
      </c>
      <c r="AA257" s="148">
        <f t="shared" si="185"/>
        <v>0</v>
      </c>
      <c r="AB257" s="148">
        <f t="shared" si="185"/>
        <v>0</v>
      </c>
      <c r="AC257" s="148">
        <f t="shared" si="185"/>
        <v>0</v>
      </c>
      <c r="AD257" s="148">
        <f t="shared" si="183"/>
        <v>0</v>
      </c>
    </row>
    <row r="258" spans="1:30">
      <c r="A258" s="140">
        <f t="shared" si="184"/>
        <v>0</v>
      </c>
      <c r="B258" s="162" t="str">
        <f t="shared" si="164"/>
        <v>PI</v>
      </c>
      <c r="C258" s="159">
        <f t="shared" si="165"/>
        <v>0</v>
      </c>
      <c r="D258" s="160">
        <f t="shared" si="166"/>
        <v>0</v>
      </c>
      <c r="E258" s="144">
        <f t="shared" si="179"/>
        <v>0</v>
      </c>
      <c r="F258" s="161">
        <f>IF($F$231="No YEAR 8",0,IF(ISNA(VLOOKUP(A258,name_8,$F$9,0)),0,VLOOKUP(A258,name_8,$F$9,0)*(1+'1. SUMMARY'!$C$26)))</f>
        <v>0</v>
      </c>
      <c r="G258" s="146">
        <f t="shared" si="180"/>
        <v>0</v>
      </c>
      <c r="H258" s="146">
        <f t="shared" si="181"/>
        <v>0</v>
      </c>
      <c r="I258" s="147">
        <f t="shared" si="182"/>
        <v>0</v>
      </c>
      <c r="M258" s="148">
        <f t="shared" si="186"/>
        <v>0</v>
      </c>
      <c r="N258" s="148">
        <f t="shared" si="168"/>
        <v>0</v>
      </c>
      <c r="O258" s="148">
        <f t="shared" si="169"/>
        <v>0</v>
      </c>
      <c r="P258" s="148">
        <f t="shared" si="170"/>
        <v>0</v>
      </c>
      <c r="Q258" s="148">
        <f t="shared" si="171"/>
        <v>0</v>
      </c>
      <c r="R258" s="148">
        <f t="shared" si="172"/>
        <v>0</v>
      </c>
      <c r="S258" s="148">
        <f t="shared" si="173"/>
        <v>0</v>
      </c>
      <c r="T258" s="148">
        <f t="shared" si="174"/>
        <v>0</v>
      </c>
      <c r="U258" s="148">
        <f t="shared" si="175"/>
        <v>0</v>
      </c>
      <c r="V258" s="148">
        <f t="shared" si="176"/>
        <v>0</v>
      </c>
      <c r="W258" s="148">
        <f t="shared" si="177"/>
        <v>0</v>
      </c>
      <c r="X258" s="148">
        <f t="shared" si="185"/>
        <v>0</v>
      </c>
      <c r="Y258" s="148">
        <f t="shared" si="185"/>
        <v>0</v>
      </c>
      <c r="Z258" s="148">
        <f t="shared" si="185"/>
        <v>0</v>
      </c>
      <c r="AA258" s="148">
        <f t="shared" si="185"/>
        <v>0</v>
      </c>
      <c r="AB258" s="148">
        <f t="shared" si="185"/>
        <v>0</v>
      </c>
      <c r="AC258" s="148">
        <f t="shared" si="185"/>
        <v>0</v>
      </c>
      <c r="AD258" s="148">
        <f t="shared" si="183"/>
        <v>0</v>
      </c>
    </row>
    <row r="259" spans="1:30" ht="14" thickBot="1">
      <c r="A259" s="117"/>
      <c r="B259" s="117"/>
      <c r="C259" s="150" t="s">
        <v>47</v>
      </c>
      <c r="D259" s="151"/>
      <c r="E259" s="152"/>
      <c r="F259" s="152"/>
      <c r="G259" s="153">
        <f>SUM(G234:G258)</f>
        <v>0</v>
      </c>
      <c r="H259" s="153">
        <f>SUM(H234:H258)</f>
        <v>0</v>
      </c>
      <c r="I259" s="154">
        <f>SUM(I234:I258)</f>
        <v>0</v>
      </c>
    </row>
    <row r="261" spans="1:30">
      <c r="M261" s="114" t="s">
        <v>109</v>
      </c>
      <c r="S261" s="148"/>
    </row>
    <row r="262" spans="1:30">
      <c r="A262" s="124"/>
      <c r="B262" s="124"/>
      <c r="C262" s="120"/>
      <c r="D262" s="127"/>
      <c r="E262" s="128"/>
      <c r="F262" s="128"/>
      <c r="G262" s="128"/>
      <c r="H262" s="128"/>
      <c r="I262" s="128"/>
      <c r="M262" s="121">
        <f>+Sheet1!$T$8</f>
        <v>44105</v>
      </c>
      <c r="N262" s="121">
        <f>+Sheet1!$U$8</f>
        <v>44470</v>
      </c>
      <c r="O262" s="121">
        <f>+Sheet1!$V$8</f>
        <v>44835</v>
      </c>
      <c r="P262" s="121">
        <f>+Sheet1!$W$8</f>
        <v>45200</v>
      </c>
      <c r="Q262" s="121">
        <f>+Sheet1!$X$8</f>
        <v>45566</v>
      </c>
      <c r="R262" s="121">
        <f>+Sheet1!$Y$8</f>
        <v>45931</v>
      </c>
      <c r="S262" s="121">
        <f>+Sheet1!$Z$8</f>
        <v>46296</v>
      </c>
      <c r="T262" s="121">
        <f>+Sheet1!$AA$8</f>
        <v>46661</v>
      </c>
      <c r="U262" s="121">
        <f>+Sheet1!$AB$8</f>
        <v>47027</v>
      </c>
      <c r="V262" s="121">
        <f>+Sheet1!$AC$8</f>
        <v>47392</v>
      </c>
      <c r="W262" s="121">
        <f>+Sheet1!$AD$8</f>
        <v>47757</v>
      </c>
      <c r="X262" s="121">
        <f>+Sheet1!AE$8</f>
        <v>48122</v>
      </c>
      <c r="Y262" s="121">
        <f>+Sheet1!AF$8</f>
        <v>48488</v>
      </c>
      <c r="Z262" s="121">
        <f>+Sheet1!AG$8</f>
        <v>48853</v>
      </c>
      <c r="AA262" s="121">
        <f>+Sheet1!AH$8</f>
        <v>49218</v>
      </c>
      <c r="AB262" s="121">
        <f>+Sheet1!AI$8</f>
        <v>49583</v>
      </c>
      <c r="AC262" s="121">
        <f>+Sheet1!AJ$8</f>
        <v>49949</v>
      </c>
      <c r="AD262" s="117"/>
    </row>
    <row r="263" spans="1:30">
      <c r="A263" s="118" t="s">
        <v>113</v>
      </c>
      <c r="B263" s="118"/>
      <c r="C263" s="118"/>
      <c r="D263" s="129"/>
      <c r="E263" s="130"/>
      <c r="F263" s="131" t="str">
        <f>IF(F231="No "&amp;A231,"No "&amp;A263,IF(+H231+1&gt;'1. SUMMARY'!$C$18,"No "&amp;A263,+H231+1))</f>
        <v>No YEAR 9</v>
      </c>
      <c r="G263" s="131" t="str">
        <f>"----"</f>
        <v>----</v>
      </c>
      <c r="H263" s="131" t="str">
        <f>IF(F263="No "&amp;A263,"No "&amp;A263,IF(H231='1. SUMMARY'!Q209,"a",IF((DATE(YEAR(F263),MONTH(F263)+12,DAY(F263)-1))&lt;=('1. SUMMARY'!$C$18),DATE(YEAR(F263),MONTH(F263)+12,DAY(F263)-1),'1. SUMMARY'!$C$18)))</f>
        <v>No YEAR 9</v>
      </c>
      <c r="I263" s="132"/>
      <c r="M263" s="121">
        <f>+Sheet1!$T$9</f>
        <v>44469</v>
      </c>
      <c r="N263" s="121">
        <f>+Sheet1!$U$9</f>
        <v>44834</v>
      </c>
      <c r="O263" s="121">
        <f>+Sheet1!$V$9</f>
        <v>45199</v>
      </c>
      <c r="P263" s="121">
        <f>+Sheet1!$W$9</f>
        <v>45565</v>
      </c>
      <c r="Q263" s="121">
        <f>+Sheet1!$X$9</f>
        <v>45930</v>
      </c>
      <c r="R263" s="121">
        <f>+Sheet1!$Y$9</f>
        <v>46295</v>
      </c>
      <c r="S263" s="121">
        <f>+Sheet1!$Z$9</f>
        <v>46660</v>
      </c>
      <c r="T263" s="121">
        <f>+Sheet1!$AA$9</f>
        <v>47026</v>
      </c>
      <c r="U263" s="121">
        <f>+Sheet1!$AB$9</f>
        <v>47391</v>
      </c>
      <c r="V263" s="121">
        <f>+Sheet1!$AC$9</f>
        <v>47756</v>
      </c>
      <c r="W263" s="121">
        <f>+Sheet1!$AD$9</f>
        <v>48121</v>
      </c>
      <c r="X263" s="121">
        <f>+Sheet1!AE$9</f>
        <v>48487</v>
      </c>
      <c r="Y263" s="121">
        <f>+Sheet1!AF$9</f>
        <v>48852</v>
      </c>
      <c r="Z263" s="121">
        <f>+Sheet1!AG$9</f>
        <v>49217</v>
      </c>
      <c r="AA263" s="121">
        <f>+Sheet1!AH$9</f>
        <v>49582</v>
      </c>
      <c r="AB263" s="121">
        <f>+Sheet1!AI$9</f>
        <v>49948</v>
      </c>
      <c r="AC263" s="121">
        <f>+Sheet1!AJ$9</f>
        <v>50313</v>
      </c>
      <c r="AD263" s="117"/>
    </row>
    <row r="264" spans="1:30" ht="28">
      <c r="A264" s="133" t="s">
        <v>39</v>
      </c>
      <c r="B264" s="134" t="s">
        <v>40</v>
      </c>
      <c r="C264" s="134" t="s">
        <v>41</v>
      </c>
      <c r="D264" s="135" t="s">
        <v>42</v>
      </c>
      <c r="E264" s="136" t="s">
        <v>43</v>
      </c>
      <c r="F264" s="136" t="s">
        <v>44</v>
      </c>
      <c r="G264" s="136" t="s">
        <v>45</v>
      </c>
      <c r="H264" s="136" t="s">
        <v>46</v>
      </c>
      <c r="I264" s="137" t="s">
        <v>47</v>
      </c>
      <c r="M264" s="117">
        <f>IF(IF(M263&lt;F263,0,DATEDIF(F263,M263+1,"m"))&lt;0,0,IF(M263&lt;F263,0,DATEDIF(F263,M263+1,"m")))</f>
        <v>0</v>
      </c>
      <c r="N264" s="117">
        <f>IF(IF(M264=12,0,IF(N263&gt;H263,12-DATEDIF(H263,N263+1,"m"),IF(N263&lt;F263,0,DATEDIF(F263,N263+1,"m"))))&lt;0,0,IF(M264=12,0,IF(N263&gt;H263,12-DATEDIF(H263,N263+1,"m"),IF(N263&lt;F263,0,DATEDIF(F263,N263+1,"m")))))</f>
        <v>0</v>
      </c>
      <c r="O264" s="117">
        <f>IF(IF(M264+N264=12,0,IF(O263&gt;H263,12-DATEDIF(H263,O263+1,"m"),IF(O263&lt;F263,0,DATEDIF(F263,O263+1,"m"))))&lt;0,0,IF(M264+N264=12,0,IF(O263&gt;H263,12-DATEDIF(H263,O263+1,"m"),IF(O263&lt;F263,0,DATEDIF(F263,O263+1,"m")))))</f>
        <v>0</v>
      </c>
      <c r="P264" s="117">
        <f>IF(IF(N264+O264+M264=12,0,IF(P263&gt;H263,12-DATEDIF(H263,P263+1,"m"),IF(P263&lt;F263,0,DATEDIF(F263,P263+1,"m"))))&lt;0,0,IF(N264+O264+M264=12,0,IF(P263&gt;H263,12-DATEDIF(H263,P263+1,"m"),IF(P263&lt;F263,0,DATEDIF(F263,P263+1,"m")))))</f>
        <v>0</v>
      </c>
      <c r="Q264" s="117">
        <f>IF(IF(M264+O264+P264+N264=12,0,IF(Q263&gt;H263,12-DATEDIF(H263,Q263+1,"m"),IF(Q263&lt;F263,0,DATEDIF(F263,Q263+1,"m"))))&lt;0,0,IF(M264+O264+P264+N264=12,0,IF(Q263&gt;H263,12-DATEDIF(H263,Q263+1,"m"),IF(Q263&lt;F263,0,DATEDIF(F263,Q263+1,"m")))))</f>
        <v>0</v>
      </c>
      <c r="R264" s="117">
        <f>IF(IF(P264+Q264+O264+N264+M264=12,0,IF(R263&gt;$H$263,12-DATEDIF($H$263,R263+1,"m"),IF(R263&lt;$F$263,0,DATEDIF($F$263,R263+1,"m"))))&lt;0,0,IF(P264+Q264+O264+N264+M264=12,0,IF(R263&gt;$H$263,12-DATEDIF($H$263,R263+1,"m"),IF(R263&lt;$F$263,0,DATEDIF($F$263,R263+1,"m")))))</f>
        <v>0</v>
      </c>
      <c r="S264" s="117">
        <f>IF(IF(Q264+R264+P264+O264+N264+M264=12,0,IF(S263&gt;$H$263,12-DATEDIF($H$263,S263+1,"m"),IF(S263&lt;$F$263,0,DATEDIF($F$263,S263+1,"m"))))&lt;0,0,IF(Q264+R264+P264+O264+N264+M264=12,0,IF(S263&gt;$H$263,12-DATEDIF($H$263,S263+1,"m"),IF(S263&lt;$F$263,0,DATEDIF($F$263,S263+1,"m")))))</f>
        <v>0</v>
      </c>
      <c r="T264" s="117">
        <f>IF(IF(R264+S264+Q264+P264+O264+N264+M264=12,0,IF(T263&gt;$H$263,12-DATEDIF($H$263,T263+1,"m"),IF(T263&lt;$F$263,0,DATEDIF($F$263,T263+1,"m"))))&lt;0,0,IF(R264+S264+Q264+P264+O264+N264+M264=12,0,IF(T263&gt;$H$263,12-DATEDIF($H$263,T263+1,"m"),IF(T263&lt;$F$263,0,DATEDIF($F$263,T263+1,"m")))))</f>
        <v>0</v>
      </c>
      <c r="U264" s="117">
        <f>IF(IF(M264+S264+T264+R264+Q264+P264+O264+N264=12,0,IF(U263&gt;$H$263,12-DATEDIF($H$263,U263+1,"m"),IF(U263&lt;$F$263,0,DATEDIF($F$263,U263+1,"m"))))&lt;0,0,IF(M264+S264+T264+R264+Q264+P264+O264+N264=12,0,IF(U263&gt;$H$263,12-DATEDIF($H$263,U263+1,"m"),IF(U263&lt;$F$263,0,DATEDIF($F$263,U263+1,"m")))))</f>
        <v>0</v>
      </c>
      <c r="V264" s="117">
        <f>IF(IF(M264+N264+T264+U264+S264+R264+Q264+P264+O264=12,0,IF(V263&gt;$H$263,12-DATEDIF($H$263,V263+1,"m"),IF(V263&lt;$F$263,0,DATEDIF($F$263,V263+1,"m"))))&lt;0,0,IF(T264+U264+S264+R264+Q264+P264+O264+M264+N264=12,0,IF(V263&gt;$H$263,12-DATEDIF($H$263,V263+1,"m"),IF(V263&lt;$F$263,0,DATEDIF($F$263,V263+1,"m")))))</f>
        <v>0</v>
      </c>
      <c r="W264" s="117">
        <f>IF(IF(M264+N264+O264+U264+V264+T264+S264+R264+Q264+P264=12,0,IF(W263&gt;$H$263,12-DATEDIF($H$263,W263+1,"m"),IF(W263&lt;$F$263,0,DATEDIF($F$263,W263+1,"m"))))&lt;0,0,IF(M264+U264+V264+T264+S264+R264+Q264+P264+N264+O264=12,0,IF(W263&gt;$H$263,12-DATEDIF($H$263,W263+1,"m"),IF(W263&lt;$F$263,0,DATEDIF($F$263,W263+1,"m")))))</f>
        <v>0</v>
      </c>
      <c r="X264" s="117">
        <f>IF(IF(M264+N264+O264+P264+V264+W264+U264+T264+S264+R264+Q264=12,0,IF(X263&gt;$H$263,12-DATEDIF($H$263,X263+1,"m"),IF(X263&lt;$F$263,0,DATEDIF($F$263,X263+1,"m"))))&lt;0,0,IF(M264+N264+V264+W264+U264+T264+S264+R264+Q264+O264+P264=12,0,IF(X263&gt;$H$263,12-DATEDIF($H$263,X263+1,"m"),IF(X263&lt;$F$263,0,DATEDIF($F$263,X263+1,"m")))))</f>
        <v>0</v>
      </c>
      <c r="Y264" s="117">
        <f>IF(IF(+M264+N264+O264+P264+Q264+W264+X264+V264+U264+T264+S264+R264=12,0,IF(Y263&gt;$H$263,12-DATEDIF($H$263,Y263+1,"m"),IF(Y263&lt;$F$263,0,DATEDIF($F$263,Y263+1,"m"))))&lt;0,0,IF(M264+N264+O264+W264+X264+V264+U264+T264+S264+R264+P264+Q264=12,0,IF(Y263&gt;$H$263,12-DATEDIF($H$263,Y263+1,"m"),IF(Y263&lt;$F$263,0,DATEDIF($F$263,Y263+1,"m")))))</f>
        <v>0</v>
      </c>
      <c r="Z264" s="117">
        <f>IF(IF(M264+N264+O264+P264+Q264+R264+X264+Y264+W264+V264+U264+T264+S264=12,0,IF(Z263&gt;$H$263,12-DATEDIF($H$263,Z263+1,"m"),IF(Z263&lt;$F$263,0,DATEDIF($F$263,Z263+1,"m"))))&lt;0,0,IF(M264+N264+O264+P264+X264+Y264+W264+V264+U264+T264+S264+Q264+R264=12,0,IF(Z263&gt;$H$263,12-DATEDIF($H$263,Z263+1,"m"),IF(Z263&lt;$F$263,0,DATEDIF($F$263,Z263+1,"m")))))</f>
        <v>0</v>
      </c>
      <c r="AA264" s="117">
        <f>IF(IF(M264+N264+O264+P264+Q264+R264+S264+Y264+Z264+X264+W264+V264+U264+T264=12,0,IF(AA263&gt;$H$263,12-DATEDIF($H$263,AA263+1,"m"),IF(AA263&lt;$F$263,0,DATEDIF($F$263,AA263+1,"m"))))&lt;0,0,IF(M264+N264+O264+P264+Q264+Y264+Z264+X264+W264+V264+U264+T264+R264+S264=12,0,IF(AA263&gt;$H$263,12-DATEDIF($H$263,AA263+1,"m"),IF(AA263&lt;$F$263,0,DATEDIF($F$263,AA263+1,"m")))))</f>
        <v>0</v>
      </c>
      <c r="AB264" s="117">
        <f>IF(IF(M264+N264+O264+P264+Q264+R264+S264+T264+Z264+AA264+Y264+X264+W264+V264+U264=12,0,IF(AB263&gt;$H$263,12-DATEDIF($H$263,AB263+1,"m"),IF(AB263&lt;$F$263,0,DATEDIF($F$263,AB263+1,"m"))))&lt;0,0,IF(M264+N264+O264+P264+Q264+R264+Z264+AA264+Y264+X264+W264+V264+U264+S264+T264=12,0,IF(AB263&gt;$H$263,12-DATEDIF($H$263,AB263+1,"m"),IF(AB263&lt;$F$263,0,DATEDIF($F$263,AB263+1,"m")))))</f>
        <v>0</v>
      </c>
      <c r="AC264" s="117">
        <f>IF(IF(M264+N264+O264+P264+Q264+R264+S264+T264+U264+AA264+AB264+Z264+Y264+X264+W264+V264=12,0,IF(AC263&gt;$H$263,12-DATEDIF($H$263,AC263+1,"m"),IF(AC263&lt;$F$263,0,DATEDIF($F$263,AC263+1,"m"))))&lt;0,0,IF(M264+N264+O264+P264+Q264+R264+S264+AA264+AB264+Z264+Y264+X264+W264+V264+T264+U264=12,0,IF(AC263&gt;$H$263,12-DATEDIF($H$263,AC263+1,"m"),IF(AC263&lt;$F$263,0,DATEDIF($F$263,AC263+1,"m")))))</f>
        <v>0</v>
      </c>
      <c r="AD264" s="117">
        <f>SUM(M264:AC264)</f>
        <v>0</v>
      </c>
    </row>
    <row r="265" spans="1:30">
      <c r="A265" s="164"/>
      <c r="B265" s="164"/>
      <c r="C265" s="124"/>
      <c r="D265" s="165"/>
      <c r="E265" s="166"/>
      <c r="F265" s="166"/>
      <c r="G265" s="166"/>
      <c r="H265" s="166"/>
      <c r="I265" s="167"/>
      <c r="M265" s="148"/>
      <c r="N265" s="139"/>
      <c r="O265" s="139"/>
      <c r="P265" s="139"/>
      <c r="Q265" s="139"/>
      <c r="R265" s="139"/>
      <c r="S265" s="139"/>
      <c r="T265" s="139"/>
      <c r="U265" s="139"/>
      <c r="V265" s="139"/>
      <c r="W265" s="139"/>
      <c r="X265" s="139"/>
      <c r="Y265" s="139"/>
      <c r="Z265" s="139"/>
      <c r="AA265" s="139"/>
      <c r="AB265" s="139"/>
      <c r="AC265" s="139"/>
      <c r="AD265" s="139"/>
    </row>
    <row r="266" spans="1:30">
      <c r="A266" s="157">
        <f>+A234</f>
        <v>0</v>
      </c>
      <c r="B266" s="158" t="str">
        <f t="shared" ref="B266:B290" si="187">IF(ISNA(VLOOKUP($A266,name_2,$B$9,0)),"",VLOOKUP($A266,name_2,$B$9,0))</f>
        <v>PI</v>
      </c>
      <c r="C266" s="159">
        <f t="shared" ref="C266:C290" si="188">IF(ISNA(VLOOKUP($A266,name_2,$C$9,0)),"",VLOOKUP($A266,name_2,$C$9,0))</f>
        <v>0</v>
      </c>
      <c r="D266" s="160">
        <f t="shared" ref="D266:D290" si="189">IF(ISNA(VLOOKUP($A266,name_2,$D$9,0)),0,VLOOKUP($A266,name_2,$D$9,0))</f>
        <v>0</v>
      </c>
      <c r="E266" s="144">
        <f>IF(ISNA($AD$264*D266),0,$AD$264*D266)</f>
        <v>0</v>
      </c>
      <c r="F266" s="161">
        <f>IF($F$263="No YEAR 9",0,IF(ISNA(VLOOKUP(A266,name_9,$F$9,0)),0,VLOOKUP(A266,name_9,$F$9,0)*(1+'1. SUMMARY'!$C$26)))</f>
        <v>0</v>
      </c>
      <c r="G266" s="146">
        <f>(F266/12)*$AD$264*D266</f>
        <v>0</v>
      </c>
      <c r="H266" s="146">
        <f>IF(ISNA(+AD266),0,AD266)</f>
        <v>0</v>
      </c>
      <c r="I266" s="147">
        <f>SUM(G266:H266)</f>
        <v>0</v>
      </c>
      <c r="M266" s="148">
        <f t="shared" ref="M266:M278" si="190">IF($M$264=0,0,((G266/$AD$264)*$M$264)*VLOOKUP(C266,benefits,2,0))</f>
        <v>0</v>
      </c>
      <c r="N266" s="148">
        <f t="shared" ref="N266:N290" si="191">IF($N$264=0,0,((G266/$AD$264)*$N$264)*VLOOKUP(C266,benefits,3,0))</f>
        <v>0</v>
      </c>
      <c r="O266" s="148">
        <f t="shared" ref="O266:O290" si="192">IF($O$264=0,0,((G266/$AD$264)*$O$264)*VLOOKUP(C266,benefits,4,0))</f>
        <v>0</v>
      </c>
      <c r="P266" s="148">
        <f t="shared" ref="P266:P290" si="193">IF($P$264=0,0,((G266/$AD$264)*$P$264)*VLOOKUP(C266,benefits,5,0))</f>
        <v>0</v>
      </c>
      <c r="Q266" s="148">
        <f t="shared" ref="Q266:Q290" si="194">IF(Q$264=0,0,(($G266/$AD$264)*Q$264)*VLOOKUP(C266,benefits,6,0))</f>
        <v>0</v>
      </c>
      <c r="R266" s="148">
        <f t="shared" ref="R266:R290" si="195">IF(R$264=0,0,(($G266/$AD$264)*R$264)*VLOOKUP(C266,benefits,7,0))</f>
        <v>0</v>
      </c>
      <c r="S266" s="148">
        <f t="shared" ref="S266:S290" si="196">IF(S$264=0,0,(($G266/$AD$264)*S$264)*VLOOKUP(C266,benefits,8,0))</f>
        <v>0</v>
      </c>
      <c r="T266" s="148">
        <f t="shared" ref="T266:T290" si="197">IF(T$264=0,0,(($G266/$AD$264)*T$264)*VLOOKUP(C266,benefits,9,0))</f>
        <v>0</v>
      </c>
      <c r="U266" s="148">
        <f t="shared" ref="U266:U290" si="198">IF(U$264=0,0,(($G266/$AD$264)*U$264)*VLOOKUP(C266,benefits,10,0))</f>
        <v>0</v>
      </c>
      <c r="V266" s="148">
        <f t="shared" ref="V266:V290" si="199">IF(V$264=0,0,(($G266/$AD$264)*V$264)*VLOOKUP(C266,benefits,11,0))</f>
        <v>0</v>
      </c>
      <c r="W266" s="148">
        <f t="shared" ref="W266:W290" si="200">IF(W$264=0,0,(($G266/$AD$264)*W$264)*VLOOKUP(C266,benefits,12,0))</f>
        <v>0</v>
      </c>
      <c r="X266" s="148">
        <f t="shared" ref="X266:AC275" si="201">IF(X$264=0,0,(($G266/$AD$264)*X$264)*VLOOKUP($C266,benefits,12,0))</f>
        <v>0</v>
      </c>
      <c r="Y266" s="148">
        <f t="shared" si="201"/>
        <v>0</v>
      </c>
      <c r="Z266" s="148">
        <f t="shared" si="201"/>
        <v>0</v>
      </c>
      <c r="AA266" s="148">
        <f t="shared" si="201"/>
        <v>0</v>
      </c>
      <c r="AB266" s="148">
        <f t="shared" si="201"/>
        <v>0</v>
      </c>
      <c r="AC266" s="148">
        <f t="shared" si="201"/>
        <v>0</v>
      </c>
      <c r="AD266" s="148">
        <f>SUM(M266:AC266)</f>
        <v>0</v>
      </c>
    </row>
    <row r="267" spans="1:30">
      <c r="A267" s="140">
        <f>+A235</f>
        <v>0</v>
      </c>
      <c r="B267" s="162" t="str">
        <f t="shared" si="187"/>
        <v>PI</v>
      </c>
      <c r="C267" s="159">
        <f t="shared" si="188"/>
        <v>0</v>
      </c>
      <c r="D267" s="160">
        <f t="shared" si="189"/>
        <v>0</v>
      </c>
      <c r="E267" s="144">
        <f t="shared" ref="E267:E290" si="202">IF(ISNA($AD$264*D267),0,$AD$264*D267)</f>
        <v>0</v>
      </c>
      <c r="F267" s="161">
        <f>IF($F$263="No YEAR 9",0,IF(ISNA(VLOOKUP(A267,name_9,$F$9,0)),0,VLOOKUP(A267,name_9,$F$9,0)*(1+'1. SUMMARY'!$C$26)))</f>
        <v>0</v>
      </c>
      <c r="G267" s="146">
        <f t="shared" ref="G267:G290" si="203">(F267/12)*$AD$264*D267</f>
        <v>0</v>
      </c>
      <c r="H267" s="146">
        <f t="shared" ref="H267:H290" si="204">IF(ISNA(+AD267),0,AD267)</f>
        <v>0</v>
      </c>
      <c r="I267" s="147">
        <f t="shared" ref="I267:I290" si="205">SUM(G267:H267)</f>
        <v>0</v>
      </c>
      <c r="M267" s="148">
        <f t="shared" si="190"/>
        <v>0</v>
      </c>
      <c r="N267" s="148">
        <f t="shared" si="191"/>
        <v>0</v>
      </c>
      <c r="O267" s="148">
        <f t="shared" si="192"/>
        <v>0</v>
      </c>
      <c r="P267" s="148">
        <f t="shared" si="193"/>
        <v>0</v>
      </c>
      <c r="Q267" s="148">
        <f t="shared" si="194"/>
        <v>0</v>
      </c>
      <c r="R267" s="148">
        <f t="shared" si="195"/>
        <v>0</v>
      </c>
      <c r="S267" s="148">
        <f t="shared" si="196"/>
        <v>0</v>
      </c>
      <c r="T267" s="148">
        <f t="shared" si="197"/>
        <v>0</v>
      </c>
      <c r="U267" s="148">
        <f t="shared" si="198"/>
        <v>0</v>
      </c>
      <c r="V267" s="148">
        <f t="shared" si="199"/>
        <v>0</v>
      </c>
      <c r="W267" s="148">
        <f t="shared" si="200"/>
        <v>0</v>
      </c>
      <c r="X267" s="148">
        <f t="shared" si="201"/>
        <v>0</v>
      </c>
      <c r="Y267" s="148">
        <f t="shared" si="201"/>
        <v>0</v>
      </c>
      <c r="Z267" s="148">
        <f t="shared" si="201"/>
        <v>0</v>
      </c>
      <c r="AA267" s="148">
        <f t="shared" si="201"/>
        <v>0</v>
      </c>
      <c r="AB267" s="148">
        <f t="shared" si="201"/>
        <v>0</v>
      </c>
      <c r="AC267" s="148">
        <f t="shared" si="201"/>
        <v>0</v>
      </c>
      <c r="AD267" s="148">
        <f t="shared" ref="AD267:AD290" si="206">SUM(M267:AC267)</f>
        <v>0</v>
      </c>
    </row>
    <row r="268" spans="1:30">
      <c r="A268" s="140">
        <f t="shared" ref="A268:A290" si="207">+A236</f>
        <v>0</v>
      </c>
      <c r="B268" s="162" t="str">
        <f t="shared" si="187"/>
        <v>PI</v>
      </c>
      <c r="C268" s="159">
        <f t="shared" si="188"/>
        <v>0</v>
      </c>
      <c r="D268" s="160">
        <f t="shared" si="189"/>
        <v>0</v>
      </c>
      <c r="E268" s="144">
        <f t="shared" si="202"/>
        <v>0</v>
      </c>
      <c r="F268" s="161">
        <f>IF($F$263="No YEAR 9",0,IF(ISNA(VLOOKUP(A268,name_9,$F$9,0)),0,VLOOKUP(A268,name_9,$F$9,0)*(1+'1. SUMMARY'!$C$26)))</f>
        <v>0</v>
      </c>
      <c r="G268" s="146">
        <f t="shared" si="203"/>
        <v>0</v>
      </c>
      <c r="H268" s="146">
        <f t="shared" si="204"/>
        <v>0</v>
      </c>
      <c r="I268" s="147">
        <f t="shared" si="205"/>
        <v>0</v>
      </c>
      <c r="M268" s="148">
        <f t="shared" si="190"/>
        <v>0</v>
      </c>
      <c r="N268" s="148">
        <f t="shared" si="191"/>
        <v>0</v>
      </c>
      <c r="O268" s="148">
        <f t="shared" si="192"/>
        <v>0</v>
      </c>
      <c r="P268" s="148">
        <f t="shared" si="193"/>
        <v>0</v>
      </c>
      <c r="Q268" s="148">
        <f t="shared" si="194"/>
        <v>0</v>
      </c>
      <c r="R268" s="148">
        <f t="shared" si="195"/>
        <v>0</v>
      </c>
      <c r="S268" s="148">
        <f t="shared" si="196"/>
        <v>0</v>
      </c>
      <c r="T268" s="148">
        <f t="shared" si="197"/>
        <v>0</v>
      </c>
      <c r="U268" s="148">
        <f t="shared" si="198"/>
        <v>0</v>
      </c>
      <c r="V268" s="148">
        <f t="shared" si="199"/>
        <v>0</v>
      </c>
      <c r="W268" s="148">
        <f t="shared" si="200"/>
        <v>0</v>
      </c>
      <c r="X268" s="148">
        <f t="shared" si="201"/>
        <v>0</v>
      </c>
      <c r="Y268" s="148">
        <f t="shared" si="201"/>
        <v>0</v>
      </c>
      <c r="Z268" s="148">
        <f t="shared" si="201"/>
        <v>0</v>
      </c>
      <c r="AA268" s="148">
        <f t="shared" si="201"/>
        <v>0</v>
      </c>
      <c r="AB268" s="148">
        <f t="shared" si="201"/>
        <v>0</v>
      </c>
      <c r="AC268" s="148">
        <f t="shared" si="201"/>
        <v>0</v>
      </c>
      <c r="AD268" s="148">
        <f t="shared" si="206"/>
        <v>0</v>
      </c>
    </row>
    <row r="269" spans="1:30">
      <c r="A269" s="140">
        <f t="shared" si="207"/>
        <v>0</v>
      </c>
      <c r="B269" s="162" t="str">
        <f t="shared" si="187"/>
        <v>PI</v>
      </c>
      <c r="C269" s="159">
        <f t="shared" si="188"/>
        <v>0</v>
      </c>
      <c r="D269" s="160">
        <f t="shared" si="189"/>
        <v>0</v>
      </c>
      <c r="E269" s="144">
        <f t="shared" si="202"/>
        <v>0</v>
      </c>
      <c r="F269" s="161">
        <f>IF($F$263="No YEAR 9",0,IF(ISNA(VLOOKUP(A269,name_9,$F$9,0)),0,VLOOKUP(A269,name_9,$F$9,0)*(1+'1. SUMMARY'!$C$26)))</f>
        <v>0</v>
      </c>
      <c r="G269" s="146">
        <f t="shared" si="203"/>
        <v>0</v>
      </c>
      <c r="H269" s="146">
        <f t="shared" si="204"/>
        <v>0</v>
      </c>
      <c r="I269" s="147">
        <f t="shared" si="205"/>
        <v>0</v>
      </c>
      <c r="M269" s="148">
        <f t="shared" si="190"/>
        <v>0</v>
      </c>
      <c r="N269" s="148">
        <f t="shared" si="191"/>
        <v>0</v>
      </c>
      <c r="O269" s="148">
        <f t="shared" si="192"/>
        <v>0</v>
      </c>
      <c r="P269" s="148">
        <f t="shared" si="193"/>
        <v>0</v>
      </c>
      <c r="Q269" s="148">
        <f t="shared" si="194"/>
        <v>0</v>
      </c>
      <c r="R269" s="148">
        <f t="shared" si="195"/>
        <v>0</v>
      </c>
      <c r="S269" s="148">
        <f t="shared" si="196"/>
        <v>0</v>
      </c>
      <c r="T269" s="148">
        <f t="shared" si="197"/>
        <v>0</v>
      </c>
      <c r="U269" s="148">
        <f t="shared" si="198"/>
        <v>0</v>
      </c>
      <c r="V269" s="148">
        <f t="shared" si="199"/>
        <v>0</v>
      </c>
      <c r="W269" s="148">
        <f t="shared" si="200"/>
        <v>0</v>
      </c>
      <c r="X269" s="148">
        <f t="shared" si="201"/>
        <v>0</v>
      </c>
      <c r="Y269" s="148">
        <f t="shared" si="201"/>
        <v>0</v>
      </c>
      <c r="Z269" s="148">
        <f t="shared" si="201"/>
        <v>0</v>
      </c>
      <c r="AA269" s="148">
        <f t="shared" si="201"/>
        <v>0</v>
      </c>
      <c r="AB269" s="148">
        <f t="shared" si="201"/>
        <v>0</v>
      </c>
      <c r="AC269" s="148">
        <f t="shared" si="201"/>
        <v>0</v>
      </c>
      <c r="AD269" s="148">
        <f t="shared" si="206"/>
        <v>0</v>
      </c>
    </row>
    <row r="270" spans="1:30">
      <c r="A270" s="140">
        <f t="shared" si="207"/>
        <v>0</v>
      </c>
      <c r="B270" s="162" t="str">
        <f t="shared" si="187"/>
        <v>PI</v>
      </c>
      <c r="C270" s="159">
        <f t="shared" si="188"/>
        <v>0</v>
      </c>
      <c r="D270" s="160">
        <f t="shared" si="189"/>
        <v>0</v>
      </c>
      <c r="E270" s="144">
        <f t="shared" si="202"/>
        <v>0</v>
      </c>
      <c r="F270" s="161">
        <f>IF($F$263="No YEAR 9",0,IF(ISNA(VLOOKUP(A270,name_9,$F$9,0)),0,VLOOKUP(A270,name_9,$F$9,0)*(1+'1. SUMMARY'!$C$26)))</f>
        <v>0</v>
      </c>
      <c r="G270" s="146">
        <f t="shared" si="203"/>
        <v>0</v>
      </c>
      <c r="H270" s="146">
        <f t="shared" si="204"/>
        <v>0</v>
      </c>
      <c r="I270" s="147">
        <f t="shared" si="205"/>
        <v>0</v>
      </c>
      <c r="M270" s="148">
        <f t="shared" si="190"/>
        <v>0</v>
      </c>
      <c r="N270" s="148">
        <f t="shared" si="191"/>
        <v>0</v>
      </c>
      <c r="O270" s="148">
        <f t="shared" si="192"/>
        <v>0</v>
      </c>
      <c r="P270" s="148">
        <f t="shared" si="193"/>
        <v>0</v>
      </c>
      <c r="Q270" s="148">
        <f t="shared" si="194"/>
        <v>0</v>
      </c>
      <c r="R270" s="148">
        <f t="shared" si="195"/>
        <v>0</v>
      </c>
      <c r="S270" s="148">
        <f t="shared" si="196"/>
        <v>0</v>
      </c>
      <c r="T270" s="148">
        <f t="shared" si="197"/>
        <v>0</v>
      </c>
      <c r="U270" s="148">
        <f t="shared" si="198"/>
        <v>0</v>
      </c>
      <c r="V270" s="148">
        <f t="shared" si="199"/>
        <v>0</v>
      </c>
      <c r="W270" s="148">
        <f t="shared" si="200"/>
        <v>0</v>
      </c>
      <c r="X270" s="148">
        <f t="shared" si="201"/>
        <v>0</v>
      </c>
      <c r="Y270" s="148">
        <f t="shared" si="201"/>
        <v>0</v>
      </c>
      <c r="Z270" s="148">
        <f t="shared" si="201"/>
        <v>0</v>
      </c>
      <c r="AA270" s="148">
        <f t="shared" si="201"/>
        <v>0</v>
      </c>
      <c r="AB270" s="148">
        <f t="shared" si="201"/>
        <v>0</v>
      </c>
      <c r="AC270" s="148">
        <f t="shared" si="201"/>
        <v>0</v>
      </c>
      <c r="AD270" s="148">
        <f t="shared" si="206"/>
        <v>0</v>
      </c>
    </row>
    <row r="271" spans="1:30">
      <c r="A271" s="140">
        <f t="shared" si="207"/>
        <v>0</v>
      </c>
      <c r="B271" s="162" t="str">
        <f t="shared" si="187"/>
        <v>PI</v>
      </c>
      <c r="C271" s="159">
        <f t="shared" si="188"/>
        <v>0</v>
      </c>
      <c r="D271" s="160">
        <f t="shared" si="189"/>
        <v>0</v>
      </c>
      <c r="E271" s="144">
        <f t="shared" si="202"/>
        <v>0</v>
      </c>
      <c r="F271" s="161">
        <f>IF($F$263="No YEAR 9",0,IF(ISNA(VLOOKUP(A271,name_9,$F$9,0)),0,VLOOKUP(A271,name_9,$F$9,0)*(1+'1. SUMMARY'!$C$26)))</f>
        <v>0</v>
      </c>
      <c r="G271" s="146">
        <f t="shared" si="203"/>
        <v>0</v>
      </c>
      <c r="H271" s="146">
        <f t="shared" si="204"/>
        <v>0</v>
      </c>
      <c r="I271" s="147">
        <f t="shared" si="205"/>
        <v>0</v>
      </c>
      <c r="M271" s="148">
        <f t="shared" si="190"/>
        <v>0</v>
      </c>
      <c r="N271" s="148">
        <f t="shared" si="191"/>
        <v>0</v>
      </c>
      <c r="O271" s="148">
        <f t="shared" si="192"/>
        <v>0</v>
      </c>
      <c r="P271" s="148">
        <f t="shared" si="193"/>
        <v>0</v>
      </c>
      <c r="Q271" s="148">
        <f t="shared" si="194"/>
        <v>0</v>
      </c>
      <c r="R271" s="148">
        <f t="shared" si="195"/>
        <v>0</v>
      </c>
      <c r="S271" s="148">
        <f t="shared" si="196"/>
        <v>0</v>
      </c>
      <c r="T271" s="148">
        <f t="shared" si="197"/>
        <v>0</v>
      </c>
      <c r="U271" s="148">
        <f t="shared" si="198"/>
        <v>0</v>
      </c>
      <c r="V271" s="148">
        <f t="shared" si="199"/>
        <v>0</v>
      </c>
      <c r="W271" s="148">
        <f t="shared" si="200"/>
        <v>0</v>
      </c>
      <c r="X271" s="148">
        <f t="shared" si="201"/>
        <v>0</v>
      </c>
      <c r="Y271" s="148">
        <f t="shared" si="201"/>
        <v>0</v>
      </c>
      <c r="Z271" s="148">
        <f t="shared" si="201"/>
        <v>0</v>
      </c>
      <c r="AA271" s="148">
        <f t="shared" si="201"/>
        <v>0</v>
      </c>
      <c r="AB271" s="148">
        <f t="shared" si="201"/>
        <v>0</v>
      </c>
      <c r="AC271" s="148">
        <f t="shared" si="201"/>
        <v>0</v>
      </c>
      <c r="AD271" s="148">
        <f t="shared" si="206"/>
        <v>0</v>
      </c>
    </row>
    <row r="272" spans="1:30">
      <c r="A272" s="140">
        <f t="shared" si="207"/>
        <v>0</v>
      </c>
      <c r="B272" s="162" t="str">
        <f t="shared" si="187"/>
        <v>PI</v>
      </c>
      <c r="C272" s="159">
        <f t="shared" si="188"/>
        <v>0</v>
      </c>
      <c r="D272" s="160">
        <f t="shared" si="189"/>
        <v>0</v>
      </c>
      <c r="E272" s="144">
        <f t="shared" si="202"/>
        <v>0</v>
      </c>
      <c r="F272" s="161">
        <f>IF($F$263="No YEAR 9",0,IF(ISNA(VLOOKUP(A272,name_9,$F$9,0)),0,VLOOKUP(A272,name_9,$F$9,0)*(1+'1. SUMMARY'!$C$26)))</f>
        <v>0</v>
      </c>
      <c r="G272" s="146">
        <f t="shared" si="203"/>
        <v>0</v>
      </c>
      <c r="H272" s="146">
        <f t="shared" si="204"/>
        <v>0</v>
      </c>
      <c r="I272" s="147">
        <f t="shared" si="205"/>
        <v>0</v>
      </c>
      <c r="M272" s="148">
        <f t="shared" si="190"/>
        <v>0</v>
      </c>
      <c r="N272" s="148">
        <f t="shared" si="191"/>
        <v>0</v>
      </c>
      <c r="O272" s="148">
        <f t="shared" si="192"/>
        <v>0</v>
      </c>
      <c r="P272" s="148">
        <f t="shared" si="193"/>
        <v>0</v>
      </c>
      <c r="Q272" s="148">
        <f t="shared" si="194"/>
        <v>0</v>
      </c>
      <c r="R272" s="148">
        <f t="shared" si="195"/>
        <v>0</v>
      </c>
      <c r="S272" s="148">
        <f t="shared" si="196"/>
        <v>0</v>
      </c>
      <c r="T272" s="148">
        <f t="shared" si="197"/>
        <v>0</v>
      </c>
      <c r="U272" s="148">
        <f t="shared" si="198"/>
        <v>0</v>
      </c>
      <c r="V272" s="148">
        <f t="shared" si="199"/>
        <v>0</v>
      </c>
      <c r="W272" s="148">
        <f t="shared" si="200"/>
        <v>0</v>
      </c>
      <c r="X272" s="148">
        <f t="shared" si="201"/>
        <v>0</v>
      </c>
      <c r="Y272" s="148">
        <f t="shared" si="201"/>
        <v>0</v>
      </c>
      <c r="Z272" s="148">
        <f t="shared" si="201"/>
        <v>0</v>
      </c>
      <c r="AA272" s="148">
        <f t="shared" si="201"/>
        <v>0</v>
      </c>
      <c r="AB272" s="148">
        <f t="shared" si="201"/>
        <v>0</v>
      </c>
      <c r="AC272" s="148">
        <f t="shared" si="201"/>
        <v>0</v>
      </c>
      <c r="AD272" s="148">
        <f t="shared" si="206"/>
        <v>0</v>
      </c>
    </row>
    <row r="273" spans="1:30">
      <c r="A273" s="140">
        <f t="shared" si="207"/>
        <v>0</v>
      </c>
      <c r="B273" s="162" t="str">
        <f t="shared" si="187"/>
        <v>PI</v>
      </c>
      <c r="C273" s="159">
        <f t="shared" si="188"/>
        <v>0</v>
      </c>
      <c r="D273" s="160">
        <f t="shared" si="189"/>
        <v>0</v>
      </c>
      <c r="E273" s="144">
        <f t="shared" si="202"/>
        <v>0</v>
      </c>
      <c r="F273" s="161">
        <f>IF($F$263="No YEAR 9",0,IF(ISNA(VLOOKUP(A273,name_9,$F$9,0)),0,VLOOKUP(A273,name_9,$F$9,0)*(1+'1. SUMMARY'!$C$26)))</f>
        <v>0</v>
      </c>
      <c r="G273" s="146">
        <f t="shared" si="203"/>
        <v>0</v>
      </c>
      <c r="H273" s="146">
        <f t="shared" si="204"/>
        <v>0</v>
      </c>
      <c r="I273" s="147">
        <f t="shared" si="205"/>
        <v>0</v>
      </c>
      <c r="M273" s="148">
        <f t="shared" si="190"/>
        <v>0</v>
      </c>
      <c r="N273" s="148">
        <f t="shared" si="191"/>
        <v>0</v>
      </c>
      <c r="O273" s="148">
        <f t="shared" si="192"/>
        <v>0</v>
      </c>
      <c r="P273" s="148">
        <f t="shared" si="193"/>
        <v>0</v>
      </c>
      <c r="Q273" s="148">
        <f t="shared" si="194"/>
        <v>0</v>
      </c>
      <c r="R273" s="148">
        <f t="shared" si="195"/>
        <v>0</v>
      </c>
      <c r="S273" s="148">
        <f t="shared" si="196"/>
        <v>0</v>
      </c>
      <c r="T273" s="148">
        <f t="shared" si="197"/>
        <v>0</v>
      </c>
      <c r="U273" s="148">
        <f t="shared" si="198"/>
        <v>0</v>
      </c>
      <c r="V273" s="148">
        <f t="shared" si="199"/>
        <v>0</v>
      </c>
      <c r="W273" s="148">
        <f t="shared" si="200"/>
        <v>0</v>
      </c>
      <c r="X273" s="148">
        <f t="shared" si="201"/>
        <v>0</v>
      </c>
      <c r="Y273" s="148">
        <f t="shared" si="201"/>
        <v>0</v>
      </c>
      <c r="Z273" s="148">
        <f t="shared" si="201"/>
        <v>0</v>
      </c>
      <c r="AA273" s="148">
        <f t="shared" si="201"/>
        <v>0</v>
      </c>
      <c r="AB273" s="148">
        <f t="shared" si="201"/>
        <v>0</v>
      </c>
      <c r="AC273" s="148">
        <f t="shared" si="201"/>
        <v>0</v>
      </c>
      <c r="AD273" s="148">
        <f t="shared" si="206"/>
        <v>0</v>
      </c>
    </row>
    <row r="274" spans="1:30">
      <c r="A274" s="140">
        <f t="shared" si="207"/>
        <v>0</v>
      </c>
      <c r="B274" s="162" t="str">
        <f t="shared" si="187"/>
        <v>PI</v>
      </c>
      <c r="C274" s="159">
        <f t="shared" si="188"/>
        <v>0</v>
      </c>
      <c r="D274" s="160">
        <f t="shared" si="189"/>
        <v>0</v>
      </c>
      <c r="E274" s="144">
        <f t="shared" si="202"/>
        <v>0</v>
      </c>
      <c r="F274" s="161">
        <f>IF($F$263="No YEAR 9",0,IF(ISNA(VLOOKUP(A274,name_9,$F$9,0)),0,VLOOKUP(A274,name_9,$F$9,0)*(1+'1. SUMMARY'!$C$26)))</f>
        <v>0</v>
      </c>
      <c r="G274" s="146">
        <f t="shared" si="203"/>
        <v>0</v>
      </c>
      <c r="H274" s="146">
        <f t="shared" si="204"/>
        <v>0</v>
      </c>
      <c r="I274" s="147">
        <f t="shared" si="205"/>
        <v>0</v>
      </c>
      <c r="M274" s="148">
        <f t="shared" si="190"/>
        <v>0</v>
      </c>
      <c r="N274" s="148">
        <f t="shared" si="191"/>
        <v>0</v>
      </c>
      <c r="O274" s="148">
        <f t="shared" si="192"/>
        <v>0</v>
      </c>
      <c r="P274" s="148">
        <f t="shared" si="193"/>
        <v>0</v>
      </c>
      <c r="Q274" s="148">
        <f t="shared" si="194"/>
        <v>0</v>
      </c>
      <c r="R274" s="148">
        <f t="shared" si="195"/>
        <v>0</v>
      </c>
      <c r="S274" s="148">
        <f t="shared" si="196"/>
        <v>0</v>
      </c>
      <c r="T274" s="148">
        <f t="shared" si="197"/>
        <v>0</v>
      </c>
      <c r="U274" s="148">
        <f t="shared" si="198"/>
        <v>0</v>
      </c>
      <c r="V274" s="148">
        <f t="shared" si="199"/>
        <v>0</v>
      </c>
      <c r="W274" s="148">
        <f t="shared" si="200"/>
        <v>0</v>
      </c>
      <c r="X274" s="148">
        <f t="shared" si="201"/>
        <v>0</v>
      </c>
      <c r="Y274" s="148">
        <f t="shared" si="201"/>
        <v>0</v>
      </c>
      <c r="Z274" s="148">
        <f t="shared" si="201"/>
        <v>0</v>
      </c>
      <c r="AA274" s="148">
        <f t="shared" si="201"/>
        <v>0</v>
      </c>
      <c r="AB274" s="148">
        <f t="shared" si="201"/>
        <v>0</v>
      </c>
      <c r="AC274" s="148">
        <f t="shared" si="201"/>
        <v>0</v>
      </c>
      <c r="AD274" s="148">
        <f t="shared" si="206"/>
        <v>0</v>
      </c>
    </row>
    <row r="275" spans="1:30">
      <c r="A275" s="140">
        <f t="shared" si="207"/>
        <v>0</v>
      </c>
      <c r="B275" s="162" t="str">
        <f t="shared" si="187"/>
        <v>PI</v>
      </c>
      <c r="C275" s="159">
        <f t="shared" si="188"/>
        <v>0</v>
      </c>
      <c r="D275" s="160">
        <f t="shared" si="189"/>
        <v>0</v>
      </c>
      <c r="E275" s="144">
        <f t="shared" si="202"/>
        <v>0</v>
      </c>
      <c r="F275" s="161">
        <f>IF($F$263="No YEAR 9",0,IF(ISNA(VLOOKUP(A275,name_9,$F$9,0)),0,VLOOKUP(A275,name_9,$F$9,0)*(1+'1. SUMMARY'!$C$26)))</f>
        <v>0</v>
      </c>
      <c r="G275" s="146">
        <f t="shared" si="203"/>
        <v>0</v>
      </c>
      <c r="H275" s="146">
        <f t="shared" si="204"/>
        <v>0</v>
      </c>
      <c r="I275" s="147">
        <f t="shared" si="205"/>
        <v>0</v>
      </c>
      <c r="M275" s="148">
        <f t="shared" si="190"/>
        <v>0</v>
      </c>
      <c r="N275" s="148">
        <f t="shared" si="191"/>
        <v>0</v>
      </c>
      <c r="O275" s="148">
        <f t="shared" si="192"/>
        <v>0</v>
      </c>
      <c r="P275" s="148">
        <f t="shared" si="193"/>
        <v>0</v>
      </c>
      <c r="Q275" s="148">
        <f t="shared" si="194"/>
        <v>0</v>
      </c>
      <c r="R275" s="148">
        <f t="shared" si="195"/>
        <v>0</v>
      </c>
      <c r="S275" s="148">
        <f t="shared" si="196"/>
        <v>0</v>
      </c>
      <c r="T275" s="148">
        <f t="shared" si="197"/>
        <v>0</v>
      </c>
      <c r="U275" s="148">
        <f t="shared" si="198"/>
        <v>0</v>
      </c>
      <c r="V275" s="148">
        <f t="shared" si="199"/>
        <v>0</v>
      </c>
      <c r="W275" s="148">
        <f t="shared" si="200"/>
        <v>0</v>
      </c>
      <c r="X275" s="148">
        <f t="shared" si="201"/>
        <v>0</v>
      </c>
      <c r="Y275" s="148">
        <f t="shared" si="201"/>
        <v>0</v>
      </c>
      <c r="Z275" s="148">
        <f t="shared" si="201"/>
        <v>0</v>
      </c>
      <c r="AA275" s="148">
        <f t="shared" si="201"/>
        <v>0</v>
      </c>
      <c r="AB275" s="148">
        <f t="shared" si="201"/>
        <v>0</v>
      </c>
      <c r="AC275" s="148">
        <f t="shared" si="201"/>
        <v>0</v>
      </c>
      <c r="AD275" s="148">
        <f t="shared" si="206"/>
        <v>0</v>
      </c>
    </row>
    <row r="276" spans="1:30">
      <c r="A276" s="140">
        <f t="shared" si="207"/>
        <v>0</v>
      </c>
      <c r="B276" s="162" t="str">
        <f t="shared" si="187"/>
        <v>PI</v>
      </c>
      <c r="C276" s="159">
        <f t="shared" si="188"/>
        <v>0</v>
      </c>
      <c r="D276" s="160">
        <f t="shared" si="189"/>
        <v>0</v>
      </c>
      <c r="E276" s="144">
        <f t="shared" si="202"/>
        <v>0</v>
      </c>
      <c r="F276" s="161">
        <f>IF($F$263="No YEAR 9",0,IF(ISNA(VLOOKUP(A276,name_9,$F$9,0)),0,VLOOKUP(A276,name_9,$F$9,0)*(1+'1. SUMMARY'!$C$26)))</f>
        <v>0</v>
      </c>
      <c r="G276" s="146">
        <f t="shared" si="203"/>
        <v>0</v>
      </c>
      <c r="H276" s="146">
        <f t="shared" si="204"/>
        <v>0</v>
      </c>
      <c r="I276" s="147">
        <f t="shared" si="205"/>
        <v>0</v>
      </c>
      <c r="M276" s="148">
        <f t="shared" si="190"/>
        <v>0</v>
      </c>
      <c r="N276" s="148">
        <f t="shared" si="191"/>
        <v>0</v>
      </c>
      <c r="O276" s="148">
        <f t="shared" si="192"/>
        <v>0</v>
      </c>
      <c r="P276" s="148">
        <f t="shared" si="193"/>
        <v>0</v>
      </c>
      <c r="Q276" s="148">
        <f t="shared" si="194"/>
        <v>0</v>
      </c>
      <c r="R276" s="148">
        <f t="shared" si="195"/>
        <v>0</v>
      </c>
      <c r="S276" s="148">
        <f t="shared" si="196"/>
        <v>0</v>
      </c>
      <c r="T276" s="148">
        <f t="shared" si="197"/>
        <v>0</v>
      </c>
      <c r="U276" s="148">
        <f t="shared" si="198"/>
        <v>0</v>
      </c>
      <c r="V276" s="148">
        <f t="shared" si="199"/>
        <v>0</v>
      </c>
      <c r="W276" s="148">
        <f t="shared" si="200"/>
        <v>0</v>
      </c>
      <c r="X276" s="148">
        <f t="shared" ref="X276:AC290" si="208">IF(X$264=0,0,(($G276/$AD$264)*X$264)*VLOOKUP($C276,benefits,12,0))</f>
        <v>0</v>
      </c>
      <c r="Y276" s="148">
        <f t="shared" si="208"/>
        <v>0</v>
      </c>
      <c r="Z276" s="148">
        <f t="shared" si="208"/>
        <v>0</v>
      </c>
      <c r="AA276" s="148">
        <f t="shared" si="208"/>
        <v>0</v>
      </c>
      <c r="AB276" s="148">
        <f t="shared" si="208"/>
        <v>0</v>
      </c>
      <c r="AC276" s="148">
        <f t="shared" si="208"/>
        <v>0</v>
      </c>
      <c r="AD276" s="148">
        <f t="shared" si="206"/>
        <v>0</v>
      </c>
    </row>
    <row r="277" spans="1:30">
      <c r="A277" s="140">
        <f t="shared" si="207"/>
        <v>0</v>
      </c>
      <c r="B277" s="162" t="str">
        <f t="shared" si="187"/>
        <v>PI</v>
      </c>
      <c r="C277" s="159">
        <f t="shared" si="188"/>
        <v>0</v>
      </c>
      <c r="D277" s="160">
        <f t="shared" si="189"/>
        <v>0</v>
      </c>
      <c r="E277" s="144">
        <f t="shared" si="202"/>
        <v>0</v>
      </c>
      <c r="F277" s="161">
        <f>IF($F$263="No YEAR 9",0,IF(ISNA(VLOOKUP(A277,name_9,$F$9,0)),0,VLOOKUP(A277,name_9,$F$9,0)*(1+'1. SUMMARY'!$C$26)))</f>
        <v>0</v>
      </c>
      <c r="G277" s="146">
        <f t="shared" si="203"/>
        <v>0</v>
      </c>
      <c r="H277" s="146">
        <f t="shared" si="204"/>
        <v>0</v>
      </c>
      <c r="I277" s="147">
        <f t="shared" si="205"/>
        <v>0</v>
      </c>
      <c r="M277" s="148">
        <f t="shared" si="190"/>
        <v>0</v>
      </c>
      <c r="N277" s="148">
        <f t="shared" si="191"/>
        <v>0</v>
      </c>
      <c r="O277" s="148">
        <f t="shared" si="192"/>
        <v>0</v>
      </c>
      <c r="P277" s="148">
        <f t="shared" si="193"/>
        <v>0</v>
      </c>
      <c r="Q277" s="148">
        <f t="shared" si="194"/>
        <v>0</v>
      </c>
      <c r="R277" s="148">
        <f t="shared" si="195"/>
        <v>0</v>
      </c>
      <c r="S277" s="148">
        <f t="shared" si="196"/>
        <v>0</v>
      </c>
      <c r="T277" s="148">
        <f t="shared" si="197"/>
        <v>0</v>
      </c>
      <c r="U277" s="148">
        <f t="shared" si="198"/>
        <v>0</v>
      </c>
      <c r="V277" s="148">
        <f t="shared" si="199"/>
        <v>0</v>
      </c>
      <c r="W277" s="148">
        <f t="shared" si="200"/>
        <v>0</v>
      </c>
      <c r="X277" s="148">
        <f t="shared" si="208"/>
        <v>0</v>
      </c>
      <c r="Y277" s="148">
        <f t="shared" si="208"/>
        <v>0</v>
      </c>
      <c r="Z277" s="148">
        <f t="shared" si="208"/>
        <v>0</v>
      </c>
      <c r="AA277" s="148">
        <f t="shared" si="208"/>
        <v>0</v>
      </c>
      <c r="AB277" s="148">
        <f t="shared" si="208"/>
        <v>0</v>
      </c>
      <c r="AC277" s="148">
        <f t="shared" si="208"/>
        <v>0</v>
      </c>
      <c r="AD277" s="148">
        <f t="shared" si="206"/>
        <v>0</v>
      </c>
    </row>
    <row r="278" spans="1:30">
      <c r="A278" s="140">
        <f t="shared" si="207"/>
        <v>0</v>
      </c>
      <c r="B278" s="162" t="str">
        <f t="shared" si="187"/>
        <v>PI</v>
      </c>
      <c r="C278" s="159">
        <f t="shared" si="188"/>
        <v>0</v>
      </c>
      <c r="D278" s="160">
        <f t="shared" si="189"/>
        <v>0</v>
      </c>
      <c r="E278" s="144">
        <f t="shared" si="202"/>
        <v>0</v>
      </c>
      <c r="F278" s="161">
        <f>IF($F$263="No YEAR 9",0,IF(ISNA(VLOOKUP(A278,name_9,$F$9,0)),0,VLOOKUP(A278,name_9,$F$9,0)*(1+'1. SUMMARY'!$C$26)))</f>
        <v>0</v>
      </c>
      <c r="G278" s="146">
        <f t="shared" si="203"/>
        <v>0</v>
      </c>
      <c r="H278" s="146">
        <f t="shared" si="204"/>
        <v>0</v>
      </c>
      <c r="I278" s="147">
        <f t="shared" si="205"/>
        <v>0</v>
      </c>
      <c r="M278" s="148">
        <f t="shared" si="190"/>
        <v>0</v>
      </c>
      <c r="N278" s="148">
        <f t="shared" si="191"/>
        <v>0</v>
      </c>
      <c r="O278" s="148">
        <f t="shared" si="192"/>
        <v>0</v>
      </c>
      <c r="P278" s="148">
        <f t="shared" si="193"/>
        <v>0</v>
      </c>
      <c r="Q278" s="148">
        <f t="shared" si="194"/>
        <v>0</v>
      </c>
      <c r="R278" s="148">
        <f t="shared" si="195"/>
        <v>0</v>
      </c>
      <c r="S278" s="148">
        <f t="shared" si="196"/>
        <v>0</v>
      </c>
      <c r="T278" s="148">
        <f t="shared" si="197"/>
        <v>0</v>
      </c>
      <c r="U278" s="148">
        <f t="shared" si="198"/>
        <v>0</v>
      </c>
      <c r="V278" s="148">
        <f t="shared" si="199"/>
        <v>0</v>
      </c>
      <c r="W278" s="148">
        <f t="shared" si="200"/>
        <v>0</v>
      </c>
      <c r="X278" s="148">
        <f t="shared" si="208"/>
        <v>0</v>
      </c>
      <c r="Y278" s="148">
        <f t="shared" si="208"/>
        <v>0</v>
      </c>
      <c r="Z278" s="148">
        <f t="shared" si="208"/>
        <v>0</v>
      </c>
      <c r="AA278" s="148">
        <f t="shared" si="208"/>
        <v>0</v>
      </c>
      <c r="AB278" s="148">
        <f t="shared" si="208"/>
        <v>0</v>
      </c>
      <c r="AC278" s="148">
        <f t="shared" si="208"/>
        <v>0</v>
      </c>
      <c r="AD278" s="148">
        <f t="shared" si="206"/>
        <v>0</v>
      </c>
    </row>
    <row r="279" spans="1:30">
      <c r="A279" s="140">
        <f t="shared" si="207"/>
        <v>0</v>
      </c>
      <c r="B279" s="162" t="str">
        <f t="shared" si="187"/>
        <v>PI</v>
      </c>
      <c r="C279" s="159">
        <f t="shared" si="188"/>
        <v>0</v>
      </c>
      <c r="D279" s="160">
        <f t="shared" si="189"/>
        <v>0</v>
      </c>
      <c r="E279" s="144">
        <f t="shared" si="202"/>
        <v>0</v>
      </c>
      <c r="F279" s="161">
        <f>IF($F$263="No YEAR 9",0,IF(ISNA(VLOOKUP(A279,name_9,$F$9,0)),0,VLOOKUP(A279,name_9,$F$9,0)*(1+'1. SUMMARY'!$C$26)))</f>
        <v>0</v>
      </c>
      <c r="G279" s="146">
        <f t="shared" si="203"/>
        <v>0</v>
      </c>
      <c r="H279" s="146">
        <f t="shared" si="204"/>
        <v>0</v>
      </c>
      <c r="I279" s="147">
        <f t="shared" si="205"/>
        <v>0</v>
      </c>
      <c r="M279" s="148">
        <f t="shared" ref="M279:M290" si="209">IF($M$264=0,0,((G279/$AD$264)*$M$264)*VLOOKUP(C247,benefits,2,0))</f>
        <v>0</v>
      </c>
      <c r="N279" s="148">
        <f t="shared" si="191"/>
        <v>0</v>
      </c>
      <c r="O279" s="148">
        <f t="shared" si="192"/>
        <v>0</v>
      </c>
      <c r="P279" s="148">
        <f t="shared" si="193"/>
        <v>0</v>
      </c>
      <c r="Q279" s="148">
        <f t="shared" si="194"/>
        <v>0</v>
      </c>
      <c r="R279" s="148">
        <f t="shared" si="195"/>
        <v>0</v>
      </c>
      <c r="S279" s="148">
        <f t="shared" si="196"/>
        <v>0</v>
      </c>
      <c r="T279" s="148">
        <f t="shared" si="197"/>
        <v>0</v>
      </c>
      <c r="U279" s="148">
        <f t="shared" si="198"/>
        <v>0</v>
      </c>
      <c r="V279" s="148">
        <f t="shared" si="199"/>
        <v>0</v>
      </c>
      <c r="W279" s="148">
        <f t="shared" si="200"/>
        <v>0</v>
      </c>
      <c r="X279" s="148">
        <f t="shared" si="208"/>
        <v>0</v>
      </c>
      <c r="Y279" s="148">
        <f t="shared" si="208"/>
        <v>0</v>
      </c>
      <c r="Z279" s="148">
        <f t="shared" si="208"/>
        <v>0</v>
      </c>
      <c r="AA279" s="148">
        <f t="shared" si="208"/>
        <v>0</v>
      </c>
      <c r="AB279" s="148">
        <f t="shared" si="208"/>
        <v>0</v>
      </c>
      <c r="AC279" s="148">
        <f t="shared" si="208"/>
        <v>0</v>
      </c>
      <c r="AD279" s="148">
        <f t="shared" si="206"/>
        <v>0</v>
      </c>
    </row>
    <row r="280" spans="1:30">
      <c r="A280" s="140">
        <f t="shared" si="207"/>
        <v>0</v>
      </c>
      <c r="B280" s="162" t="str">
        <f t="shared" si="187"/>
        <v>PI</v>
      </c>
      <c r="C280" s="159">
        <f t="shared" si="188"/>
        <v>0</v>
      </c>
      <c r="D280" s="160">
        <f t="shared" si="189"/>
        <v>0</v>
      </c>
      <c r="E280" s="144">
        <f t="shared" si="202"/>
        <v>0</v>
      </c>
      <c r="F280" s="161">
        <f>IF($F$263="No YEAR 9",0,IF(ISNA(VLOOKUP(A280,name_9,$F$9,0)),0,VLOOKUP(A280,name_9,$F$9,0)*(1+'1. SUMMARY'!$C$26)))</f>
        <v>0</v>
      </c>
      <c r="G280" s="146">
        <f t="shared" si="203"/>
        <v>0</v>
      </c>
      <c r="H280" s="146">
        <f t="shared" si="204"/>
        <v>0</v>
      </c>
      <c r="I280" s="147">
        <f t="shared" si="205"/>
        <v>0</v>
      </c>
      <c r="M280" s="148">
        <f t="shared" si="209"/>
        <v>0</v>
      </c>
      <c r="N280" s="148">
        <f t="shared" si="191"/>
        <v>0</v>
      </c>
      <c r="O280" s="148">
        <f t="shared" si="192"/>
        <v>0</v>
      </c>
      <c r="P280" s="148">
        <f t="shared" si="193"/>
        <v>0</v>
      </c>
      <c r="Q280" s="148">
        <f t="shared" si="194"/>
        <v>0</v>
      </c>
      <c r="R280" s="148">
        <f t="shared" si="195"/>
        <v>0</v>
      </c>
      <c r="S280" s="148">
        <f t="shared" si="196"/>
        <v>0</v>
      </c>
      <c r="T280" s="148">
        <f t="shared" si="197"/>
        <v>0</v>
      </c>
      <c r="U280" s="148">
        <f t="shared" si="198"/>
        <v>0</v>
      </c>
      <c r="V280" s="148">
        <f t="shared" si="199"/>
        <v>0</v>
      </c>
      <c r="W280" s="148">
        <f t="shared" si="200"/>
        <v>0</v>
      </c>
      <c r="X280" s="148">
        <f t="shared" si="208"/>
        <v>0</v>
      </c>
      <c r="Y280" s="148">
        <f t="shared" si="208"/>
        <v>0</v>
      </c>
      <c r="Z280" s="148">
        <f t="shared" si="208"/>
        <v>0</v>
      </c>
      <c r="AA280" s="148">
        <f t="shared" si="208"/>
        <v>0</v>
      </c>
      <c r="AB280" s="148">
        <f t="shared" si="208"/>
        <v>0</v>
      </c>
      <c r="AC280" s="148">
        <f t="shared" si="208"/>
        <v>0</v>
      </c>
      <c r="AD280" s="148">
        <f t="shared" si="206"/>
        <v>0</v>
      </c>
    </row>
    <row r="281" spans="1:30">
      <c r="A281" s="140">
        <f t="shared" si="207"/>
        <v>0</v>
      </c>
      <c r="B281" s="162" t="str">
        <f t="shared" si="187"/>
        <v>PI</v>
      </c>
      <c r="C281" s="159">
        <f t="shared" si="188"/>
        <v>0</v>
      </c>
      <c r="D281" s="160">
        <f t="shared" si="189"/>
        <v>0</v>
      </c>
      <c r="E281" s="144">
        <f t="shared" si="202"/>
        <v>0</v>
      </c>
      <c r="F281" s="161">
        <f>IF($F$263="No YEAR 9",0,IF(ISNA(VLOOKUP(A281,name_9,$F$9,0)),0,VLOOKUP(A281,name_9,$F$9,0)*(1+'1. SUMMARY'!$C$26)))</f>
        <v>0</v>
      </c>
      <c r="G281" s="146">
        <f t="shared" si="203"/>
        <v>0</v>
      </c>
      <c r="H281" s="146">
        <f t="shared" si="204"/>
        <v>0</v>
      </c>
      <c r="I281" s="147">
        <f t="shared" si="205"/>
        <v>0</v>
      </c>
      <c r="M281" s="148">
        <f t="shared" si="209"/>
        <v>0</v>
      </c>
      <c r="N281" s="148">
        <f t="shared" si="191"/>
        <v>0</v>
      </c>
      <c r="O281" s="148">
        <f t="shared" si="192"/>
        <v>0</v>
      </c>
      <c r="P281" s="148">
        <f t="shared" si="193"/>
        <v>0</v>
      </c>
      <c r="Q281" s="148">
        <f t="shared" si="194"/>
        <v>0</v>
      </c>
      <c r="R281" s="148">
        <f t="shared" si="195"/>
        <v>0</v>
      </c>
      <c r="S281" s="148">
        <f t="shared" si="196"/>
        <v>0</v>
      </c>
      <c r="T281" s="148">
        <f t="shared" si="197"/>
        <v>0</v>
      </c>
      <c r="U281" s="148">
        <f t="shared" si="198"/>
        <v>0</v>
      </c>
      <c r="V281" s="148">
        <f t="shared" si="199"/>
        <v>0</v>
      </c>
      <c r="W281" s="148">
        <f t="shared" si="200"/>
        <v>0</v>
      </c>
      <c r="X281" s="148">
        <f t="shared" si="208"/>
        <v>0</v>
      </c>
      <c r="Y281" s="148">
        <f t="shared" si="208"/>
        <v>0</v>
      </c>
      <c r="Z281" s="148">
        <f t="shared" si="208"/>
        <v>0</v>
      </c>
      <c r="AA281" s="148">
        <f t="shared" si="208"/>
        <v>0</v>
      </c>
      <c r="AB281" s="148">
        <f t="shared" si="208"/>
        <v>0</v>
      </c>
      <c r="AC281" s="148">
        <f t="shared" si="208"/>
        <v>0</v>
      </c>
      <c r="AD281" s="148">
        <f t="shared" si="206"/>
        <v>0</v>
      </c>
    </row>
    <row r="282" spans="1:30">
      <c r="A282" s="140">
        <f t="shared" si="207"/>
        <v>0</v>
      </c>
      <c r="B282" s="162" t="str">
        <f t="shared" si="187"/>
        <v>PI</v>
      </c>
      <c r="C282" s="159">
        <f t="shared" si="188"/>
        <v>0</v>
      </c>
      <c r="D282" s="160">
        <f t="shared" si="189"/>
        <v>0</v>
      </c>
      <c r="E282" s="144">
        <f t="shared" si="202"/>
        <v>0</v>
      </c>
      <c r="F282" s="161">
        <f>IF($F$263="No YEAR 9",0,IF(ISNA(VLOOKUP(A282,name_9,$F$9,0)),0,VLOOKUP(A282,name_9,$F$9,0)*(1+'1. SUMMARY'!$C$26)))</f>
        <v>0</v>
      </c>
      <c r="G282" s="146">
        <f t="shared" si="203"/>
        <v>0</v>
      </c>
      <c r="H282" s="146">
        <f t="shared" si="204"/>
        <v>0</v>
      </c>
      <c r="I282" s="147">
        <f t="shared" si="205"/>
        <v>0</v>
      </c>
      <c r="M282" s="148">
        <f t="shared" si="209"/>
        <v>0</v>
      </c>
      <c r="N282" s="148">
        <f t="shared" si="191"/>
        <v>0</v>
      </c>
      <c r="O282" s="148">
        <f t="shared" si="192"/>
        <v>0</v>
      </c>
      <c r="P282" s="148">
        <f t="shared" si="193"/>
        <v>0</v>
      </c>
      <c r="Q282" s="148">
        <f t="shared" si="194"/>
        <v>0</v>
      </c>
      <c r="R282" s="148">
        <f t="shared" si="195"/>
        <v>0</v>
      </c>
      <c r="S282" s="148">
        <f t="shared" si="196"/>
        <v>0</v>
      </c>
      <c r="T282" s="148">
        <f t="shared" si="197"/>
        <v>0</v>
      </c>
      <c r="U282" s="148">
        <f t="shared" si="198"/>
        <v>0</v>
      </c>
      <c r="V282" s="148">
        <f t="shared" si="199"/>
        <v>0</v>
      </c>
      <c r="W282" s="148">
        <f t="shared" si="200"/>
        <v>0</v>
      </c>
      <c r="X282" s="148">
        <f t="shared" si="208"/>
        <v>0</v>
      </c>
      <c r="Y282" s="148">
        <f t="shared" si="208"/>
        <v>0</v>
      </c>
      <c r="Z282" s="148">
        <f t="shared" si="208"/>
        <v>0</v>
      </c>
      <c r="AA282" s="148">
        <f t="shared" si="208"/>
        <v>0</v>
      </c>
      <c r="AB282" s="148">
        <f t="shared" si="208"/>
        <v>0</v>
      </c>
      <c r="AC282" s="148">
        <f t="shared" si="208"/>
        <v>0</v>
      </c>
      <c r="AD282" s="148">
        <f t="shared" si="206"/>
        <v>0</v>
      </c>
    </row>
    <row r="283" spans="1:30">
      <c r="A283" s="140">
        <f t="shared" si="207"/>
        <v>0</v>
      </c>
      <c r="B283" s="162" t="str">
        <f t="shared" si="187"/>
        <v>PI</v>
      </c>
      <c r="C283" s="159">
        <f t="shared" si="188"/>
        <v>0</v>
      </c>
      <c r="D283" s="160">
        <f t="shared" si="189"/>
        <v>0</v>
      </c>
      <c r="E283" s="144">
        <f t="shared" si="202"/>
        <v>0</v>
      </c>
      <c r="F283" s="161">
        <f>IF($F$263="No YEAR 9",0,IF(ISNA(VLOOKUP(A283,name_9,$F$9,0)),0,VLOOKUP(A283,name_9,$F$9,0)*(1+'1. SUMMARY'!$C$26)))</f>
        <v>0</v>
      </c>
      <c r="G283" s="146">
        <f t="shared" si="203"/>
        <v>0</v>
      </c>
      <c r="H283" s="146">
        <f t="shared" si="204"/>
        <v>0</v>
      </c>
      <c r="I283" s="147">
        <f t="shared" si="205"/>
        <v>0</v>
      </c>
      <c r="M283" s="148">
        <f t="shared" si="209"/>
        <v>0</v>
      </c>
      <c r="N283" s="148">
        <f t="shared" si="191"/>
        <v>0</v>
      </c>
      <c r="O283" s="148">
        <f t="shared" si="192"/>
        <v>0</v>
      </c>
      <c r="P283" s="148">
        <f t="shared" si="193"/>
        <v>0</v>
      </c>
      <c r="Q283" s="148">
        <f t="shared" si="194"/>
        <v>0</v>
      </c>
      <c r="R283" s="148">
        <f t="shared" si="195"/>
        <v>0</v>
      </c>
      <c r="S283" s="148">
        <f t="shared" si="196"/>
        <v>0</v>
      </c>
      <c r="T283" s="148">
        <f t="shared" si="197"/>
        <v>0</v>
      </c>
      <c r="U283" s="148">
        <f t="shared" si="198"/>
        <v>0</v>
      </c>
      <c r="V283" s="148">
        <f t="shared" si="199"/>
        <v>0</v>
      </c>
      <c r="W283" s="148">
        <f t="shared" si="200"/>
        <v>0</v>
      </c>
      <c r="X283" s="148">
        <f t="shared" si="208"/>
        <v>0</v>
      </c>
      <c r="Y283" s="148">
        <f t="shared" si="208"/>
        <v>0</v>
      </c>
      <c r="Z283" s="148">
        <f t="shared" si="208"/>
        <v>0</v>
      </c>
      <c r="AA283" s="148">
        <f t="shared" si="208"/>
        <v>0</v>
      </c>
      <c r="AB283" s="148">
        <f t="shared" si="208"/>
        <v>0</v>
      </c>
      <c r="AC283" s="148">
        <f t="shared" si="208"/>
        <v>0</v>
      </c>
      <c r="AD283" s="148">
        <f t="shared" si="206"/>
        <v>0</v>
      </c>
    </row>
    <row r="284" spans="1:30">
      <c r="A284" s="140">
        <f t="shared" si="207"/>
        <v>0</v>
      </c>
      <c r="B284" s="162" t="str">
        <f t="shared" si="187"/>
        <v>PI</v>
      </c>
      <c r="C284" s="159">
        <f t="shared" si="188"/>
        <v>0</v>
      </c>
      <c r="D284" s="160">
        <f t="shared" si="189"/>
        <v>0</v>
      </c>
      <c r="E284" s="144">
        <f t="shared" si="202"/>
        <v>0</v>
      </c>
      <c r="F284" s="161">
        <f>IF($F$263="No YEAR 9",0,IF(ISNA(VLOOKUP(A284,name_9,$F$9,0)),0,VLOOKUP(A284,name_9,$F$9,0)*(1+'1. SUMMARY'!$C$26)))</f>
        <v>0</v>
      </c>
      <c r="G284" s="146">
        <f t="shared" si="203"/>
        <v>0</v>
      </c>
      <c r="H284" s="146">
        <f t="shared" si="204"/>
        <v>0</v>
      </c>
      <c r="I284" s="147">
        <f t="shared" si="205"/>
        <v>0</v>
      </c>
      <c r="M284" s="148">
        <f t="shared" si="209"/>
        <v>0</v>
      </c>
      <c r="N284" s="148">
        <f t="shared" si="191"/>
        <v>0</v>
      </c>
      <c r="O284" s="148">
        <f t="shared" si="192"/>
        <v>0</v>
      </c>
      <c r="P284" s="148">
        <f t="shared" si="193"/>
        <v>0</v>
      </c>
      <c r="Q284" s="148">
        <f t="shared" si="194"/>
        <v>0</v>
      </c>
      <c r="R284" s="148">
        <f t="shared" si="195"/>
        <v>0</v>
      </c>
      <c r="S284" s="148">
        <f t="shared" si="196"/>
        <v>0</v>
      </c>
      <c r="T284" s="148">
        <f t="shared" si="197"/>
        <v>0</v>
      </c>
      <c r="U284" s="148">
        <f t="shared" si="198"/>
        <v>0</v>
      </c>
      <c r="V284" s="148">
        <f t="shared" si="199"/>
        <v>0</v>
      </c>
      <c r="W284" s="148">
        <f t="shared" si="200"/>
        <v>0</v>
      </c>
      <c r="X284" s="148">
        <f t="shared" si="208"/>
        <v>0</v>
      </c>
      <c r="Y284" s="148">
        <f t="shared" si="208"/>
        <v>0</v>
      </c>
      <c r="Z284" s="148">
        <f t="shared" si="208"/>
        <v>0</v>
      </c>
      <c r="AA284" s="148">
        <f t="shared" si="208"/>
        <v>0</v>
      </c>
      <c r="AB284" s="148">
        <f t="shared" si="208"/>
        <v>0</v>
      </c>
      <c r="AC284" s="148">
        <f t="shared" si="208"/>
        <v>0</v>
      </c>
      <c r="AD284" s="148">
        <f t="shared" si="206"/>
        <v>0</v>
      </c>
    </row>
    <row r="285" spans="1:30">
      <c r="A285" s="140">
        <f t="shared" si="207"/>
        <v>0</v>
      </c>
      <c r="B285" s="162" t="str">
        <f t="shared" si="187"/>
        <v>PI</v>
      </c>
      <c r="C285" s="159">
        <f t="shared" si="188"/>
        <v>0</v>
      </c>
      <c r="D285" s="160">
        <f t="shared" si="189"/>
        <v>0</v>
      </c>
      <c r="E285" s="144">
        <f t="shared" si="202"/>
        <v>0</v>
      </c>
      <c r="F285" s="161">
        <f>IF($F$263="No YEAR 9",0,IF(ISNA(VLOOKUP(A285,name_9,$F$9,0)),0,VLOOKUP(A285,name_9,$F$9,0)*(1+'1. SUMMARY'!$C$26)))</f>
        <v>0</v>
      </c>
      <c r="G285" s="146">
        <f t="shared" si="203"/>
        <v>0</v>
      </c>
      <c r="H285" s="146">
        <f t="shared" si="204"/>
        <v>0</v>
      </c>
      <c r="I285" s="147">
        <f t="shared" si="205"/>
        <v>0</v>
      </c>
      <c r="M285" s="148">
        <f t="shared" si="209"/>
        <v>0</v>
      </c>
      <c r="N285" s="148">
        <f t="shared" si="191"/>
        <v>0</v>
      </c>
      <c r="O285" s="148">
        <f t="shared" si="192"/>
        <v>0</v>
      </c>
      <c r="P285" s="148">
        <f t="shared" si="193"/>
        <v>0</v>
      </c>
      <c r="Q285" s="148">
        <f t="shared" si="194"/>
        <v>0</v>
      </c>
      <c r="R285" s="148">
        <f t="shared" si="195"/>
        <v>0</v>
      </c>
      <c r="S285" s="148">
        <f t="shared" si="196"/>
        <v>0</v>
      </c>
      <c r="T285" s="148">
        <f t="shared" si="197"/>
        <v>0</v>
      </c>
      <c r="U285" s="148">
        <f t="shared" si="198"/>
        <v>0</v>
      </c>
      <c r="V285" s="148">
        <f t="shared" si="199"/>
        <v>0</v>
      </c>
      <c r="W285" s="148">
        <f t="shared" si="200"/>
        <v>0</v>
      </c>
      <c r="X285" s="148">
        <f t="shared" si="208"/>
        <v>0</v>
      </c>
      <c r="Y285" s="148">
        <f t="shared" si="208"/>
        <v>0</v>
      </c>
      <c r="Z285" s="148">
        <f t="shared" si="208"/>
        <v>0</v>
      </c>
      <c r="AA285" s="148">
        <f t="shared" si="208"/>
        <v>0</v>
      </c>
      <c r="AB285" s="148">
        <f t="shared" si="208"/>
        <v>0</v>
      </c>
      <c r="AC285" s="148">
        <f t="shared" si="208"/>
        <v>0</v>
      </c>
      <c r="AD285" s="148">
        <f t="shared" si="206"/>
        <v>0</v>
      </c>
    </row>
    <row r="286" spans="1:30">
      <c r="A286" s="140">
        <f t="shared" si="207"/>
        <v>0</v>
      </c>
      <c r="B286" s="162" t="str">
        <f t="shared" si="187"/>
        <v>PI</v>
      </c>
      <c r="C286" s="159">
        <f t="shared" si="188"/>
        <v>0</v>
      </c>
      <c r="D286" s="160">
        <f t="shared" si="189"/>
        <v>0</v>
      </c>
      <c r="E286" s="144">
        <f t="shared" si="202"/>
        <v>0</v>
      </c>
      <c r="F286" s="161">
        <f>IF($F$263="No YEAR 9",0,IF(ISNA(VLOOKUP(A286,name_9,$F$9,0)),0,VLOOKUP(A286,name_9,$F$9,0)*(1+'1. SUMMARY'!$C$26)))</f>
        <v>0</v>
      </c>
      <c r="G286" s="146">
        <f t="shared" si="203"/>
        <v>0</v>
      </c>
      <c r="H286" s="146">
        <f t="shared" si="204"/>
        <v>0</v>
      </c>
      <c r="I286" s="147">
        <f t="shared" si="205"/>
        <v>0</v>
      </c>
      <c r="M286" s="148">
        <f t="shared" si="209"/>
        <v>0</v>
      </c>
      <c r="N286" s="148">
        <f t="shared" si="191"/>
        <v>0</v>
      </c>
      <c r="O286" s="148">
        <f t="shared" si="192"/>
        <v>0</v>
      </c>
      <c r="P286" s="148">
        <f t="shared" si="193"/>
        <v>0</v>
      </c>
      <c r="Q286" s="148">
        <f t="shared" si="194"/>
        <v>0</v>
      </c>
      <c r="R286" s="148">
        <f t="shared" si="195"/>
        <v>0</v>
      </c>
      <c r="S286" s="148">
        <f t="shared" si="196"/>
        <v>0</v>
      </c>
      <c r="T286" s="148">
        <f t="shared" si="197"/>
        <v>0</v>
      </c>
      <c r="U286" s="148">
        <f t="shared" si="198"/>
        <v>0</v>
      </c>
      <c r="V286" s="148">
        <f t="shared" si="199"/>
        <v>0</v>
      </c>
      <c r="W286" s="148">
        <f t="shared" si="200"/>
        <v>0</v>
      </c>
      <c r="X286" s="148">
        <f t="shared" si="208"/>
        <v>0</v>
      </c>
      <c r="Y286" s="148">
        <f t="shared" si="208"/>
        <v>0</v>
      </c>
      <c r="Z286" s="148">
        <f t="shared" si="208"/>
        <v>0</v>
      </c>
      <c r="AA286" s="148">
        <f t="shared" si="208"/>
        <v>0</v>
      </c>
      <c r="AB286" s="148">
        <f t="shared" si="208"/>
        <v>0</v>
      </c>
      <c r="AC286" s="148">
        <f t="shared" si="208"/>
        <v>0</v>
      </c>
      <c r="AD286" s="148">
        <f t="shared" si="206"/>
        <v>0</v>
      </c>
    </row>
    <row r="287" spans="1:30">
      <c r="A287" s="140">
        <f t="shared" si="207"/>
        <v>0</v>
      </c>
      <c r="B287" s="162" t="str">
        <f t="shared" si="187"/>
        <v>PI</v>
      </c>
      <c r="C287" s="159">
        <f t="shared" si="188"/>
        <v>0</v>
      </c>
      <c r="D287" s="160">
        <f t="shared" si="189"/>
        <v>0</v>
      </c>
      <c r="E287" s="144">
        <f t="shared" si="202"/>
        <v>0</v>
      </c>
      <c r="F287" s="161">
        <f>IF($F$263="No YEAR 9",0,IF(ISNA(VLOOKUP(A287,name_9,$F$9,0)),0,VLOOKUP(A287,name_9,$F$9,0)*(1+'1. SUMMARY'!$C$26)))</f>
        <v>0</v>
      </c>
      <c r="G287" s="146">
        <f t="shared" si="203"/>
        <v>0</v>
      </c>
      <c r="H287" s="146">
        <f t="shared" si="204"/>
        <v>0</v>
      </c>
      <c r="I287" s="147">
        <f t="shared" si="205"/>
        <v>0</v>
      </c>
      <c r="M287" s="148">
        <f t="shared" si="209"/>
        <v>0</v>
      </c>
      <c r="N287" s="148">
        <f t="shared" si="191"/>
        <v>0</v>
      </c>
      <c r="O287" s="148">
        <f t="shared" si="192"/>
        <v>0</v>
      </c>
      <c r="P287" s="148">
        <f t="shared" si="193"/>
        <v>0</v>
      </c>
      <c r="Q287" s="148">
        <f t="shared" si="194"/>
        <v>0</v>
      </c>
      <c r="R287" s="148">
        <f t="shared" si="195"/>
        <v>0</v>
      </c>
      <c r="S287" s="148">
        <f t="shared" si="196"/>
        <v>0</v>
      </c>
      <c r="T287" s="148">
        <f t="shared" si="197"/>
        <v>0</v>
      </c>
      <c r="U287" s="148">
        <f t="shared" si="198"/>
        <v>0</v>
      </c>
      <c r="V287" s="148">
        <f t="shared" si="199"/>
        <v>0</v>
      </c>
      <c r="W287" s="148">
        <f t="shared" si="200"/>
        <v>0</v>
      </c>
      <c r="X287" s="148">
        <f t="shared" si="208"/>
        <v>0</v>
      </c>
      <c r="Y287" s="148">
        <f t="shared" si="208"/>
        <v>0</v>
      </c>
      <c r="Z287" s="148">
        <f t="shared" si="208"/>
        <v>0</v>
      </c>
      <c r="AA287" s="148">
        <f t="shared" si="208"/>
        <v>0</v>
      </c>
      <c r="AB287" s="148">
        <f t="shared" si="208"/>
        <v>0</v>
      </c>
      <c r="AC287" s="148">
        <f t="shared" si="208"/>
        <v>0</v>
      </c>
      <c r="AD287" s="148">
        <f t="shared" si="206"/>
        <v>0</v>
      </c>
    </row>
    <row r="288" spans="1:30">
      <c r="A288" s="140">
        <f t="shared" si="207"/>
        <v>0</v>
      </c>
      <c r="B288" s="162" t="str">
        <f t="shared" si="187"/>
        <v>PI</v>
      </c>
      <c r="C288" s="159">
        <f t="shared" si="188"/>
        <v>0</v>
      </c>
      <c r="D288" s="160">
        <f t="shared" si="189"/>
        <v>0</v>
      </c>
      <c r="E288" s="144">
        <f t="shared" si="202"/>
        <v>0</v>
      </c>
      <c r="F288" s="161">
        <f>IF($F$263="No YEAR 9",0,IF(ISNA(VLOOKUP(A288,name_9,$F$9,0)),0,VLOOKUP(A288,name_9,$F$9,0)*(1+'1. SUMMARY'!$C$26)))</f>
        <v>0</v>
      </c>
      <c r="G288" s="146">
        <f t="shared" si="203"/>
        <v>0</v>
      </c>
      <c r="H288" s="146">
        <f t="shared" si="204"/>
        <v>0</v>
      </c>
      <c r="I288" s="147">
        <f t="shared" si="205"/>
        <v>0</v>
      </c>
      <c r="M288" s="148">
        <f t="shared" si="209"/>
        <v>0</v>
      </c>
      <c r="N288" s="148">
        <f t="shared" si="191"/>
        <v>0</v>
      </c>
      <c r="O288" s="148">
        <f t="shared" si="192"/>
        <v>0</v>
      </c>
      <c r="P288" s="148">
        <f t="shared" si="193"/>
        <v>0</v>
      </c>
      <c r="Q288" s="148">
        <f t="shared" si="194"/>
        <v>0</v>
      </c>
      <c r="R288" s="148">
        <f t="shared" si="195"/>
        <v>0</v>
      </c>
      <c r="S288" s="148">
        <f t="shared" si="196"/>
        <v>0</v>
      </c>
      <c r="T288" s="148">
        <f t="shared" si="197"/>
        <v>0</v>
      </c>
      <c r="U288" s="148">
        <f t="shared" si="198"/>
        <v>0</v>
      </c>
      <c r="V288" s="148">
        <f t="shared" si="199"/>
        <v>0</v>
      </c>
      <c r="W288" s="148">
        <f t="shared" si="200"/>
        <v>0</v>
      </c>
      <c r="X288" s="148">
        <f t="shared" si="208"/>
        <v>0</v>
      </c>
      <c r="Y288" s="148">
        <f t="shared" si="208"/>
        <v>0</v>
      </c>
      <c r="Z288" s="148">
        <f t="shared" si="208"/>
        <v>0</v>
      </c>
      <c r="AA288" s="148">
        <f t="shared" si="208"/>
        <v>0</v>
      </c>
      <c r="AB288" s="148">
        <f t="shared" si="208"/>
        <v>0</v>
      </c>
      <c r="AC288" s="148">
        <f t="shared" si="208"/>
        <v>0</v>
      </c>
      <c r="AD288" s="148">
        <f t="shared" si="206"/>
        <v>0</v>
      </c>
    </row>
    <row r="289" spans="1:30">
      <c r="A289" s="140">
        <f t="shared" si="207"/>
        <v>0</v>
      </c>
      <c r="B289" s="162" t="str">
        <f t="shared" si="187"/>
        <v>PI</v>
      </c>
      <c r="C289" s="159">
        <f t="shared" si="188"/>
        <v>0</v>
      </c>
      <c r="D289" s="160">
        <f t="shared" si="189"/>
        <v>0</v>
      </c>
      <c r="E289" s="144">
        <f t="shared" si="202"/>
        <v>0</v>
      </c>
      <c r="F289" s="161">
        <f>IF($F$263="No YEAR 9",0,IF(ISNA(VLOOKUP(A289,name_9,$F$9,0)),0,VLOOKUP(A289,name_9,$F$9,0)*(1+'1. SUMMARY'!$C$26)))</f>
        <v>0</v>
      </c>
      <c r="G289" s="146">
        <f t="shared" si="203"/>
        <v>0</v>
      </c>
      <c r="H289" s="146">
        <f t="shared" si="204"/>
        <v>0</v>
      </c>
      <c r="I289" s="147">
        <f t="shared" si="205"/>
        <v>0</v>
      </c>
      <c r="M289" s="148">
        <f t="shared" si="209"/>
        <v>0</v>
      </c>
      <c r="N289" s="148">
        <f t="shared" si="191"/>
        <v>0</v>
      </c>
      <c r="O289" s="148">
        <f t="shared" si="192"/>
        <v>0</v>
      </c>
      <c r="P289" s="148">
        <f t="shared" si="193"/>
        <v>0</v>
      </c>
      <c r="Q289" s="148">
        <f t="shared" si="194"/>
        <v>0</v>
      </c>
      <c r="R289" s="148">
        <f t="shared" si="195"/>
        <v>0</v>
      </c>
      <c r="S289" s="148">
        <f t="shared" si="196"/>
        <v>0</v>
      </c>
      <c r="T289" s="148">
        <f t="shared" si="197"/>
        <v>0</v>
      </c>
      <c r="U289" s="148">
        <f t="shared" si="198"/>
        <v>0</v>
      </c>
      <c r="V289" s="148">
        <f t="shared" si="199"/>
        <v>0</v>
      </c>
      <c r="W289" s="148">
        <f t="shared" si="200"/>
        <v>0</v>
      </c>
      <c r="X289" s="148">
        <f t="shared" si="208"/>
        <v>0</v>
      </c>
      <c r="Y289" s="148">
        <f t="shared" si="208"/>
        <v>0</v>
      </c>
      <c r="Z289" s="148">
        <f t="shared" si="208"/>
        <v>0</v>
      </c>
      <c r="AA289" s="148">
        <f t="shared" si="208"/>
        <v>0</v>
      </c>
      <c r="AB289" s="148">
        <f t="shared" si="208"/>
        <v>0</v>
      </c>
      <c r="AC289" s="148">
        <f t="shared" si="208"/>
        <v>0</v>
      </c>
      <c r="AD289" s="148">
        <f t="shared" si="206"/>
        <v>0</v>
      </c>
    </row>
    <row r="290" spans="1:30">
      <c r="A290" s="140">
        <f t="shared" si="207"/>
        <v>0</v>
      </c>
      <c r="B290" s="162" t="str">
        <f t="shared" si="187"/>
        <v>PI</v>
      </c>
      <c r="C290" s="159">
        <f t="shared" si="188"/>
        <v>0</v>
      </c>
      <c r="D290" s="160">
        <f t="shared" si="189"/>
        <v>0</v>
      </c>
      <c r="E290" s="144">
        <f t="shared" si="202"/>
        <v>0</v>
      </c>
      <c r="F290" s="161">
        <f>IF($F$263="No YEAR 9",0,IF(ISNA(VLOOKUP(A290,name_9,$F$9,0)),0,VLOOKUP(A290,name_9,$F$9,0)*(1+'1. SUMMARY'!$C$26)))</f>
        <v>0</v>
      </c>
      <c r="G290" s="146">
        <f t="shared" si="203"/>
        <v>0</v>
      </c>
      <c r="H290" s="146">
        <f t="shared" si="204"/>
        <v>0</v>
      </c>
      <c r="I290" s="147">
        <f t="shared" si="205"/>
        <v>0</v>
      </c>
      <c r="M290" s="148">
        <f t="shared" si="209"/>
        <v>0</v>
      </c>
      <c r="N290" s="148">
        <f t="shared" si="191"/>
        <v>0</v>
      </c>
      <c r="O290" s="148">
        <f t="shared" si="192"/>
        <v>0</v>
      </c>
      <c r="P290" s="148">
        <f t="shared" si="193"/>
        <v>0</v>
      </c>
      <c r="Q290" s="148">
        <f t="shared" si="194"/>
        <v>0</v>
      </c>
      <c r="R290" s="148">
        <f t="shared" si="195"/>
        <v>0</v>
      </c>
      <c r="S290" s="148">
        <f t="shared" si="196"/>
        <v>0</v>
      </c>
      <c r="T290" s="148">
        <f t="shared" si="197"/>
        <v>0</v>
      </c>
      <c r="U290" s="148">
        <f t="shared" si="198"/>
        <v>0</v>
      </c>
      <c r="V290" s="148">
        <f t="shared" si="199"/>
        <v>0</v>
      </c>
      <c r="W290" s="148">
        <f t="shared" si="200"/>
        <v>0</v>
      </c>
      <c r="X290" s="148">
        <f t="shared" si="208"/>
        <v>0</v>
      </c>
      <c r="Y290" s="148">
        <f t="shared" si="208"/>
        <v>0</v>
      </c>
      <c r="Z290" s="148">
        <f t="shared" si="208"/>
        <v>0</v>
      </c>
      <c r="AA290" s="148">
        <f t="shared" si="208"/>
        <v>0</v>
      </c>
      <c r="AB290" s="148">
        <f t="shared" si="208"/>
        <v>0</v>
      </c>
      <c r="AC290" s="148">
        <f t="shared" si="208"/>
        <v>0</v>
      </c>
      <c r="AD290" s="148">
        <f t="shared" si="206"/>
        <v>0</v>
      </c>
    </row>
    <row r="291" spans="1:30" ht="14" thickBot="1">
      <c r="A291" s="117"/>
      <c r="B291" s="117"/>
      <c r="C291" s="150" t="s">
        <v>47</v>
      </c>
      <c r="D291" s="151"/>
      <c r="E291" s="152"/>
      <c r="F291" s="152"/>
      <c r="G291" s="153">
        <f>SUM(G266:G290)</f>
        <v>0</v>
      </c>
      <c r="H291" s="153">
        <f>SUM(H266:H290)</f>
        <v>0</v>
      </c>
      <c r="I291" s="154">
        <f>SUM(I266:I290)</f>
        <v>0</v>
      </c>
    </row>
    <row r="293" spans="1:30">
      <c r="M293" s="114" t="s">
        <v>109</v>
      </c>
      <c r="S293" s="148"/>
    </row>
    <row r="294" spans="1:30">
      <c r="A294" s="124"/>
      <c r="B294" s="124"/>
      <c r="C294" s="120"/>
      <c r="D294" s="127"/>
      <c r="E294" s="128"/>
      <c r="F294" s="128"/>
      <c r="G294" s="128"/>
      <c r="H294" s="128"/>
      <c r="I294" s="128"/>
      <c r="M294" s="121">
        <f>+Sheet1!$T$8</f>
        <v>44105</v>
      </c>
      <c r="N294" s="121">
        <f>+Sheet1!$U$8</f>
        <v>44470</v>
      </c>
      <c r="O294" s="121">
        <f>+Sheet1!$V$8</f>
        <v>44835</v>
      </c>
      <c r="P294" s="121">
        <f>+Sheet1!$W$8</f>
        <v>45200</v>
      </c>
      <c r="Q294" s="121">
        <f>+Sheet1!$X$8</f>
        <v>45566</v>
      </c>
      <c r="R294" s="121">
        <f>+Sheet1!$Y$8</f>
        <v>45931</v>
      </c>
      <c r="S294" s="121">
        <f>+Sheet1!$Z$8</f>
        <v>46296</v>
      </c>
      <c r="T294" s="121">
        <f>+Sheet1!$AA$8</f>
        <v>46661</v>
      </c>
      <c r="U294" s="121">
        <f>+Sheet1!$AB$8</f>
        <v>47027</v>
      </c>
      <c r="V294" s="121">
        <f>+Sheet1!$AC$8</f>
        <v>47392</v>
      </c>
      <c r="W294" s="121">
        <f>+Sheet1!$AD$8</f>
        <v>47757</v>
      </c>
      <c r="X294" s="121">
        <f>+Sheet1!AE$8</f>
        <v>48122</v>
      </c>
      <c r="Y294" s="121">
        <f>+Sheet1!AF$8</f>
        <v>48488</v>
      </c>
      <c r="Z294" s="121">
        <f>+Sheet1!AG$8</f>
        <v>48853</v>
      </c>
      <c r="AA294" s="121">
        <f>+Sheet1!AH$8</f>
        <v>49218</v>
      </c>
      <c r="AB294" s="121">
        <f>+Sheet1!AI$8</f>
        <v>49583</v>
      </c>
      <c r="AC294" s="121">
        <f>+Sheet1!AJ$8</f>
        <v>49949</v>
      </c>
      <c r="AD294" s="117"/>
    </row>
    <row r="295" spans="1:30">
      <c r="A295" s="118" t="s">
        <v>114</v>
      </c>
      <c r="B295" s="118"/>
      <c r="C295" s="118"/>
      <c r="D295" s="129"/>
      <c r="E295" s="130"/>
      <c r="F295" s="131" t="str">
        <f>IF(F263="No "&amp;A263,"No "&amp;A295,IF(+H263+1&gt;'1. SUMMARY'!$C$18,"No "&amp;A295,+H263+1))</f>
        <v>No YEAR 10</v>
      </c>
      <c r="G295" s="131" t="str">
        <f>"----"</f>
        <v>----</v>
      </c>
      <c r="H295" s="131" t="str">
        <f>IF(F295="No "&amp;A295,"No "&amp;A295,IF(H263='1. SUMMARY'!Q241,"a",IF((DATE(YEAR(F295),MONTH(F295)+12,DAY(F295)-1))&lt;=('1. SUMMARY'!$C$18),DATE(YEAR(F295),MONTH(F295)+12,DAY(F295)-1),'1. SUMMARY'!$C$18)))</f>
        <v>No YEAR 10</v>
      </c>
      <c r="I295" s="132"/>
      <c r="M295" s="121">
        <f>+Sheet1!$T$9</f>
        <v>44469</v>
      </c>
      <c r="N295" s="121">
        <f>+Sheet1!$U$9</f>
        <v>44834</v>
      </c>
      <c r="O295" s="121">
        <f>+Sheet1!$V$9</f>
        <v>45199</v>
      </c>
      <c r="P295" s="121">
        <f>+Sheet1!$W$9</f>
        <v>45565</v>
      </c>
      <c r="Q295" s="121">
        <f>+Sheet1!$X$9</f>
        <v>45930</v>
      </c>
      <c r="R295" s="121">
        <f>+Sheet1!$Y$9</f>
        <v>46295</v>
      </c>
      <c r="S295" s="121">
        <f>+Sheet1!$Z$9</f>
        <v>46660</v>
      </c>
      <c r="T295" s="121">
        <f>+Sheet1!$AA$9</f>
        <v>47026</v>
      </c>
      <c r="U295" s="121">
        <f>+Sheet1!$AB$9</f>
        <v>47391</v>
      </c>
      <c r="V295" s="121">
        <f>+Sheet1!$AC$9</f>
        <v>47756</v>
      </c>
      <c r="W295" s="121">
        <f>+Sheet1!$AD$9</f>
        <v>48121</v>
      </c>
      <c r="X295" s="121">
        <f>+Sheet1!AE$9</f>
        <v>48487</v>
      </c>
      <c r="Y295" s="121">
        <f>+Sheet1!AF$9</f>
        <v>48852</v>
      </c>
      <c r="Z295" s="121">
        <f>+Sheet1!AG$9</f>
        <v>49217</v>
      </c>
      <c r="AA295" s="121">
        <f>+Sheet1!AH$9</f>
        <v>49582</v>
      </c>
      <c r="AB295" s="121">
        <f>+Sheet1!AI$9</f>
        <v>49948</v>
      </c>
      <c r="AC295" s="121">
        <f>+Sheet1!AJ$9</f>
        <v>50313</v>
      </c>
      <c r="AD295" s="117"/>
    </row>
    <row r="296" spans="1:30" ht="28">
      <c r="A296" s="133" t="s">
        <v>39</v>
      </c>
      <c r="B296" s="134" t="s">
        <v>40</v>
      </c>
      <c r="C296" s="134" t="s">
        <v>41</v>
      </c>
      <c r="D296" s="135" t="s">
        <v>42</v>
      </c>
      <c r="E296" s="136" t="s">
        <v>43</v>
      </c>
      <c r="F296" s="136" t="s">
        <v>44</v>
      </c>
      <c r="G296" s="136" t="s">
        <v>45</v>
      </c>
      <c r="H296" s="136" t="s">
        <v>46</v>
      </c>
      <c r="I296" s="137" t="s">
        <v>47</v>
      </c>
      <c r="M296" s="117">
        <f>IF(IF(M295&lt;F295,0,DATEDIF(F295,M295+1,"m"))&lt;0,0,IF(M295&lt;F295,0,DATEDIF(F295,M295+1,"m")))</f>
        <v>0</v>
      </c>
      <c r="N296" s="117">
        <f>IF(IF(M296=12,0,IF(N295&gt;H295,12-DATEDIF(H295,N295+1,"m"),IF(N295&lt;F295,0,DATEDIF(F295,N295+1,"m"))))&lt;0,0,IF(M296=12,0,IF(N295&gt;H295,12-DATEDIF(H295,N295+1,"m"),IF(N295&lt;F295,0,DATEDIF(F295,N295+1,"m")))))</f>
        <v>0</v>
      </c>
      <c r="O296" s="117">
        <f>IF(IF(M296+N296=12,0,IF(O295&gt;H295,12-DATEDIF(H295,O295+1,"m"),IF(O295&lt;F295,0,DATEDIF(F295,O295+1,"m"))))&lt;0,0,IF(M296+N296=12,0,IF(O295&gt;H295,12-DATEDIF(H295,O295+1,"m"),IF(O295&lt;F295,0,DATEDIF(F295,O295+1,"m")))))</f>
        <v>0</v>
      </c>
      <c r="P296" s="117">
        <f>IF(IF(N296+O296+M296=12,0,IF(P295&gt;H295,12-DATEDIF(H295,P295+1,"m"),IF(P295&lt;F295,0,DATEDIF(F295,P295+1,"m"))))&lt;0,0,IF(N296+O296+M296=12,0,IF(P295&gt;H295,12-DATEDIF(H295,P295+1,"m"),IF(P295&lt;F295,0,DATEDIF(F295,P295+1,"m")))))</f>
        <v>0</v>
      </c>
      <c r="Q296" s="117">
        <f>IF(IF(O296+P296+N296+M296=12,0,IF(Q295&gt;$H$295,12-DATEDIF($H$295,Q295+1,"m"),IF(Q295&lt;$F$295,0,DATEDIF($F$295,Q295+1,"m"))))&lt;0,0,IF(O296+P296+N296+M296=12,0,IF(Q295&gt;$H$295,12-DATEDIF($H$295,Q295+1,"m"),IF(Q295&lt;$F$295,0,DATEDIF($F$295,Q295+1,"m")))))</f>
        <v>0</v>
      </c>
      <c r="R296" s="117">
        <f>IF(IF(P296+Q296+O296+N296+M296=12,0,IF(R295&gt;$H$295,12-DATEDIF($H$295,R295+1,"m"),IF(R295&lt;$F$295,0,DATEDIF($F$295,R295+1,"m"))))&lt;0,0,IF(P296+Q296+O296+N296+M296=12,0,IF(R295&gt;$H$295,12-DATEDIF($H$295,R295+1,"m"),IF(R295&lt;$F$295,0,DATEDIF($F$295,R295+1,"m")))))</f>
        <v>0</v>
      </c>
      <c r="S296" s="117">
        <f>IF(IF(Q296+R296+P296+O296+N296+M296=12,0,IF(S295&gt;$H$295,12-DATEDIF($H$295,S295+1,"m"),IF(S295&lt;$F$295,0,DATEDIF($F$295,S295+1,"m"))))&lt;0,0,IF(Q296+R296+P296+O296+N296+M296=12,0,IF(S295&gt;$H$295,12-DATEDIF($H$295,S295+1,"m"),IF(S295&lt;$F$295,0,DATEDIF($F$295,S295+1,"m")))))</f>
        <v>0</v>
      </c>
      <c r="T296" s="117">
        <f>IF(IF(R296+S296+Q296+P296+O296+N296+M296=12,0,IF(T295&gt;$H$295,12-DATEDIF($H$295,T295+1,"m"),IF(T295&lt;$F$295,0,DATEDIF($F$295,T295+1,"m"))))&lt;0,0,IF(R296+S296+Q296+P296+O296+N296+M296=12,0,IF(T295&gt;$H$295,12-DATEDIF($H$295,T295+1,"m"),IF(T295&lt;$F$295,0,DATEDIF($F$295,T295+1,"m")))))</f>
        <v>0</v>
      </c>
      <c r="U296" s="117">
        <f>IF(IF(S296+T296+R296+Q296+P296+O296+N296=12,0,IF(U295&gt;$H$295,12-DATEDIF($H$295,U295+1,"m"),IF(U295&lt;$F$295,0,DATEDIF($F$295,U295+1,"m"))))&lt;0,0,IF(S296+T296+R296+Q296+P296+O296+N296=12,0,IF(U295&gt;$H$295,12-DATEDIF($H$295,U295+1,"m"),IF(U295&lt;$F$295,0,DATEDIF($F$295,U295+1,"m")))))</f>
        <v>0</v>
      </c>
      <c r="V296" s="117">
        <f>IF(IF(T296+U296+S296+R296+Q296+P296+O296=12,0,IF(V295&gt;$H$295,12-DATEDIF($H$295,V295+1,"m"),IF(V295&lt;$F$295,0,DATEDIF($F$295,V295+1,"m"))))&lt;0,0,IF(T296+U296+S296+R296+Q296+P296+O296=12,0,IF(V295&gt;$H$295,12-DATEDIF($H$295,V295+1,"m"),IF(V295&lt;$F$295,0,DATEDIF($F$295,V295+1,"m")))))</f>
        <v>0</v>
      </c>
      <c r="W296" s="117">
        <f>IF(IF(U296+V296+T296+S296+R296+Q296+P296=12,0,IF(W295&gt;$H$295,12-DATEDIF($H$295,W295+1,"m"),IF(W295&lt;$F$295,0,DATEDIF($F$295,W295+1,"m"))))&lt;0,0,IF(U296+V296+T296+S296+R296+Q296+P296=12,0,IF(W295&gt;$H$295,12-DATEDIF($H$295,W295+1,"m"),IF(W295&lt;$F$295,0,DATEDIF($F$295,W295+1,"m")))))</f>
        <v>0</v>
      </c>
      <c r="X296" s="117">
        <f>IF(IF(+M296+N296+O296+P296+V296+W296+U296+T296+S296+R296+Q296=12,0,IF(X295&gt;$H$295,12-DATEDIF($H$295,X295+1,"m"),IF(X295&lt;$F$295,0,DATEDIF($F$295,X295+1,"m"))))&lt;0,0,IF(M296+N296+O296+P296+V296+W296+U296+T296+S296+R296+Q296=12,0,IF(X295&gt;$H$295,12-DATEDIF($H$295,X295+1,"m"),IF(X295&lt;$F$295,0,DATEDIF($F$295,X295+1,"m")))))</f>
        <v>0</v>
      </c>
      <c r="Y296" s="117">
        <f>IF(IF(M296+N296+O296+P296+Q296+W296+X296+V296+U296+T296+S296+R296=12,0,IF(Y295&gt;$H$295,12-DATEDIF($H$295,Y295+1,"m"),IF(Y295&lt;$F$295,0,DATEDIF($F$295,Y295+1,"m"))))&lt;0,0,IF(M296+N296+O296+P296+Q296+W296+X296+V296+U296+T296+S296+R296=12,0,IF(Y295&gt;$H$295,12-DATEDIF($H$295,Y295+1,"m"),IF(Y295&lt;$F$295,0,DATEDIF($F$295,Y295+1,"m")))))</f>
        <v>0</v>
      </c>
      <c r="Z296" s="117">
        <f>IF(IF(M296+N296+O296+P296+Q296+R296+X296+Y296+W296+V296+U296+T296+S296=12,0,IF(Z295&gt;$H$295,12-DATEDIF($H$295,Z295+1,"m"),IF(Z295&lt;$F$295,0,DATEDIF($F$295,Z295+1,"m"))))&lt;0,0,IF(M296+N296+O296+P296+Q296+R296+X296+Y296+W296+V296+U296+T296+S296=12,0,IF(Z295&gt;$H$295,12-DATEDIF($H$295,Z295+1,"m"),IF(Z295&lt;$F$295,0,DATEDIF($F$295,Z295+1,"m")))))</f>
        <v>0</v>
      </c>
      <c r="AA296" s="117">
        <f>IF(IF(M296+N296+O296+P296+Q296+R296+S296+Y296+Z296+X296+W296+V296+U296+T296=12,0,IF(AA295&gt;$H$295,12-DATEDIF($H$295,AA295+1,"m"),IF(AA295&lt;$F$295,0,DATEDIF($F$295,AA295+1,"m"))))&lt;0,0,IF(M296+N296+O296+P296+Q296+R296+S296+Y296+Z296+X296+W296+V296+U296+T296=12,0,IF(AA295&gt;$H$295,12-DATEDIF($H$295,AA295+1,"m"),IF(AA295&lt;$F$295,0,DATEDIF($F$295,AA295+1,"m")))))</f>
        <v>0</v>
      </c>
      <c r="AB296" s="117">
        <f>IF(IF(M296+N296+O296+P296+Q296+R296+S296+T296+Z296+AA296+Y296+X296+W296+V296+U296=12,0,IF(AB295&gt;$H$295,12-DATEDIF($H$295,AB295+1,"m"),IF(AB295&lt;$F$295,0,DATEDIF($F$295,AB295+1,"m"))))&lt;0,0,IF(M296+N296+O296+P296+Q296+R296+S296+T296+Z296+AA296+Y296+X296+W296+V296+U296=12,0,IF(AB295&gt;$H$295,12-DATEDIF($H$295,AB295+1,"m"),IF(AB295&lt;$F$295,0,DATEDIF($F$295,AB295+1,"m")))))</f>
        <v>0</v>
      </c>
      <c r="AC296" s="117">
        <f>IF(IF(M296+N296+O296+P296+Q296+R296+S296+T296+U296+AA296+AB296+Z296+Y296+X296+W296+V296=12,0,IF(AC295&gt;$H$295,12-DATEDIF($H$295,AC295+1,"m"),IF(AC295&lt;$F$295,0,DATEDIF($F$295,AC295+1,"m"))))&lt;0,0,IF(M296+N296+O296+P296+Q296+R296+S296+T296+U296+AA296+AB296+Z296+Y296+X296+W296+V296=12,0,IF(AC295&gt;$H$295,12-DATEDIF($H$295,AC295+1,"m"),IF(AC295&lt;$F$295,0,DATEDIF($F$295,AC295+1,"m")))))</f>
        <v>0</v>
      </c>
      <c r="AD296" s="117">
        <f>SUM(M296:AC296)</f>
        <v>0</v>
      </c>
    </row>
    <row r="297" spans="1:30">
      <c r="A297" s="164"/>
      <c r="B297" s="164"/>
      <c r="C297" s="124"/>
      <c r="D297" s="165"/>
      <c r="E297" s="166"/>
      <c r="F297" s="166"/>
      <c r="G297" s="166"/>
      <c r="H297" s="166"/>
      <c r="I297" s="167"/>
      <c r="M297" s="148"/>
      <c r="N297" s="139"/>
      <c r="O297" s="139"/>
      <c r="P297" s="139"/>
      <c r="Q297" s="139"/>
      <c r="R297" s="139"/>
      <c r="S297" s="139"/>
      <c r="T297" s="139"/>
      <c r="U297" s="139"/>
      <c r="V297" s="139"/>
      <c r="W297" s="139"/>
      <c r="X297" s="139"/>
      <c r="Y297" s="139"/>
      <c r="Z297" s="139"/>
      <c r="AA297" s="139"/>
      <c r="AB297" s="139"/>
      <c r="AC297" s="139"/>
      <c r="AD297" s="139"/>
    </row>
    <row r="298" spans="1:30">
      <c r="A298" s="157">
        <f>+A266</f>
        <v>0</v>
      </c>
      <c r="B298" s="158" t="str">
        <f t="shared" ref="B298:B322" si="210">IF(ISNA(VLOOKUP($A298,name_2,$B$9,0)),"",VLOOKUP($A298,name_2,$B$9,0))</f>
        <v>PI</v>
      </c>
      <c r="C298" s="159">
        <f t="shared" ref="C298:C322" si="211">IF(ISNA(VLOOKUP($A298,name_2,$C$9,0)),"",VLOOKUP($A298,name_2,$C$9,0))</f>
        <v>0</v>
      </c>
      <c r="D298" s="160">
        <f t="shared" ref="D298:D322" si="212">IF(ISNA(VLOOKUP($A298,name_2,$D$9,0)),0,VLOOKUP($A298,name_2,$D$9,0))</f>
        <v>0</v>
      </c>
      <c r="E298" s="144">
        <f>IF(ISNA($AD$296*D298),0,$AD$296*D298)</f>
        <v>0</v>
      </c>
      <c r="F298" s="161">
        <f>IF($F$295="No YEAR 10",0,IF(ISNA(VLOOKUP(A298,name_10,$F$9,0)),0,VLOOKUP(A298,name_10,$F$9,0)*(1+'1. SUMMARY'!$C$26)))</f>
        <v>0</v>
      </c>
      <c r="G298" s="146">
        <f>(F298/12)*$AD$296*D298</f>
        <v>0</v>
      </c>
      <c r="H298" s="146">
        <f>IF(ISNA(+AD298),0,AD298)</f>
        <v>0</v>
      </c>
      <c r="I298" s="147">
        <f>SUM(G298:H298)</f>
        <v>0</v>
      </c>
      <c r="M298" s="148">
        <f t="shared" ref="M298:M310" si="213">IF($M$296=0,0,((G298/$AD$296)*$M$296)*VLOOKUP(C298,benefits,2,0))</f>
        <v>0</v>
      </c>
      <c r="N298" s="148">
        <f t="shared" ref="N298:N322" si="214">IF($N$296=0,0,((G298/$AD$296)*$N$296)*VLOOKUP(C298,benefits,3,0))</f>
        <v>0</v>
      </c>
      <c r="O298" s="148">
        <f t="shared" ref="O298:O322" si="215">IF($O$296=0,0,((G298/$AD$296)*$O$296)*VLOOKUP(C298,benefits,4,0))</f>
        <v>0</v>
      </c>
      <c r="P298" s="148">
        <f t="shared" ref="P298:P322" si="216">IF($P$296=0,0,((G298/$AD$296)*$P$296)*VLOOKUP(C298,benefits,5,0))</f>
        <v>0</v>
      </c>
      <c r="Q298" s="148">
        <f t="shared" ref="Q298:Q322" si="217">IF(Q$296=0,0,(($G298/$AD$296)*Q$296)*VLOOKUP(C298,benefits,6,0))</f>
        <v>0</v>
      </c>
      <c r="R298" s="148">
        <f t="shared" ref="R298:R322" si="218">IF(R$296=0,0,(($G298/$AD$296)*R$296)*VLOOKUP(C298,benefits,7,0))</f>
        <v>0</v>
      </c>
      <c r="S298" s="148">
        <f t="shared" ref="S298:S322" si="219">IF(S$296=0,0,(($G298/$AD$296)*S$296)*VLOOKUP(C298,benefits,8,0))</f>
        <v>0</v>
      </c>
      <c r="T298" s="148">
        <f t="shared" ref="T298:T322" si="220">IF(T$296=0,0,(($G298/$AD$296)*T$296)*VLOOKUP(C298,benefits,9,0))</f>
        <v>0</v>
      </c>
      <c r="U298" s="148">
        <f t="shared" ref="U298:U322" si="221">IF(U$296=0,0,(($G298/$AD$296)*U$296)*VLOOKUP(C298,benefits,10,0))</f>
        <v>0</v>
      </c>
      <c r="V298" s="148">
        <f t="shared" ref="V298:V322" si="222">IF(V$296=0,0,(($G298/$AD$296)*V$296)*VLOOKUP(C298,benefits,11,0))</f>
        <v>0</v>
      </c>
      <c r="W298" s="148">
        <f t="shared" ref="W298:W322" si="223">IF(W$296=0,0,(($G298/$AD$296)*W$296)*VLOOKUP(C298,benefits,12,0))</f>
        <v>0</v>
      </c>
      <c r="X298" s="148">
        <f t="shared" ref="X298:AC307" si="224">IF(X$296=0,0,(($G298/$AD$296)*X$296)*VLOOKUP($C298,benefits,12,0))</f>
        <v>0</v>
      </c>
      <c r="Y298" s="148">
        <f t="shared" si="224"/>
        <v>0</v>
      </c>
      <c r="Z298" s="148">
        <f t="shared" si="224"/>
        <v>0</v>
      </c>
      <c r="AA298" s="148">
        <f t="shared" si="224"/>
        <v>0</v>
      </c>
      <c r="AB298" s="148">
        <f t="shared" si="224"/>
        <v>0</v>
      </c>
      <c r="AC298" s="148">
        <f t="shared" si="224"/>
        <v>0</v>
      </c>
      <c r="AD298" s="148">
        <f>SUM(M298:AC298)</f>
        <v>0</v>
      </c>
    </row>
    <row r="299" spans="1:30">
      <c r="A299" s="140">
        <f>+A267</f>
        <v>0</v>
      </c>
      <c r="B299" s="162" t="str">
        <f t="shared" si="210"/>
        <v>PI</v>
      </c>
      <c r="C299" s="159">
        <f t="shared" si="211"/>
        <v>0</v>
      </c>
      <c r="D299" s="160">
        <f t="shared" si="212"/>
        <v>0</v>
      </c>
      <c r="E299" s="144">
        <f t="shared" ref="E299:E322" si="225">IF(ISNA($AD$296*D299),0,$AD$296*D299)</f>
        <v>0</v>
      </c>
      <c r="F299" s="161">
        <f>IF($F$295="No YEAR 10",0,IF(ISNA(VLOOKUP(A299,name_10,$F$9,0)),0,VLOOKUP(A299,name_10,$F$9,0)*(1+'1. SUMMARY'!$C$26)))</f>
        <v>0</v>
      </c>
      <c r="G299" s="146">
        <f t="shared" ref="G299:G322" si="226">(F299/12)*$AD$296*D299</f>
        <v>0</v>
      </c>
      <c r="H299" s="146">
        <f t="shared" ref="H299:H322" si="227">IF(ISNA(+AD299),0,AD299)</f>
        <v>0</v>
      </c>
      <c r="I299" s="147">
        <f t="shared" ref="I299:I322" si="228">SUM(G299:H299)</f>
        <v>0</v>
      </c>
      <c r="M299" s="148">
        <f t="shared" si="213"/>
        <v>0</v>
      </c>
      <c r="N299" s="148">
        <f t="shared" si="214"/>
        <v>0</v>
      </c>
      <c r="O299" s="148">
        <f t="shared" si="215"/>
        <v>0</v>
      </c>
      <c r="P299" s="148">
        <f t="shared" si="216"/>
        <v>0</v>
      </c>
      <c r="Q299" s="148">
        <f t="shared" si="217"/>
        <v>0</v>
      </c>
      <c r="R299" s="148">
        <f t="shared" si="218"/>
        <v>0</v>
      </c>
      <c r="S299" s="148">
        <f t="shared" si="219"/>
        <v>0</v>
      </c>
      <c r="T299" s="148">
        <f t="shared" si="220"/>
        <v>0</v>
      </c>
      <c r="U299" s="148">
        <f t="shared" si="221"/>
        <v>0</v>
      </c>
      <c r="V299" s="148">
        <f t="shared" si="222"/>
        <v>0</v>
      </c>
      <c r="W299" s="148">
        <f t="shared" si="223"/>
        <v>0</v>
      </c>
      <c r="X299" s="148">
        <f t="shared" si="224"/>
        <v>0</v>
      </c>
      <c r="Y299" s="148">
        <f t="shared" si="224"/>
        <v>0</v>
      </c>
      <c r="Z299" s="148">
        <f t="shared" si="224"/>
        <v>0</v>
      </c>
      <c r="AA299" s="148">
        <f t="shared" si="224"/>
        <v>0</v>
      </c>
      <c r="AB299" s="148">
        <f t="shared" si="224"/>
        <v>0</v>
      </c>
      <c r="AC299" s="148">
        <f t="shared" si="224"/>
        <v>0</v>
      </c>
      <c r="AD299" s="148">
        <f t="shared" ref="AD299:AD322" si="229">SUM(M299:AC299)</f>
        <v>0</v>
      </c>
    </row>
    <row r="300" spans="1:30">
      <c r="A300" s="140">
        <f t="shared" ref="A300:A322" si="230">+A268</f>
        <v>0</v>
      </c>
      <c r="B300" s="162" t="str">
        <f t="shared" si="210"/>
        <v>PI</v>
      </c>
      <c r="C300" s="159">
        <f t="shared" si="211"/>
        <v>0</v>
      </c>
      <c r="D300" s="160">
        <f t="shared" si="212"/>
        <v>0</v>
      </c>
      <c r="E300" s="144">
        <f t="shared" si="225"/>
        <v>0</v>
      </c>
      <c r="F300" s="161">
        <f>IF($F$295="No YEAR 10",0,IF(ISNA(VLOOKUP(A300,name_10,$F$9,0)),0,VLOOKUP(A300,name_10,$F$9,0)*(1+'1. SUMMARY'!$C$26)))</f>
        <v>0</v>
      </c>
      <c r="G300" s="146">
        <f t="shared" si="226"/>
        <v>0</v>
      </c>
      <c r="H300" s="146">
        <f t="shared" si="227"/>
        <v>0</v>
      </c>
      <c r="I300" s="147">
        <f t="shared" si="228"/>
        <v>0</v>
      </c>
      <c r="M300" s="148">
        <f t="shared" si="213"/>
        <v>0</v>
      </c>
      <c r="N300" s="148">
        <f t="shared" si="214"/>
        <v>0</v>
      </c>
      <c r="O300" s="148">
        <f t="shared" si="215"/>
        <v>0</v>
      </c>
      <c r="P300" s="148">
        <f t="shared" si="216"/>
        <v>0</v>
      </c>
      <c r="Q300" s="148">
        <f t="shared" si="217"/>
        <v>0</v>
      </c>
      <c r="R300" s="148">
        <f t="shared" si="218"/>
        <v>0</v>
      </c>
      <c r="S300" s="148">
        <f t="shared" si="219"/>
        <v>0</v>
      </c>
      <c r="T300" s="148">
        <f t="shared" si="220"/>
        <v>0</v>
      </c>
      <c r="U300" s="148">
        <f t="shared" si="221"/>
        <v>0</v>
      </c>
      <c r="V300" s="148">
        <f t="shared" si="222"/>
        <v>0</v>
      </c>
      <c r="W300" s="148">
        <f t="shared" si="223"/>
        <v>0</v>
      </c>
      <c r="X300" s="148">
        <f t="shared" si="224"/>
        <v>0</v>
      </c>
      <c r="Y300" s="148">
        <f t="shared" si="224"/>
        <v>0</v>
      </c>
      <c r="Z300" s="148">
        <f t="shared" si="224"/>
        <v>0</v>
      </c>
      <c r="AA300" s="148">
        <f t="shared" si="224"/>
        <v>0</v>
      </c>
      <c r="AB300" s="148">
        <f t="shared" si="224"/>
        <v>0</v>
      </c>
      <c r="AC300" s="148">
        <f t="shared" si="224"/>
        <v>0</v>
      </c>
      <c r="AD300" s="148">
        <f t="shared" si="229"/>
        <v>0</v>
      </c>
    </row>
    <row r="301" spans="1:30">
      <c r="A301" s="140">
        <f t="shared" si="230"/>
        <v>0</v>
      </c>
      <c r="B301" s="162" t="str">
        <f t="shared" si="210"/>
        <v>PI</v>
      </c>
      <c r="C301" s="159">
        <f t="shared" si="211"/>
        <v>0</v>
      </c>
      <c r="D301" s="160">
        <f t="shared" si="212"/>
        <v>0</v>
      </c>
      <c r="E301" s="144">
        <f t="shared" si="225"/>
        <v>0</v>
      </c>
      <c r="F301" s="161">
        <f>IF($F$295="No YEAR 10",0,IF(ISNA(VLOOKUP(A301,name_10,$F$9,0)),0,VLOOKUP(A301,name_10,$F$9,0)*(1+'1. SUMMARY'!$C$26)))</f>
        <v>0</v>
      </c>
      <c r="G301" s="146">
        <f t="shared" si="226"/>
        <v>0</v>
      </c>
      <c r="H301" s="146">
        <f t="shared" si="227"/>
        <v>0</v>
      </c>
      <c r="I301" s="147">
        <f t="shared" si="228"/>
        <v>0</v>
      </c>
      <c r="M301" s="148">
        <f t="shared" si="213"/>
        <v>0</v>
      </c>
      <c r="N301" s="148">
        <f t="shared" si="214"/>
        <v>0</v>
      </c>
      <c r="O301" s="148">
        <f t="shared" si="215"/>
        <v>0</v>
      </c>
      <c r="P301" s="148">
        <f t="shared" si="216"/>
        <v>0</v>
      </c>
      <c r="Q301" s="148">
        <f t="shared" si="217"/>
        <v>0</v>
      </c>
      <c r="R301" s="148">
        <f t="shared" si="218"/>
        <v>0</v>
      </c>
      <c r="S301" s="148">
        <f t="shared" si="219"/>
        <v>0</v>
      </c>
      <c r="T301" s="148">
        <f t="shared" si="220"/>
        <v>0</v>
      </c>
      <c r="U301" s="148">
        <f t="shared" si="221"/>
        <v>0</v>
      </c>
      <c r="V301" s="148">
        <f t="shared" si="222"/>
        <v>0</v>
      </c>
      <c r="W301" s="148">
        <f t="shared" si="223"/>
        <v>0</v>
      </c>
      <c r="X301" s="148">
        <f t="shared" si="224"/>
        <v>0</v>
      </c>
      <c r="Y301" s="148">
        <f t="shared" si="224"/>
        <v>0</v>
      </c>
      <c r="Z301" s="148">
        <f t="shared" si="224"/>
        <v>0</v>
      </c>
      <c r="AA301" s="148">
        <f t="shared" si="224"/>
        <v>0</v>
      </c>
      <c r="AB301" s="148">
        <f t="shared" si="224"/>
        <v>0</v>
      </c>
      <c r="AC301" s="148">
        <f t="shared" si="224"/>
        <v>0</v>
      </c>
      <c r="AD301" s="148">
        <f t="shared" si="229"/>
        <v>0</v>
      </c>
    </row>
    <row r="302" spans="1:30">
      <c r="A302" s="140">
        <f t="shared" si="230"/>
        <v>0</v>
      </c>
      <c r="B302" s="162" t="str">
        <f t="shared" si="210"/>
        <v>PI</v>
      </c>
      <c r="C302" s="159">
        <f t="shared" si="211"/>
        <v>0</v>
      </c>
      <c r="D302" s="160">
        <f t="shared" si="212"/>
        <v>0</v>
      </c>
      <c r="E302" s="144">
        <f t="shared" si="225"/>
        <v>0</v>
      </c>
      <c r="F302" s="161">
        <f>IF($F$295="No YEAR 10",0,IF(ISNA(VLOOKUP(A302,name_10,$F$9,0)),0,VLOOKUP(A302,name_10,$F$9,0)*(1+'1. SUMMARY'!$C$26)))</f>
        <v>0</v>
      </c>
      <c r="G302" s="146">
        <f t="shared" si="226"/>
        <v>0</v>
      </c>
      <c r="H302" s="146">
        <f t="shared" si="227"/>
        <v>0</v>
      </c>
      <c r="I302" s="147">
        <f t="shared" si="228"/>
        <v>0</v>
      </c>
      <c r="M302" s="148">
        <f t="shared" si="213"/>
        <v>0</v>
      </c>
      <c r="N302" s="148">
        <f t="shared" si="214"/>
        <v>0</v>
      </c>
      <c r="O302" s="148">
        <f t="shared" si="215"/>
        <v>0</v>
      </c>
      <c r="P302" s="148">
        <f t="shared" si="216"/>
        <v>0</v>
      </c>
      <c r="Q302" s="148">
        <f t="shared" si="217"/>
        <v>0</v>
      </c>
      <c r="R302" s="148">
        <f t="shared" si="218"/>
        <v>0</v>
      </c>
      <c r="S302" s="148">
        <f t="shared" si="219"/>
        <v>0</v>
      </c>
      <c r="T302" s="148">
        <f t="shared" si="220"/>
        <v>0</v>
      </c>
      <c r="U302" s="148">
        <f t="shared" si="221"/>
        <v>0</v>
      </c>
      <c r="V302" s="148">
        <f t="shared" si="222"/>
        <v>0</v>
      </c>
      <c r="W302" s="148">
        <f t="shared" si="223"/>
        <v>0</v>
      </c>
      <c r="X302" s="148">
        <f t="shared" si="224"/>
        <v>0</v>
      </c>
      <c r="Y302" s="148">
        <f t="shared" si="224"/>
        <v>0</v>
      </c>
      <c r="Z302" s="148">
        <f t="shared" si="224"/>
        <v>0</v>
      </c>
      <c r="AA302" s="148">
        <f t="shared" si="224"/>
        <v>0</v>
      </c>
      <c r="AB302" s="148">
        <f t="shared" si="224"/>
        <v>0</v>
      </c>
      <c r="AC302" s="148">
        <f t="shared" si="224"/>
        <v>0</v>
      </c>
      <c r="AD302" s="148">
        <f t="shared" si="229"/>
        <v>0</v>
      </c>
    </row>
    <row r="303" spans="1:30">
      <c r="A303" s="140">
        <f t="shared" si="230"/>
        <v>0</v>
      </c>
      <c r="B303" s="162" t="str">
        <f t="shared" si="210"/>
        <v>PI</v>
      </c>
      <c r="C303" s="159">
        <f t="shared" si="211"/>
        <v>0</v>
      </c>
      <c r="D303" s="160">
        <f t="shared" si="212"/>
        <v>0</v>
      </c>
      <c r="E303" s="144">
        <f t="shared" si="225"/>
        <v>0</v>
      </c>
      <c r="F303" s="161">
        <f>IF($F$295="No YEAR 10",0,IF(ISNA(VLOOKUP(A303,name_10,$F$9,0)),0,VLOOKUP(A303,name_10,$F$9,0)*(1+'1. SUMMARY'!$C$26)))</f>
        <v>0</v>
      </c>
      <c r="G303" s="146">
        <f t="shared" si="226"/>
        <v>0</v>
      </c>
      <c r="H303" s="146">
        <f t="shared" si="227"/>
        <v>0</v>
      </c>
      <c r="I303" s="147">
        <f t="shared" si="228"/>
        <v>0</v>
      </c>
      <c r="M303" s="148">
        <f t="shared" si="213"/>
        <v>0</v>
      </c>
      <c r="N303" s="148">
        <f t="shared" si="214"/>
        <v>0</v>
      </c>
      <c r="O303" s="148">
        <f t="shared" si="215"/>
        <v>0</v>
      </c>
      <c r="P303" s="148">
        <f t="shared" si="216"/>
        <v>0</v>
      </c>
      <c r="Q303" s="148">
        <f t="shared" si="217"/>
        <v>0</v>
      </c>
      <c r="R303" s="148">
        <f t="shared" si="218"/>
        <v>0</v>
      </c>
      <c r="S303" s="148">
        <f t="shared" si="219"/>
        <v>0</v>
      </c>
      <c r="T303" s="148">
        <f t="shared" si="220"/>
        <v>0</v>
      </c>
      <c r="U303" s="148">
        <f t="shared" si="221"/>
        <v>0</v>
      </c>
      <c r="V303" s="148">
        <f t="shared" si="222"/>
        <v>0</v>
      </c>
      <c r="W303" s="148">
        <f t="shared" si="223"/>
        <v>0</v>
      </c>
      <c r="X303" s="148">
        <f t="shared" si="224"/>
        <v>0</v>
      </c>
      <c r="Y303" s="148">
        <f t="shared" si="224"/>
        <v>0</v>
      </c>
      <c r="Z303" s="148">
        <f t="shared" si="224"/>
        <v>0</v>
      </c>
      <c r="AA303" s="148">
        <f t="shared" si="224"/>
        <v>0</v>
      </c>
      <c r="AB303" s="148">
        <f t="shared" si="224"/>
        <v>0</v>
      </c>
      <c r="AC303" s="148">
        <f t="shared" si="224"/>
        <v>0</v>
      </c>
      <c r="AD303" s="148">
        <f t="shared" si="229"/>
        <v>0</v>
      </c>
    </row>
    <row r="304" spans="1:30">
      <c r="A304" s="140">
        <f t="shared" si="230"/>
        <v>0</v>
      </c>
      <c r="B304" s="162" t="str">
        <f t="shared" si="210"/>
        <v>PI</v>
      </c>
      <c r="C304" s="159">
        <f t="shared" si="211"/>
        <v>0</v>
      </c>
      <c r="D304" s="160">
        <f t="shared" si="212"/>
        <v>0</v>
      </c>
      <c r="E304" s="144">
        <f t="shared" si="225"/>
        <v>0</v>
      </c>
      <c r="F304" s="161">
        <f>IF($F$295="No YEAR 10",0,IF(ISNA(VLOOKUP(A304,name_10,$F$9,0)),0,VLOOKUP(A304,name_10,$F$9,0)*(1+'1. SUMMARY'!$C$26)))</f>
        <v>0</v>
      </c>
      <c r="G304" s="146">
        <f t="shared" si="226"/>
        <v>0</v>
      </c>
      <c r="H304" s="146">
        <f t="shared" si="227"/>
        <v>0</v>
      </c>
      <c r="I304" s="147">
        <f t="shared" si="228"/>
        <v>0</v>
      </c>
      <c r="M304" s="148">
        <f t="shared" si="213"/>
        <v>0</v>
      </c>
      <c r="N304" s="148">
        <f t="shared" si="214"/>
        <v>0</v>
      </c>
      <c r="O304" s="148">
        <f t="shared" si="215"/>
        <v>0</v>
      </c>
      <c r="P304" s="148">
        <f t="shared" si="216"/>
        <v>0</v>
      </c>
      <c r="Q304" s="148">
        <f t="shared" si="217"/>
        <v>0</v>
      </c>
      <c r="R304" s="148">
        <f t="shared" si="218"/>
        <v>0</v>
      </c>
      <c r="S304" s="148">
        <f t="shared" si="219"/>
        <v>0</v>
      </c>
      <c r="T304" s="148">
        <f t="shared" si="220"/>
        <v>0</v>
      </c>
      <c r="U304" s="148">
        <f t="shared" si="221"/>
        <v>0</v>
      </c>
      <c r="V304" s="148">
        <f t="shared" si="222"/>
        <v>0</v>
      </c>
      <c r="W304" s="148">
        <f t="shared" si="223"/>
        <v>0</v>
      </c>
      <c r="X304" s="148">
        <f t="shared" si="224"/>
        <v>0</v>
      </c>
      <c r="Y304" s="148">
        <f t="shared" si="224"/>
        <v>0</v>
      </c>
      <c r="Z304" s="148">
        <f t="shared" si="224"/>
        <v>0</v>
      </c>
      <c r="AA304" s="148">
        <f t="shared" si="224"/>
        <v>0</v>
      </c>
      <c r="AB304" s="148">
        <f t="shared" si="224"/>
        <v>0</v>
      </c>
      <c r="AC304" s="148">
        <f t="shared" si="224"/>
        <v>0</v>
      </c>
      <c r="AD304" s="148">
        <f t="shared" si="229"/>
        <v>0</v>
      </c>
    </row>
    <row r="305" spans="1:30">
      <c r="A305" s="140">
        <f t="shared" si="230"/>
        <v>0</v>
      </c>
      <c r="B305" s="162" t="str">
        <f t="shared" si="210"/>
        <v>PI</v>
      </c>
      <c r="C305" s="159">
        <f t="shared" si="211"/>
        <v>0</v>
      </c>
      <c r="D305" s="160">
        <f t="shared" si="212"/>
        <v>0</v>
      </c>
      <c r="E305" s="144">
        <f t="shared" si="225"/>
        <v>0</v>
      </c>
      <c r="F305" s="161">
        <f>IF($F$295="No YEAR 10",0,IF(ISNA(VLOOKUP(A305,name_10,$F$9,0)),0,VLOOKUP(A305,name_10,$F$9,0)*(1+'1. SUMMARY'!$C$26)))</f>
        <v>0</v>
      </c>
      <c r="G305" s="146">
        <f t="shared" si="226"/>
        <v>0</v>
      </c>
      <c r="H305" s="146">
        <f t="shared" si="227"/>
        <v>0</v>
      </c>
      <c r="I305" s="147">
        <f t="shared" si="228"/>
        <v>0</v>
      </c>
      <c r="M305" s="148">
        <f t="shared" si="213"/>
        <v>0</v>
      </c>
      <c r="N305" s="148">
        <f t="shared" si="214"/>
        <v>0</v>
      </c>
      <c r="O305" s="148">
        <f t="shared" si="215"/>
        <v>0</v>
      </c>
      <c r="P305" s="148">
        <f t="shared" si="216"/>
        <v>0</v>
      </c>
      <c r="Q305" s="148">
        <f t="shared" si="217"/>
        <v>0</v>
      </c>
      <c r="R305" s="148">
        <f t="shared" si="218"/>
        <v>0</v>
      </c>
      <c r="S305" s="148">
        <f t="shared" si="219"/>
        <v>0</v>
      </c>
      <c r="T305" s="148">
        <f t="shared" si="220"/>
        <v>0</v>
      </c>
      <c r="U305" s="148">
        <f t="shared" si="221"/>
        <v>0</v>
      </c>
      <c r="V305" s="148">
        <f t="shared" si="222"/>
        <v>0</v>
      </c>
      <c r="W305" s="148">
        <f t="shared" si="223"/>
        <v>0</v>
      </c>
      <c r="X305" s="148">
        <f t="shared" si="224"/>
        <v>0</v>
      </c>
      <c r="Y305" s="148">
        <f t="shared" si="224"/>
        <v>0</v>
      </c>
      <c r="Z305" s="148">
        <f t="shared" si="224"/>
        <v>0</v>
      </c>
      <c r="AA305" s="148">
        <f t="shared" si="224"/>
        <v>0</v>
      </c>
      <c r="AB305" s="148">
        <f t="shared" si="224"/>
        <v>0</v>
      </c>
      <c r="AC305" s="148">
        <f t="shared" si="224"/>
        <v>0</v>
      </c>
      <c r="AD305" s="148">
        <f t="shared" si="229"/>
        <v>0</v>
      </c>
    </row>
    <row r="306" spans="1:30">
      <c r="A306" s="140">
        <f t="shared" si="230"/>
        <v>0</v>
      </c>
      <c r="B306" s="162" t="str">
        <f t="shared" si="210"/>
        <v>PI</v>
      </c>
      <c r="C306" s="159">
        <f t="shared" si="211"/>
        <v>0</v>
      </c>
      <c r="D306" s="160">
        <f t="shared" si="212"/>
        <v>0</v>
      </c>
      <c r="E306" s="144">
        <f t="shared" si="225"/>
        <v>0</v>
      </c>
      <c r="F306" s="161">
        <f>IF($F$295="No YEAR 10",0,IF(ISNA(VLOOKUP(A306,name_10,$F$9,0)),0,VLOOKUP(A306,name_10,$F$9,0)*(1+'1. SUMMARY'!$C$26)))</f>
        <v>0</v>
      </c>
      <c r="G306" s="146">
        <f t="shared" si="226"/>
        <v>0</v>
      </c>
      <c r="H306" s="146">
        <f t="shared" si="227"/>
        <v>0</v>
      </c>
      <c r="I306" s="147">
        <f t="shared" si="228"/>
        <v>0</v>
      </c>
      <c r="M306" s="148">
        <f t="shared" si="213"/>
        <v>0</v>
      </c>
      <c r="N306" s="148">
        <f t="shared" si="214"/>
        <v>0</v>
      </c>
      <c r="O306" s="148">
        <f t="shared" si="215"/>
        <v>0</v>
      </c>
      <c r="P306" s="148">
        <f t="shared" si="216"/>
        <v>0</v>
      </c>
      <c r="Q306" s="148">
        <f t="shared" si="217"/>
        <v>0</v>
      </c>
      <c r="R306" s="148">
        <f t="shared" si="218"/>
        <v>0</v>
      </c>
      <c r="S306" s="148">
        <f t="shared" si="219"/>
        <v>0</v>
      </c>
      <c r="T306" s="148">
        <f t="shared" si="220"/>
        <v>0</v>
      </c>
      <c r="U306" s="148">
        <f t="shared" si="221"/>
        <v>0</v>
      </c>
      <c r="V306" s="148">
        <f t="shared" si="222"/>
        <v>0</v>
      </c>
      <c r="W306" s="148">
        <f t="shared" si="223"/>
        <v>0</v>
      </c>
      <c r="X306" s="148">
        <f t="shared" si="224"/>
        <v>0</v>
      </c>
      <c r="Y306" s="148">
        <f t="shared" si="224"/>
        <v>0</v>
      </c>
      <c r="Z306" s="148">
        <f t="shared" si="224"/>
        <v>0</v>
      </c>
      <c r="AA306" s="148">
        <f t="shared" si="224"/>
        <v>0</v>
      </c>
      <c r="AB306" s="148">
        <f t="shared" si="224"/>
        <v>0</v>
      </c>
      <c r="AC306" s="148">
        <f t="shared" si="224"/>
        <v>0</v>
      </c>
      <c r="AD306" s="148">
        <f t="shared" si="229"/>
        <v>0</v>
      </c>
    </row>
    <row r="307" spans="1:30">
      <c r="A307" s="140">
        <f t="shared" si="230"/>
        <v>0</v>
      </c>
      <c r="B307" s="162" t="str">
        <f t="shared" si="210"/>
        <v>PI</v>
      </c>
      <c r="C307" s="159">
        <f t="shared" si="211"/>
        <v>0</v>
      </c>
      <c r="D307" s="160">
        <f t="shared" si="212"/>
        <v>0</v>
      </c>
      <c r="E307" s="144">
        <f t="shared" si="225"/>
        <v>0</v>
      </c>
      <c r="F307" s="161">
        <f>IF($F$295="No YEAR 10",0,IF(ISNA(VLOOKUP(A307,name_10,$F$9,0)),0,VLOOKUP(A307,name_10,$F$9,0)*(1+'1. SUMMARY'!$C$26)))</f>
        <v>0</v>
      </c>
      <c r="G307" s="146">
        <f t="shared" si="226"/>
        <v>0</v>
      </c>
      <c r="H307" s="146">
        <f t="shared" si="227"/>
        <v>0</v>
      </c>
      <c r="I307" s="147">
        <f t="shared" si="228"/>
        <v>0</v>
      </c>
      <c r="M307" s="148">
        <f t="shared" si="213"/>
        <v>0</v>
      </c>
      <c r="N307" s="148">
        <f t="shared" si="214"/>
        <v>0</v>
      </c>
      <c r="O307" s="148">
        <f t="shared" si="215"/>
        <v>0</v>
      </c>
      <c r="P307" s="148">
        <f t="shared" si="216"/>
        <v>0</v>
      </c>
      <c r="Q307" s="148">
        <f t="shared" si="217"/>
        <v>0</v>
      </c>
      <c r="R307" s="148">
        <f t="shared" si="218"/>
        <v>0</v>
      </c>
      <c r="S307" s="148">
        <f t="shared" si="219"/>
        <v>0</v>
      </c>
      <c r="T307" s="148">
        <f t="shared" si="220"/>
        <v>0</v>
      </c>
      <c r="U307" s="148">
        <f t="shared" si="221"/>
        <v>0</v>
      </c>
      <c r="V307" s="148">
        <f t="shared" si="222"/>
        <v>0</v>
      </c>
      <c r="W307" s="148">
        <f t="shared" si="223"/>
        <v>0</v>
      </c>
      <c r="X307" s="148">
        <f t="shared" si="224"/>
        <v>0</v>
      </c>
      <c r="Y307" s="148">
        <f t="shared" si="224"/>
        <v>0</v>
      </c>
      <c r="Z307" s="148">
        <f t="shared" si="224"/>
        <v>0</v>
      </c>
      <c r="AA307" s="148">
        <f t="shared" si="224"/>
        <v>0</v>
      </c>
      <c r="AB307" s="148">
        <f t="shared" si="224"/>
        <v>0</v>
      </c>
      <c r="AC307" s="148">
        <f t="shared" si="224"/>
        <v>0</v>
      </c>
      <c r="AD307" s="148">
        <f t="shared" si="229"/>
        <v>0</v>
      </c>
    </row>
    <row r="308" spans="1:30">
      <c r="A308" s="140">
        <f t="shared" si="230"/>
        <v>0</v>
      </c>
      <c r="B308" s="162" t="str">
        <f t="shared" si="210"/>
        <v>PI</v>
      </c>
      <c r="C308" s="159">
        <f t="shared" si="211"/>
        <v>0</v>
      </c>
      <c r="D308" s="160">
        <f t="shared" si="212"/>
        <v>0</v>
      </c>
      <c r="E308" s="144">
        <f t="shared" si="225"/>
        <v>0</v>
      </c>
      <c r="F308" s="161">
        <f>IF($F$295="No YEAR 10",0,IF(ISNA(VLOOKUP(A308,name_10,$F$9,0)),0,VLOOKUP(A308,name_10,$F$9,0)*(1+'1. SUMMARY'!$C$26)))</f>
        <v>0</v>
      </c>
      <c r="G308" s="146">
        <f t="shared" si="226"/>
        <v>0</v>
      </c>
      <c r="H308" s="146">
        <f t="shared" si="227"/>
        <v>0</v>
      </c>
      <c r="I308" s="147">
        <f t="shared" si="228"/>
        <v>0</v>
      </c>
      <c r="M308" s="148">
        <f t="shared" si="213"/>
        <v>0</v>
      </c>
      <c r="N308" s="148">
        <f t="shared" si="214"/>
        <v>0</v>
      </c>
      <c r="O308" s="148">
        <f t="shared" si="215"/>
        <v>0</v>
      </c>
      <c r="P308" s="148">
        <f t="shared" si="216"/>
        <v>0</v>
      </c>
      <c r="Q308" s="148">
        <f t="shared" si="217"/>
        <v>0</v>
      </c>
      <c r="R308" s="148">
        <f t="shared" si="218"/>
        <v>0</v>
      </c>
      <c r="S308" s="148">
        <f t="shared" si="219"/>
        <v>0</v>
      </c>
      <c r="T308" s="148">
        <f t="shared" si="220"/>
        <v>0</v>
      </c>
      <c r="U308" s="148">
        <f t="shared" si="221"/>
        <v>0</v>
      </c>
      <c r="V308" s="148">
        <f t="shared" si="222"/>
        <v>0</v>
      </c>
      <c r="W308" s="148">
        <f t="shared" si="223"/>
        <v>0</v>
      </c>
      <c r="X308" s="148">
        <f t="shared" ref="X308:AC322" si="231">IF(X$296=0,0,(($G308/$AD$296)*X$296)*VLOOKUP($C308,benefits,12,0))</f>
        <v>0</v>
      </c>
      <c r="Y308" s="148">
        <f t="shared" si="231"/>
        <v>0</v>
      </c>
      <c r="Z308" s="148">
        <f t="shared" si="231"/>
        <v>0</v>
      </c>
      <c r="AA308" s="148">
        <f t="shared" si="231"/>
        <v>0</v>
      </c>
      <c r="AB308" s="148">
        <f t="shared" si="231"/>
        <v>0</v>
      </c>
      <c r="AC308" s="148">
        <f t="shared" si="231"/>
        <v>0</v>
      </c>
      <c r="AD308" s="148">
        <f t="shared" si="229"/>
        <v>0</v>
      </c>
    </row>
    <row r="309" spans="1:30">
      <c r="A309" s="140">
        <f t="shared" si="230"/>
        <v>0</v>
      </c>
      <c r="B309" s="162" t="str">
        <f t="shared" si="210"/>
        <v>PI</v>
      </c>
      <c r="C309" s="159">
        <f t="shared" si="211"/>
        <v>0</v>
      </c>
      <c r="D309" s="160">
        <f t="shared" si="212"/>
        <v>0</v>
      </c>
      <c r="E309" s="144">
        <f t="shared" si="225"/>
        <v>0</v>
      </c>
      <c r="F309" s="161">
        <f>IF($F$295="No YEAR 10",0,IF(ISNA(VLOOKUP(A309,name_10,$F$9,0)),0,VLOOKUP(A309,name_10,$F$9,0)*(1+'1. SUMMARY'!$C$26)))</f>
        <v>0</v>
      </c>
      <c r="G309" s="146">
        <f t="shared" si="226"/>
        <v>0</v>
      </c>
      <c r="H309" s="146">
        <f t="shared" si="227"/>
        <v>0</v>
      </c>
      <c r="I309" s="147">
        <f t="shared" si="228"/>
        <v>0</v>
      </c>
      <c r="M309" s="148">
        <f t="shared" si="213"/>
        <v>0</v>
      </c>
      <c r="N309" s="148">
        <f t="shared" si="214"/>
        <v>0</v>
      </c>
      <c r="O309" s="148">
        <f t="shared" si="215"/>
        <v>0</v>
      </c>
      <c r="P309" s="148">
        <f t="shared" si="216"/>
        <v>0</v>
      </c>
      <c r="Q309" s="148">
        <f t="shared" si="217"/>
        <v>0</v>
      </c>
      <c r="R309" s="148">
        <f t="shared" si="218"/>
        <v>0</v>
      </c>
      <c r="S309" s="148">
        <f t="shared" si="219"/>
        <v>0</v>
      </c>
      <c r="T309" s="148">
        <f t="shared" si="220"/>
        <v>0</v>
      </c>
      <c r="U309" s="148">
        <f t="shared" si="221"/>
        <v>0</v>
      </c>
      <c r="V309" s="148">
        <f t="shared" si="222"/>
        <v>0</v>
      </c>
      <c r="W309" s="148">
        <f t="shared" si="223"/>
        <v>0</v>
      </c>
      <c r="X309" s="148">
        <f t="shared" si="231"/>
        <v>0</v>
      </c>
      <c r="Y309" s="148">
        <f t="shared" si="231"/>
        <v>0</v>
      </c>
      <c r="Z309" s="148">
        <f t="shared" si="231"/>
        <v>0</v>
      </c>
      <c r="AA309" s="148">
        <f t="shared" si="231"/>
        <v>0</v>
      </c>
      <c r="AB309" s="148">
        <f t="shared" si="231"/>
        <v>0</v>
      </c>
      <c r="AC309" s="148">
        <f t="shared" si="231"/>
        <v>0</v>
      </c>
      <c r="AD309" s="148">
        <f t="shared" si="229"/>
        <v>0</v>
      </c>
    </row>
    <row r="310" spans="1:30">
      <c r="A310" s="140">
        <f t="shared" si="230"/>
        <v>0</v>
      </c>
      <c r="B310" s="162" t="str">
        <f t="shared" si="210"/>
        <v>PI</v>
      </c>
      <c r="C310" s="159">
        <f t="shared" si="211"/>
        <v>0</v>
      </c>
      <c r="D310" s="160">
        <f t="shared" si="212"/>
        <v>0</v>
      </c>
      <c r="E310" s="144">
        <f t="shared" si="225"/>
        <v>0</v>
      </c>
      <c r="F310" s="161">
        <f>IF($F$295="No YEAR 10",0,IF(ISNA(VLOOKUP(A310,name_10,$F$9,0)),0,VLOOKUP(A310,name_10,$F$9,0)*(1+'1. SUMMARY'!$C$26)))</f>
        <v>0</v>
      </c>
      <c r="G310" s="146">
        <f t="shared" si="226"/>
        <v>0</v>
      </c>
      <c r="H310" s="146">
        <f t="shared" si="227"/>
        <v>0</v>
      </c>
      <c r="I310" s="147">
        <f t="shared" si="228"/>
        <v>0</v>
      </c>
      <c r="M310" s="148">
        <f t="shared" si="213"/>
        <v>0</v>
      </c>
      <c r="N310" s="148">
        <f t="shared" si="214"/>
        <v>0</v>
      </c>
      <c r="O310" s="148">
        <f t="shared" si="215"/>
        <v>0</v>
      </c>
      <c r="P310" s="148">
        <f t="shared" si="216"/>
        <v>0</v>
      </c>
      <c r="Q310" s="148">
        <f t="shared" si="217"/>
        <v>0</v>
      </c>
      <c r="R310" s="148">
        <f t="shared" si="218"/>
        <v>0</v>
      </c>
      <c r="S310" s="148">
        <f t="shared" si="219"/>
        <v>0</v>
      </c>
      <c r="T310" s="148">
        <f t="shared" si="220"/>
        <v>0</v>
      </c>
      <c r="U310" s="148">
        <f t="shared" si="221"/>
        <v>0</v>
      </c>
      <c r="V310" s="148">
        <f t="shared" si="222"/>
        <v>0</v>
      </c>
      <c r="W310" s="148">
        <f t="shared" si="223"/>
        <v>0</v>
      </c>
      <c r="X310" s="148">
        <f t="shared" si="231"/>
        <v>0</v>
      </c>
      <c r="Y310" s="148">
        <f t="shared" si="231"/>
        <v>0</v>
      </c>
      <c r="Z310" s="148">
        <f t="shared" si="231"/>
        <v>0</v>
      </c>
      <c r="AA310" s="148">
        <f t="shared" si="231"/>
        <v>0</v>
      </c>
      <c r="AB310" s="148">
        <f t="shared" si="231"/>
        <v>0</v>
      </c>
      <c r="AC310" s="148">
        <f t="shared" si="231"/>
        <v>0</v>
      </c>
      <c r="AD310" s="148">
        <f t="shared" si="229"/>
        <v>0</v>
      </c>
    </row>
    <row r="311" spans="1:30">
      <c r="A311" s="140">
        <f t="shared" si="230"/>
        <v>0</v>
      </c>
      <c r="B311" s="162" t="str">
        <f t="shared" si="210"/>
        <v>PI</v>
      </c>
      <c r="C311" s="159">
        <f t="shared" si="211"/>
        <v>0</v>
      </c>
      <c r="D311" s="160">
        <f t="shared" si="212"/>
        <v>0</v>
      </c>
      <c r="E311" s="144">
        <f t="shared" si="225"/>
        <v>0</v>
      </c>
      <c r="F311" s="161">
        <f>IF($F$295="No YEAR 10",0,IF(ISNA(VLOOKUP(A311,name_10,$F$9,0)),0,VLOOKUP(A311,name_10,$F$9,0)*(1+'1. SUMMARY'!$C$26)))</f>
        <v>0</v>
      </c>
      <c r="G311" s="146">
        <f t="shared" si="226"/>
        <v>0</v>
      </c>
      <c r="H311" s="146">
        <f t="shared" si="227"/>
        <v>0</v>
      </c>
      <c r="I311" s="147">
        <f t="shared" si="228"/>
        <v>0</v>
      </c>
      <c r="M311" s="148">
        <f t="shared" ref="M311:M322" si="232">IF($M$296=0,0,((G311/$AD$296)*$M$296)*VLOOKUP(C279,benefits,2,0))</f>
        <v>0</v>
      </c>
      <c r="N311" s="148">
        <f t="shared" si="214"/>
        <v>0</v>
      </c>
      <c r="O311" s="148">
        <f t="shared" si="215"/>
        <v>0</v>
      </c>
      <c r="P311" s="148">
        <f t="shared" si="216"/>
        <v>0</v>
      </c>
      <c r="Q311" s="148">
        <f t="shared" si="217"/>
        <v>0</v>
      </c>
      <c r="R311" s="148">
        <f t="shared" si="218"/>
        <v>0</v>
      </c>
      <c r="S311" s="148">
        <f t="shared" si="219"/>
        <v>0</v>
      </c>
      <c r="T311" s="148">
        <f t="shared" si="220"/>
        <v>0</v>
      </c>
      <c r="U311" s="148">
        <f t="shared" si="221"/>
        <v>0</v>
      </c>
      <c r="V311" s="148">
        <f t="shared" si="222"/>
        <v>0</v>
      </c>
      <c r="W311" s="148">
        <f t="shared" si="223"/>
        <v>0</v>
      </c>
      <c r="X311" s="148">
        <f t="shared" si="231"/>
        <v>0</v>
      </c>
      <c r="Y311" s="148">
        <f t="shared" si="231"/>
        <v>0</v>
      </c>
      <c r="Z311" s="148">
        <f t="shared" si="231"/>
        <v>0</v>
      </c>
      <c r="AA311" s="148">
        <f t="shared" si="231"/>
        <v>0</v>
      </c>
      <c r="AB311" s="148">
        <f t="shared" si="231"/>
        <v>0</v>
      </c>
      <c r="AC311" s="148">
        <f t="shared" si="231"/>
        <v>0</v>
      </c>
      <c r="AD311" s="148">
        <f t="shared" si="229"/>
        <v>0</v>
      </c>
    </row>
    <row r="312" spans="1:30">
      <c r="A312" s="140">
        <f t="shared" si="230"/>
        <v>0</v>
      </c>
      <c r="B312" s="162" t="str">
        <f t="shared" si="210"/>
        <v>PI</v>
      </c>
      <c r="C312" s="159">
        <f t="shared" si="211"/>
        <v>0</v>
      </c>
      <c r="D312" s="160">
        <f t="shared" si="212"/>
        <v>0</v>
      </c>
      <c r="E312" s="144">
        <f t="shared" si="225"/>
        <v>0</v>
      </c>
      <c r="F312" s="161">
        <f>IF($F$295="No YEAR 10",0,IF(ISNA(VLOOKUP(A312,name_10,$F$9,0)),0,VLOOKUP(A312,name_10,$F$9,0)*(1+'1. SUMMARY'!$C$26)))</f>
        <v>0</v>
      </c>
      <c r="G312" s="146">
        <f t="shared" si="226"/>
        <v>0</v>
      </c>
      <c r="H312" s="146">
        <f t="shared" si="227"/>
        <v>0</v>
      </c>
      <c r="I312" s="147">
        <f t="shared" si="228"/>
        <v>0</v>
      </c>
      <c r="M312" s="148">
        <f t="shared" si="232"/>
        <v>0</v>
      </c>
      <c r="N312" s="148">
        <f t="shared" si="214"/>
        <v>0</v>
      </c>
      <c r="O312" s="148">
        <f t="shared" si="215"/>
        <v>0</v>
      </c>
      <c r="P312" s="148">
        <f t="shared" si="216"/>
        <v>0</v>
      </c>
      <c r="Q312" s="148">
        <f t="shared" si="217"/>
        <v>0</v>
      </c>
      <c r="R312" s="148">
        <f t="shared" si="218"/>
        <v>0</v>
      </c>
      <c r="S312" s="148">
        <f t="shared" si="219"/>
        <v>0</v>
      </c>
      <c r="T312" s="148">
        <f t="shared" si="220"/>
        <v>0</v>
      </c>
      <c r="U312" s="148">
        <f t="shared" si="221"/>
        <v>0</v>
      </c>
      <c r="V312" s="148">
        <f t="shared" si="222"/>
        <v>0</v>
      </c>
      <c r="W312" s="148">
        <f t="shared" si="223"/>
        <v>0</v>
      </c>
      <c r="X312" s="148">
        <f t="shared" si="231"/>
        <v>0</v>
      </c>
      <c r="Y312" s="148">
        <f t="shared" si="231"/>
        <v>0</v>
      </c>
      <c r="Z312" s="148">
        <f t="shared" si="231"/>
        <v>0</v>
      </c>
      <c r="AA312" s="148">
        <f t="shared" si="231"/>
        <v>0</v>
      </c>
      <c r="AB312" s="148">
        <f t="shared" si="231"/>
        <v>0</v>
      </c>
      <c r="AC312" s="148">
        <f t="shared" si="231"/>
        <v>0</v>
      </c>
      <c r="AD312" s="148">
        <f t="shared" si="229"/>
        <v>0</v>
      </c>
    </row>
    <row r="313" spans="1:30">
      <c r="A313" s="140">
        <f t="shared" si="230"/>
        <v>0</v>
      </c>
      <c r="B313" s="162" t="str">
        <f t="shared" si="210"/>
        <v>PI</v>
      </c>
      <c r="C313" s="159">
        <f t="shared" si="211"/>
        <v>0</v>
      </c>
      <c r="D313" s="160">
        <f t="shared" si="212"/>
        <v>0</v>
      </c>
      <c r="E313" s="144">
        <f t="shared" si="225"/>
        <v>0</v>
      </c>
      <c r="F313" s="161">
        <f>IF($F$295="No YEAR 10",0,IF(ISNA(VLOOKUP(A313,name_10,$F$9,0)),0,VLOOKUP(A313,name_10,$F$9,0)*(1+'1. SUMMARY'!$C$26)))</f>
        <v>0</v>
      </c>
      <c r="G313" s="146">
        <f t="shared" si="226"/>
        <v>0</v>
      </c>
      <c r="H313" s="146">
        <f t="shared" si="227"/>
        <v>0</v>
      </c>
      <c r="I313" s="147">
        <f t="shared" si="228"/>
        <v>0</v>
      </c>
      <c r="M313" s="148">
        <f t="shared" si="232"/>
        <v>0</v>
      </c>
      <c r="N313" s="148">
        <f t="shared" si="214"/>
        <v>0</v>
      </c>
      <c r="O313" s="148">
        <f t="shared" si="215"/>
        <v>0</v>
      </c>
      <c r="P313" s="148">
        <f t="shared" si="216"/>
        <v>0</v>
      </c>
      <c r="Q313" s="148">
        <f t="shared" si="217"/>
        <v>0</v>
      </c>
      <c r="R313" s="148">
        <f t="shared" si="218"/>
        <v>0</v>
      </c>
      <c r="S313" s="148">
        <f t="shared" si="219"/>
        <v>0</v>
      </c>
      <c r="T313" s="148">
        <f t="shared" si="220"/>
        <v>0</v>
      </c>
      <c r="U313" s="148">
        <f t="shared" si="221"/>
        <v>0</v>
      </c>
      <c r="V313" s="148">
        <f t="shared" si="222"/>
        <v>0</v>
      </c>
      <c r="W313" s="148">
        <f t="shared" si="223"/>
        <v>0</v>
      </c>
      <c r="X313" s="148">
        <f t="shared" si="231"/>
        <v>0</v>
      </c>
      <c r="Y313" s="148">
        <f t="shared" si="231"/>
        <v>0</v>
      </c>
      <c r="Z313" s="148">
        <f t="shared" si="231"/>
        <v>0</v>
      </c>
      <c r="AA313" s="148">
        <f t="shared" si="231"/>
        <v>0</v>
      </c>
      <c r="AB313" s="148">
        <f t="shared" si="231"/>
        <v>0</v>
      </c>
      <c r="AC313" s="148">
        <f t="shared" si="231"/>
        <v>0</v>
      </c>
      <c r="AD313" s="148">
        <f t="shared" si="229"/>
        <v>0</v>
      </c>
    </row>
    <row r="314" spans="1:30">
      <c r="A314" s="140">
        <f t="shared" si="230"/>
        <v>0</v>
      </c>
      <c r="B314" s="162" t="str">
        <f t="shared" si="210"/>
        <v>PI</v>
      </c>
      <c r="C314" s="159">
        <f t="shared" si="211"/>
        <v>0</v>
      </c>
      <c r="D314" s="160">
        <f t="shared" si="212"/>
        <v>0</v>
      </c>
      <c r="E314" s="144">
        <f t="shared" si="225"/>
        <v>0</v>
      </c>
      <c r="F314" s="161">
        <f>IF($F$295="No YEAR 10",0,IF(ISNA(VLOOKUP(A314,name_10,$F$9,0)),0,VLOOKUP(A314,name_10,$F$9,0)*(1+'1. SUMMARY'!$C$26)))</f>
        <v>0</v>
      </c>
      <c r="G314" s="146">
        <f t="shared" si="226"/>
        <v>0</v>
      </c>
      <c r="H314" s="146">
        <f t="shared" si="227"/>
        <v>0</v>
      </c>
      <c r="I314" s="147">
        <f t="shared" si="228"/>
        <v>0</v>
      </c>
      <c r="M314" s="148">
        <f t="shared" si="232"/>
        <v>0</v>
      </c>
      <c r="N314" s="148">
        <f t="shared" si="214"/>
        <v>0</v>
      </c>
      <c r="O314" s="148">
        <f t="shared" si="215"/>
        <v>0</v>
      </c>
      <c r="P314" s="148">
        <f t="shared" si="216"/>
        <v>0</v>
      </c>
      <c r="Q314" s="148">
        <f t="shared" si="217"/>
        <v>0</v>
      </c>
      <c r="R314" s="148">
        <f t="shared" si="218"/>
        <v>0</v>
      </c>
      <c r="S314" s="148">
        <f t="shared" si="219"/>
        <v>0</v>
      </c>
      <c r="T314" s="148">
        <f t="shared" si="220"/>
        <v>0</v>
      </c>
      <c r="U314" s="148">
        <f t="shared" si="221"/>
        <v>0</v>
      </c>
      <c r="V314" s="148">
        <f t="shared" si="222"/>
        <v>0</v>
      </c>
      <c r="W314" s="148">
        <f t="shared" si="223"/>
        <v>0</v>
      </c>
      <c r="X314" s="148">
        <f t="shared" si="231"/>
        <v>0</v>
      </c>
      <c r="Y314" s="148">
        <f t="shared" si="231"/>
        <v>0</v>
      </c>
      <c r="Z314" s="148">
        <f t="shared" si="231"/>
        <v>0</v>
      </c>
      <c r="AA314" s="148">
        <f t="shared" si="231"/>
        <v>0</v>
      </c>
      <c r="AB314" s="148">
        <f t="shared" si="231"/>
        <v>0</v>
      </c>
      <c r="AC314" s="148">
        <f t="shared" si="231"/>
        <v>0</v>
      </c>
      <c r="AD314" s="148">
        <f t="shared" si="229"/>
        <v>0</v>
      </c>
    </row>
    <row r="315" spans="1:30">
      <c r="A315" s="140">
        <f t="shared" si="230"/>
        <v>0</v>
      </c>
      <c r="B315" s="162" t="str">
        <f t="shared" si="210"/>
        <v>PI</v>
      </c>
      <c r="C315" s="159">
        <f t="shared" si="211"/>
        <v>0</v>
      </c>
      <c r="D315" s="160">
        <f t="shared" si="212"/>
        <v>0</v>
      </c>
      <c r="E315" s="144">
        <f t="shared" si="225"/>
        <v>0</v>
      </c>
      <c r="F315" s="161">
        <f>IF($F$295="No YEAR 10",0,IF(ISNA(VLOOKUP(A315,name_10,$F$9,0)),0,VLOOKUP(A315,name_10,$F$9,0)*(1+'1. SUMMARY'!$C$26)))</f>
        <v>0</v>
      </c>
      <c r="G315" s="146">
        <f t="shared" si="226"/>
        <v>0</v>
      </c>
      <c r="H315" s="146">
        <f t="shared" si="227"/>
        <v>0</v>
      </c>
      <c r="I315" s="147">
        <f t="shared" si="228"/>
        <v>0</v>
      </c>
      <c r="M315" s="148">
        <f t="shared" si="232"/>
        <v>0</v>
      </c>
      <c r="N315" s="148">
        <f t="shared" si="214"/>
        <v>0</v>
      </c>
      <c r="O315" s="148">
        <f t="shared" si="215"/>
        <v>0</v>
      </c>
      <c r="P315" s="148">
        <f t="shared" si="216"/>
        <v>0</v>
      </c>
      <c r="Q315" s="148">
        <f t="shared" si="217"/>
        <v>0</v>
      </c>
      <c r="R315" s="148">
        <f t="shared" si="218"/>
        <v>0</v>
      </c>
      <c r="S315" s="148">
        <f t="shared" si="219"/>
        <v>0</v>
      </c>
      <c r="T315" s="148">
        <f t="shared" si="220"/>
        <v>0</v>
      </c>
      <c r="U315" s="148">
        <f t="shared" si="221"/>
        <v>0</v>
      </c>
      <c r="V315" s="148">
        <f t="shared" si="222"/>
        <v>0</v>
      </c>
      <c r="W315" s="148">
        <f t="shared" si="223"/>
        <v>0</v>
      </c>
      <c r="X315" s="148">
        <f t="shared" si="231"/>
        <v>0</v>
      </c>
      <c r="Y315" s="148">
        <f t="shared" si="231"/>
        <v>0</v>
      </c>
      <c r="Z315" s="148">
        <f t="shared" si="231"/>
        <v>0</v>
      </c>
      <c r="AA315" s="148">
        <f t="shared" si="231"/>
        <v>0</v>
      </c>
      <c r="AB315" s="148">
        <f t="shared" si="231"/>
        <v>0</v>
      </c>
      <c r="AC315" s="148">
        <f t="shared" si="231"/>
        <v>0</v>
      </c>
      <c r="AD315" s="148">
        <f t="shared" si="229"/>
        <v>0</v>
      </c>
    </row>
    <row r="316" spans="1:30">
      <c r="A316" s="140">
        <f t="shared" si="230"/>
        <v>0</v>
      </c>
      <c r="B316" s="162" t="str">
        <f t="shared" si="210"/>
        <v>PI</v>
      </c>
      <c r="C316" s="159">
        <f t="shared" si="211"/>
        <v>0</v>
      </c>
      <c r="D316" s="160">
        <f t="shared" si="212"/>
        <v>0</v>
      </c>
      <c r="E316" s="144">
        <f t="shared" si="225"/>
        <v>0</v>
      </c>
      <c r="F316" s="161">
        <f>IF($F$295="No YEAR 10",0,IF(ISNA(VLOOKUP(A316,name_10,$F$9,0)),0,VLOOKUP(A316,name_10,$F$9,0)*(1+'1. SUMMARY'!$C$26)))</f>
        <v>0</v>
      </c>
      <c r="G316" s="146">
        <f t="shared" si="226"/>
        <v>0</v>
      </c>
      <c r="H316" s="146">
        <f t="shared" si="227"/>
        <v>0</v>
      </c>
      <c r="I316" s="147">
        <f t="shared" si="228"/>
        <v>0</v>
      </c>
      <c r="M316" s="148">
        <f t="shared" si="232"/>
        <v>0</v>
      </c>
      <c r="N316" s="148">
        <f t="shared" si="214"/>
        <v>0</v>
      </c>
      <c r="O316" s="148">
        <f t="shared" si="215"/>
        <v>0</v>
      </c>
      <c r="P316" s="148">
        <f t="shared" si="216"/>
        <v>0</v>
      </c>
      <c r="Q316" s="148">
        <f t="shared" si="217"/>
        <v>0</v>
      </c>
      <c r="R316" s="148">
        <f t="shared" si="218"/>
        <v>0</v>
      </c>
      <c r="S316" s="148">
        <f t="shared" si="219"/>
        <v>0</v>
      </c>
      <c r="T316" s="148">
        <f t="shared" si="220"/>
        <v>0</v>
      </c>
      <c r="U316" s="148">
        <f t="shared" si="221"/>
        <v>0</v>
      </c>
      <c r="V316" s="148">
        <f t="shared" si="222"/>
        <v>0</v>
      </c>
      <c r="W316" s="148">
        <f t="shared" si="223"/>
        <v>0</v>
      </c>
      <c r="X316" s="148">
        <f t="shared" si="231"/>
        <v>0</v>
      </c>
      <c r="Y316" s="148">
        <f t="shared" si="231"/>
        <v>0</v>
      </c>
      <c r="Z316" s="148">
        <f t="shared" si="231"/>
        <v>0</v>
      </c>
      <c r="AA316" s="148">
        <f t="shared" si="231"/>
        <v>0</v>
      </c>
      <c r="AB316" s="148">
        <f t="shared" si="231"/>
        <v>0</v>
      </c>
      <c r="AC316" s="148">
        <f t="shared" si="231"/>
        <v>0</v>
      </c>
      <c r="AD316" s="148">
        <f t="shared" si="229"/>
        <v>0</v>
      </c>
    </row>
    <row r="317" spans="1:30">
      <c r="A317" s="140">
        <f t="shared" si="230"/>
        <v>0</v>
      </c>
      <c r="B317" s="162" t="str">
        <f t="shared" si="210"/>
        <v>PI</v>
      </c>
      <c r="C317" s="159">
        <f t="shared" si="211"/>
        <v>0</v>
      </c>
      <c r="D317" s="160">
        <f t="shared" si="212"/>
        <v>0</v>
      </c>
      <c r="E317" s="144">
        <f t="shared" si="225"/>
        <v>0</v>
      </c>
      <c r="F317" s="161">
        <f>IF($F$295="No YEAR 10",0,IF(ISNA(VLOOKUP(A317,name_10,$F$9,0)),0,VLOOKUP(A317,name_10,$F$9,0)*(1+'1. SUMMARY'!$C$26)))</f>
        <v>0</v>
      </c>
      <c r="G317" s="146">
        <f t="shared" si="226"/>
        <v>0</v>
      </c>
      <c r="H317" s="146">
        <f t="shared" si="227"/>
        <v>0</v>
      </c>
      <c r="I317" s="147">
        <f t="shared" si="228"/>
        <v>0</v>
      </c>
      <c r="M317" s="148">
        <f t="shared" si="232"/>
        <v>0</v>
      </c>
      <c r="N317" s="148">
        <f t="shared" si="214"/>
        <v>0</v>
      </c>
      <c r="O317" s="148">
        <f t="shared" si="215"/>
        <v>0</v>
      </c>
      <c r="P317" s="148">
        <f t="shared" si="216"/>
        <v>0</v>
      </c>
      <c r="Q317" s="148">
        <f t="shared" si="217"/>
        <v>0</v>
      </c>
      <c r="R317" s="148">
        <f t="shared" si="218"/>
        <v>0</v>
      </c>
      <c r="S317" s="148">
        <f t="shared" si="219"/>
        <v>0</v>
      </c>
      <c r="T317" s="148">
        <f t="shared" si="220"/>
        <v>0</v>
      </c>
      <c r="U317" s="148">
        <f t="shared" si="221"/>
        <v>0</v>
      </c>
      <c r="V317" s="148">
        <f t="shared" si="222"/>
        <v>0</v>
      </c>
      <c r="W317" s="148">
        <f t="shared" si="223"/>
        <v>0</v>
      </c>
      <c r="X317" s="148">
        <f t="shared" si="231"/>
        <v>0</v>
      </c>
      <c r="Y317" s="148">
        <f t="shared" si="231"/>
        <v>0</v>
      </c>
      <c r="Z317" s="148">
        <f t="shared" si="231"/>
        <v>0</v>
      </c>
      <c r="AA317" s="148">
        <f t="shared" si="231"/>
        <v>0</v>
      </c>
      <c r="AB317" s="148">
        <f t="shared" si="231"/>
        <v>0</v>
      </c>
      <c r="AC317" s="148">
        <f t="shared" si="231"/>
        <v>0</v>
      </c>
      <c r="AD317" s="148">
        <f t="shared" si="229"/>
        <v>0</v>
      </c>
    </row>
    <row r="318" spans="1:30">
      <c r="A318" s="140">
        <f t="shared" si="230"/>
        <v>0</v>
      </c>
      <c r="B318" s="162" t="str">
        <f t="shared" si="210"/>
        <v>PI</v>
      </c>
      <c r="C318" s="159">
        <f t="shared" si="211"/>
        <v>0</v>
      </c>
      <c r="D318" s="160">
        <f t="shared" si="212"/>
        <v>0</v>
      </c>
      <c r="E318" s="144">
        <f t="shared" si="225"/>
        <v>0</v>
      </c>
      <c r="F318" s="161">
        <f>IF($F$295="No YEAR 10",0,IF(ISNA(VLOOKUP(A318,name_10,$F$9,0)),0,VLOOKUP(A318,name_10,$F$9,0)*(1+'1. SUMMARY'!$C$26)))</f>
        <v>0</v>
      </c>
      <c r="G318" s="146">
        <f t="shared" si="226"/>
        <v>0</v>
      </c>
      <c r="H318" s="146">
        <f t="shared" si="227"/>
        <v>0</v>
      </c>
      <c r="I318" s="147">
        <f t="shared" si="228"/>
        <v>0</v>
      </c>
      <c r="M318" s="148">
        <f t="shared" si="232"/>
        <v>0</v>
      </c>
      <c r="N318" s="148">
        <f t="shared" si="214"/>
        <v>0</v>
      </c>
      <c r="O318" s="148">
        <f t="shared" si="215"/>
        <v>0</v>
      </c>
      <c r="P318" s="148">
        <f t="shared" si="216"/>
        <v>0</v>
      </c>
      <c r="Q318" s="148">
        <f t="shared" si="217"/>
        <v>0</v>
      </c>
      <c r="R318" s="148">
        <f t="shared" si="218"/>
        <v>0</v>
      </c>
      <c r="S318" s="148">
        <f t="shared" si="219"/>
        <v>0</v>
      </c>
      <c r="T318" s="148">
        <f t="shared" si="220"/>
        <v>0</v>
      </c>
      <c r="U318" s="148">
        <f t="shared" si="221"/>
        <v>0</v>
      </c>
      <c r="V318" s="148">
        <f t="shared" si="222"/>
        <v>0</v>
      </c>
      <c r="W318" s="148">
        <f t="shared" si="223"/>
        <v>0</v>
      </c>
      <c r="X318" s="148">
        <f t="shared" si="231"/>
        <v>0</v>
      </c>
      <c r="Y318" s="148">
        <f t="shared" si="231"/>
        <v>0</v>
      </c>
      <c r="Z318" s="148">
        <f t="shared" si="231"/>
        <v>0</v>
      </c>
      <c r="AA318" s="148">
        <f t="shared" si="231"/>
        <v>0</v>
      </c>
      <c r="AB318" s="148">
        <f t="shared" si="231"/>
        <v>0</v>
      </c>
      <c r="AC318" s="148">
        <f t="shared" si="231"/>
        <v>0</v>
      </c>
      <c r="AD318" s="148">
        <f t="shared" si="229"/>
        <v>0</v>
      </c>
    </row>
    <row r="319" spans="1:30">
      <c r="A319" s="140">
        <f t="shared" si="230"/>
        <v>0</v>
      </c>
      <c r="B319" s="162" t="str">
        <f t="shared" si="210"/>
        <v>PI</v>
      </c>
      <c r="C319" s="159">
        <f t="shared" si="211"/>
        <v>0</v>
      </c>
      <c r="D319" s="160">
        <f t="shared" si="212"/>
        <v>0</v>
      </c>
      <c r="E319" s="144">
        <f t="shared" si="225"/>
        <v>0</v>
      </c>
      <c r="F319" s="161">
        <f>IF($F$295="No YEAR 10",0,IF(ISNA(VLOOKUP(A319,name_10,$F$9,0)),0,VLOOKUP(A319,name_10,$F$9,0)*(1+'1. SUMMARY'!$C$26)))</f>
        <v>0</v>
      </c>
      <c r="G319" s="146">
        <f t="shared" si="226"/>
        <v>0</v>
      </c>
      <c r="H319" s="146">
        <f t="shared" si="227"/>
        <v>0</v>
      </c>
      <c r="I319" s="147">
        <f t="shared" si="228"/>
        <v>0</v>
      </c>
      <c r="M319" s="148">
        <f t="shared" si="232"/>
        <v>0</v>
      </c>
      <c r="N319" s="148">
        <f t="shared" si="214"/>
        <v>0</v>
      </c>
      <c r="O319" s="148">
        <f t="shared" si="215"/>
        <v>0</v>
      </c>
      <c r="P319" s="148">
        <f t="shared" si="216"/>
        <v>0</v>
      </c>
      <c r="Q319" s="148">
        <f t="shared" si="217"/>
        <v>0</v>
      </c>
      <c r="R319" s="148">
        <f t="shared" si="218"/>
        <v>0</v>
      </c>
      <c r="S319" s="148">
        <f t="shared" si="219"/>
        <v>0</v>
      </c>
      <c r="T319" s="148">
        <f t="shared" si="220"/>
        <v>0</v>
      </c>
      <c r="U319" s="148">
        <f t="shared" si="221"/>
        <v>0</v>
      </c>
      <c r="V319" s="148">
        <f t="shared" si="222"/>
        <v>0</v>
      </c>
      <c r="W319" s="148">
        <f t="shared" si="223"/>
        <v>0</v>
      </c>
      <c r="X319" s="148">
        <f t="shared" si="231"/>
        <v>0</v>
      </c>
      <c r="Y319" s="148">
        <f t="shared" si="231"/>
        <v>0</v>
      </c>
      <c r="Z319" s="148">
        <f t="shared" si="231"/>
        <v>0</v>
      </c>
      <c r="AA319" s="148">
        <f t="shared" si="231"/>
        <v>0</v>
      </c>
      <c r="AB319" s="148">
        <f t="shared" si="231"/>
        <v>0</v>
      </c>
      <c r="AC319" s="148">
        <f t="shared" si="231"/>
        <v>0</v>
      </c>
      <c r="AD319" s="148">
        <f t="shared" si="229"/>
        <v>0</v>
      </c>
    </row>
    <row r="320" spans="1:30">
      <c r="A320" s="140">
        <f t="shared" si="230"/>
        <v>0</v>
      </c>
      <c r="B320" s="162" t="str">
        <f t="shared" si="210"/>
        <v>PI</v>
      </c>
      <c r="C320" s="159">
        <f t="shared" si="211"/>
        <v>0</v>
      </c>
      <c r="D320" s="160">
        <f t="shared" si="212"/>
        <v>0</v>
      </c>
      <c r="E320" s="144">
        <f t="shared" si="225"/>
        <v>0</v>
      </c>
      <c r="F320" s="161">
        <f>IF($F$295="No YEAR 10",0,IF(ISNA(VLOOKUP(A320,name_10,$F$9,0)),0,VLOOKUP(A320,name_10,$F$9,0)*(1+'1. SUMMARY'!$C$26)))</f>
        <v>0</v>
      </c>
      <c r="G320" s="146">
        <f t="shared" si="226"/>
        <v>0</v>
      </c>
      <c r="H320" s="146">
        <f t="shared" si="227"/>
        <v>0</v>
      </c>
      <c r="I320" s="147">
        <f t="shared" si="228"/>
        <v>0</v>
      </c>
      <c r="M320" s="148">
        <f t="shared" si="232"/>
        <v>0</v>
      </c>
      <c r="N320" s="148">
        <f t="shared" si="214"/>
        <v>0</v>
      </c>
      <c r="O320" s="148">
        <f t="shared" si="215"/>
        <v>0</v>
      </c>
      <c r="P320" s="148">
        <f t="shared" si="216"/>
        <v>0</v>
      </c>
      <c r="Q320" s="148">
        <f t="shared" si="217"/>
        <v>0</v>
      </c>
      <c r="R320" s="148">
        <f t="shared" si="218"/>
        <v>0</v>
      </c>
      <c r="S320" s="148">
        <f t="shared" si="219"/>
        <v>0</v>
      </c>
      <c r="T320" s="148">
        <f t="shared" si="220"/>
        <v>0</v>
      </c>
      <c r="U320" s="148">
        <f t="shared" si="221"/>
        <v>0</v>
      </c>
      <c r="V320" s="148">
        <f t="shared" si="222"/>
        <v>0</v>
      </c>
      <c r="W320" s="148">
        <f t="shared" si="223"/>
        <v>0</v>
      </c>
      <c r="X320" s="148">
        <f t="shared" si="231"/>
        <v>0</v>
      </c>
      <c r="Y320" s="148">
        <f t="shared" si="231"/>
        <v>0</v>
      </c>
      <c r="Z320" s="148">
        <f t="shared" si="231"/>
        <v>0</v>
      </c>
      <c r="AA320" s="148">
        <f t="shared" si="231"/>
        <v>0</v>
      </c>
      <c r="AB320" s="148">
        <f t="shared" si="231"/>
        <v>0</v>
      </c>
      <c r="AC320" s="148">
        <f t="shared" si="231"/>
        <v>0</v>
      </c>
      <c r="AD320" s="148">
        <f t="shared" si="229"/>
        <v>0</v>
      </c>
    </row>
    <row r="321" spans="1:30">
      <c r="A321" s="140">
        <f t="shared" si="230"/>
        <v>0</v>
      </c>
      <c r="B321" s="162" t="str">
        <f t="shared" si="210"/>
        <v>PI</v>
      </c>
      <c r="C321" s="159">
        <f t="shared" si="211"/>
        <v>0</v>
      </c>
      <c r="D321" s="160">
        <f t="shared" si="212"/>
        <v>0</v>
      </c>
      <c r="E321" s="144">
        <f t="shared" si="225"/>
        <v>0</v>
      </c>
      <c r="F321" s="161">
        <f>IF($F$295="No YEAR 10",0,IF(ISNA(VLOOKUP(A321,name_10,$F$9,0)),0,VLOOKUP(A321,name_10,$F$9,0)*(1+'1. SUMMARY'!$C$26)))</f>
        <v>0</v>
      </c>
      <c r="G321" s="146">
        <f t="shared" si="226"/>
        <v>0</v>
      </c>
      <c r="H321" s="146">
        <f t="shared" si="227"/>
        <v>0</v>
      </c>
      <c r="I321" s="147">
        <f t="shared" si="228"/>
        <v>0</v>
      </c>
      <c r="M321" s="148">
        <f t="shared" si="232"/>
        <v>0</v>
      </c>
      <c r="N321" s="148">
        <f t="shared" si="214"/>
        <v>0</v>
      </c>
      <c r="O321" s="148">
        <f t="shared" si="215"/>
        <v>0</v>
      </c>
      <c r="P321" s="148">
        <f t="shared" si="216"/>
        <v>0</v>
      </c>
      <c r="Q321" s="148">
        <f t="shared" si="217"/>
        <v>0</v>
      </c>
      <c r="R321" s="148">
        <f t="shared" si="218"/>
        <v>0</v>
      </c>
      <c r="S321" s="148">
        <f t="shared" si="219"/>
        <v>0</v>
      </c>
      <c r="T321" s="148">
        <f t="shared" si="220"/>
        <v>0</v>
      </c>
      <c r="U321" s="148">
        <f t="shared" si="221"/>
        <v>0</v>
      </c>
      <c r="V321" s="148">
        <f t="shared" si="222"/>
        <v>0</v>
      </c>
      <c r="W321" s="148">
        <f t="shared" si="223"/>
        <v>0</v>
      </c>
      <c r="X321" s="148">
        <f t="shared" si="231"/>
        <v>0</v>
      </c>
      <c r="Y321" s="148">
        <f t="shared" si="231"/>
        <v>0</v>
      </c>
      <c r="Z321" s="148">
        <f t="shared" si="231"/>
        <v>0</v>
      </c>
      <c r="AA321" s="148">
        <f t="shared" si="231"/>
        <v>0</v>
      </c>
      <c r="AB321" s="148">
        <f t="shared" si="231"/>
        <v>0</v>
      </c>
      <c r="AC321" s="148">
        <f t="shared" si="231"/>
        <v>0</v>
      </c>
      <c r="AD321" s="148">
        <f t="shared" si="229"/>
        <v>0</v>
      </c>
    </row>
    <row r="322" spans="1:30">
      <c r="A322" s="140">
        <f t="shared" si="230"/>
        <v>0</v>
      </c>
      <c r="B322" s="162" t="str">
        <f t="shared" si="210"/>
        <v>PI</v>
      </c>
      <c r="C322" s="159">
        <f t="shared" si="211"/>
        <v>0</v>
      </c>
      <c r="D322" s="160">
        <f t="shared" si="212"/>
        <v>0</v>
      </c>
      <c r="E322" s="144">
        <f t="shared" si="225"/>
        <v>0</v>
      </c>
      <c r="F322" s="161">
        <f>IF($F$295="No YEAR 10",0,IF(ISNA(VLOOKUP(A322,name_10,$F$9,0)),0,VLOOKUP(A322,name_10,$F$9,0)*(1+'1. SUMMARY'!$C$26)))</f>
        <v>0</v>
      </c>
      <c r="G322" s="146">
        <f t="shared" si="226"/>
        <v>0</v>
      </c>
      <c r="H322" s="146">
        <f t="shared" si="227"/>
        <v>0</v>
      </c>
      <c r="I322" s="147">
        <f t="shared" si="228"/>
        <v>0</v>
      </c>
      <c r="M322" s="148">
        <f t="shared" si="232"/>
        <v>0</v>
      </c>
      <c r="N322" s="148">
        <f t="shared" si="214"/>
        <v>0</v>
      </c>
      <c r="O322" s="148">
        <f t="shared" si="215"/>
        <v>0</v>
      </c>
      <c r="P322" s="148">
        <f t="shared" si="216"/>
        <v>0</v>
      </c>
      <c r="Q322" s="148">
        <f t="shared" si="217"/>
        <v>0</v>
      </c>
      <c r="R322" s="148">
        <f t="shared" si="218"/>
        <v>0</v>
      </c>
      <c r="S322" s="148">
        <f t="shared" si="219"/>
        <v>0</v>
      </c>
      <c r="T322" s="148">
        <f t="shared" si="220"/>
        <v>0</v>
      </c>
      <c r="U322" s="148">
        <f t="shared" si="221"/>
        <v>0</v>
      </c>
      <c r="V322" s="148">
        <f t="shared" si="222"/>
        <v>0</v>
      </c>
      <c r="W322" s="148">
        <f t="shared" si="223"/>
        <v>0</v>
      </c>
      <c r="X322" s="148">
        <f t="shared" si="231"/>
        <v>0</v>
      </c>
      <c r="Y322" s="148">
        <f t="shared" si="231"/>
        <v>0</v>
      </c>
      <c r="Z322" s="148">
        <f t="shared" si="231"/>
        <v>0</v>
      </c>
      <c r="AA322" s="148">
        <f t="shared" si="231"/>
        <v>0</v>
      </c>
      <c r="AB322" s="148">
        <f t="shared" si="231"/>
        <v>0</v>
      </c>
      <c r="AC322" s="148">
        <f t="shared" si="231"/>
        <v>0</v>
      </c>
      <c r="AD322" s="148">
        <f t="shared" si="229"/>
        <v>0</v>
      </c>
    </row>
    <row r="323" spans="1:30" ht="14" thickBot="1">
      <c r="A323" s="117"/>
      <c r="B323" s="117"/>
      <c r="C323" s="150" t="s">
        <v>47</v>
      </c>
      <c r="D323" s="151"/>
      <c r="E323" s="152"/>
      <c r="F323" s="152"/>
      <c r="G323" s="153">
        <f>SUM(G298:G322)</f>
        <v>0</v>
      </c>
      <c r="H323" s="153">
        <f>SUM(H298:H322)</f>
        <v>0</v>
      </c>
      <c r="I323" s="154">
        <f>SUM(I298:I322)</f>
        <v>0</v>
      </c>
    </row>
  </sheetData>
  <sheetProtection algorithmName="SHA-512" hashValue="p8FexyQN05FEpc9ZtsC/Soiq8Bc4wdfvND8hTrfIW6zJZt3ezlsPXOgaYLsKg4MJWXXuF/9f5Sd3hoD0GaxW4A==" saltValue="wHa03huJM1gKXpDx+AsQbw==" spinCount="100000" sheet="1" objects="1" scenarios="1"/>
  <mergeCells count="1">
    <mergeCell ref="B5:E5"/>
  </mergeCells>
  <dataValidations count="3">
    <dataValidation type="list" allowBlank="1" showInputMessage="1" sqref="C34" xr:uid="{00000000-0002-0000-0200-000000000000}">
      <formula1>staff</formula1>
    </dataValidation>
    <dataValidation type="list" allowBlank="1" showInputMessage="1" prompt="Select Name from Drop Down List or Type in New Name" sqref="A42:A66 A170:A194 A138:A162 A106:A130 A74:A98 A202:A226 A234:A258 A266:A290 A298:A322" xr:uid="{00000000-0002-0000-0200-000001000000}">
      <formula1>name_1</formula1>
    </dataValidation>
    <dataValidation type="list" allowBlank="1" showInputMessage="1" showErrorMessage="1" sqref="C170:C194 C10:C33 C138:C162 C42:C66 C298:C322 C106:C130 C202:C226 C234:C258 C266:C290 C74:C98" xr:uid="{00000000-0002-0000-0200-000002000000}">
      <formula1>staff</formula1>
    </dataValidation>
  </dataValidations>
  <hyperlinks>
    <hyperlink ref="B5" location="INSTRUCTIONS!A109" display="Click Here to go to Fringe Benefits Calculation Example" xr:uid="{00000000-0004-0000-0200-000000000000}"/>
  </hyperlinks>
  <pageMargins left="0.75" right="0.75" top="1" bottom="1" header="0.5" footer="0.5"/>
  <pageSetup scale="86" fitToHeight="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H72"/>
  <sheetViews>
    <sheetView workbookViewId="0">
      <selection activeCell="C40" sqref="C40"/>
    </sheetView>
  </sheetViews>
  <sheetFormatPr baseColWidth="10" defaultColWidth="0" defaultRowHeight="12.75" customHeight="1" zeroHeight="1"/>
  <cols>
    <col min="1" max="1" width="31" style="170" bestFit="1" customWidth="1"/>
    <col min="2" max="3" width="12.33203125" style="170" bestFit="1" customWidth="1"/>
    <col min="4" max="4" width="12.6640625" style="170" bestFit="1" customWidth="1"/>
    <col min="5" max="6" width="12.5" style="170" bestFit="1" customWidth="1"/>
    <col min="7" max="8" width="12.5" style="170" customWidth="1"/>
    <col min="9" max="9" width="12.5" style="170" bestFit="1" customWidth="1"/>
    <col min="10" max="11" width="12.5" style="170" customWidth="1"/>
    <col min="12" max="12" width="12.5" style="170" bestFit="1" customWidth="1"/>
    <col min="13" max="13" width="8.33203125" style="170" bestFit="1" customWidth="1"/>
    <col min="14" max="14" width="11.6640625" style="170" hidden="1" customWidth="1"/>
    <col min="15" max="15" width="3.5" style="170" hidden="1" customWidth="1"/>
    <col min="16" max="16" width="8.6640625" style="170" hidden="1" customWidth="1"/>
    <col min="17" max="22" width="7.1640625" style="170" hidden="1" customWidth="1"/>
    <col min="23" max="24" width="0.5" style="170" hidden="1" customWidth="1"/>
    <col min="25" max="34" width="0" style="170" hidden="1" customWidth="1"/>
    <col min="35" max="16384" width="9.1640625" style="170" hidden="1"/>
  </cols>
  <sheetData>
    <row r="1" spans="1:34" ht="15">
      <c r="A1" s="169" t="str">
        <f>"PI: "&amp;+'1. SUMMARY'!$C$13</f>
        <v xml:space="preserve">PI: </v>
      </c>
      <c r="B1" s="86"/>
      <c r="C1" s="86"/>
      <c r="D1" s="86"/>
      <c r="E1" s="86"/>
      <c r="F1" s="86"/>
      <c r="G1" s="86"/>
      <c r="H1" s="86"/>
      <c r="I1" s="86"/>
      <c r="J1" s="86"/>
      <c r="K1" s="86"/>
      <c r="L1" s="86"/>
      <c r="M1" s="2" t="str">
        <f>+INSTRUCTIONS!$O$1</f>
        <v>FY22-10year-10/26/2021</v>
      </c>
    </row>
    <row r="2" spans="1:34" ht="15">
      <c r="A2" s="169" t="str">
        <f>"Sponsor: "&amp;'1. SUMMARY'!C19</f>
        <v xml:space="preserve">Sponsor: </v>
      </c>
      <c r="B2" s="86"/>
      <c r="C2" s="86"/>
      <c r="D2" s="86"/>
      <c r="E2" s="86"/>
      <c r="F2" s="171"/>
      <c r="G2" s="171"/>
      <c r="H2" s="171"/>
      <c r="I2" s="171"/>
      <c r="J2" s="171"/>
      <c r="K2" s="171"/>
      <c r="L2" s="86"/>
      <c r="M2" s="86"/>
    </row>
    <row r="3" spans="1:34" ht="15">
      <c r="A3" s="169" t="str">
        <f>"Title: "&amp;'1. SUMMARY'!C16</f>
        <v xml:space="preserve">Title: </v>
      </c>
      <c r="B3" s="86"/>
      <c r="C3" s="86"/>
      <c r="D3" s="86"/>
      <c r="E3" s="86"/>
      <c r="F3" s="90"/>
      <c r="G3" s="90"/>
      <c r="H3" s="90"/>
      <c r="I3" s="90"/>
      <c r="J3" s="90"/>
      <c r="K3" s="90"/>
      <c r="L3" s="86"/>
      <c r="M3" s="86"/>
    </row>
    <row r="4" spans="1:34" ht="15">
      <c r="A4" s="172"/>
      <c r="B4" s="86"/>
      <c r="C4" s="86"/>
      <c r="D4" s="86"/>
      <c r="E4" s="86"/>
      <c r="F4" s="90"/>
      <c r="G4" s="90"/>
      <c r="H4" s="90"/>
      <c r="I4" s="90"/>
      <c r="J4" s="90"/>
      <c r="K4" s="90"/>
      <c r="L4" s="86"/>
      <c r="M4" s="86"/>
    </row>
    <row r="5" spans="1:34" ht="15">
      <c r="A5" s="172"/>
      <c r="B5" s="86"/>
      <c r="C5" s="86"/>
      <c r="D5" s="86"/>
      <c r="E5" s="86"/>
      <c r="F5" s="90"/>
      <c r="G5" s="90"/>
      <c r="H5" s="90"/>
      <c r="I5" s="90"/>
      <c r="J5" s="90"/>
      <c r="K5" s="90"/>
      <c r="L5" s="86"/>
      <c r="M5" s="86"/>
    </row>
    <row r="6" spans="1:34" ht="16">
      <c r="A6" s="173"/>
      <c r="B6" s="86"/>
      <c r="C6" s="86"/>
      <c r="D6" s="86"/>
      <c r="E6" s="86"/>
      <c r="F6" s="86"/>
      <c r="G6" s="86"/>
      <c r="H6" s="86"/>
      <c r="I6" s="86"/>
      <c r="J6" s="86"/>
      <c r="K6" s="86"/>
      <c r="L6" s="86"/>
      <c r="M6" s="86"/>
    </row>
    <row r="7" spans="1:34" ht="16">
      <c r="A7" s="173" t="s">
        <v>115</v>
      </c>
      <c r="B7" s="86"/>
      <c r="C7" s="86"/>
      <c r="D7" s="86"/>
      <c r="E7" s="86"/>
      <c r="F7" s="86"/>
      <c r="G7" s="86"/>
      <c r="H7" s="86"/>
      <c r="I7" s="86"/>
      <c r="J7" s="86"/>
      <c r="K7" s="86"/>
      <c r="L7" s="86"/>
      <c r="M7" s="86"/>
    </row>
    <row r="8" spans="1:34" ht="15">
      <c r="A8" s="174"/>
      <c r="B8" s="86"/>
      <c r="C8" s="86"/>
      <c r="D8" s="86"/>
      <c r="E8" s="86"/>
      <c r="F8" s="86"/>
      <c r="G8" s="86"/>
      <c r="H8" s="86"/>
      <c r="I8" s="86"/>
      <c r="J8" s="86"/>
      <c r="K8" s="86"/>
      <c r="L8" s="86"/>
      <c r="M8" s="86"/>
    </row>
    <row r="9" spans="1:34" ht="15">
      <c r="A9" s="86"/>
      <c r="B9" s="175" t="s">
        <v>81</v>
      </c>
      <c r="C9" s="175" t="s">
        <v>82</v>
      </c>
      <c r="D9" s="175" t="s">
        <v>83</v>
      </c>
      <c r="E9" s="175" t="s">
        <v>84</v>
      </c>
      <c r="F9" s="175" t="s">
        <v>85</v>
      </c>
      <c r="G9" s="175" t="s">
        <v>86</v>
      </c>
      <c r="H9" s="175" t="s">
        <v>87</v>
      </c>
      <c r="I9" s="175" t="s">
        <v>224</v>
      </c>
      <c r="J9" s="175" t="s">
        <v>225</v>
      </c>
      <c r="K9" s="175" t="s">
        <v>226</v>
      </c>
      <c r="L9" s="175" t="s">
        <v>47</v>
      </c>
      <c r="M9" s="86"/>
    </row>
    <row r="10" spans="1:34" ht="15">
      <c r="A10" s="172"/>
      <c r="B10" s="176">
        <f>+'1. SUMMARY'!C17</f>
        <v>0</v>
      </c>
      <c r="C10" s="176" t="str">
        <f>IF(+B11+1&gt;'1. SUMMARY'!$C$18,"No "&amp;C9,+B11+1)</f>
        <v>No Year 2</v>
      </c>
      <c r="D10" s="176" t="str">
        <f>IF(C10="No "&amp;C9,"No "&amp;D9,IF(+C11+1&gt;'1. SUMMARY'!$C$18,"No "&amp;D9,+C11+1))</f>
        <v>No Year 3</v>
      </c>
      <c r="E10" s="176" t="str">
        <f>IF(D10="No "&amp;D9,"No "&amp;E9,IF(+D11+1&gt;'1. SUMMARY'!$C$18,"No "&amp;E9,+D11+1))</f>
        <v>No Year 4</v>
      </c>
      <c r="F10" s="176" t="str">
        <f>IF(E10="No "&amp;E9,"No "&amp;F9,IF(+E11+1&gt;'1. SUMMARY'!$C$18,"No "&amp;F9,+E11+1))</f>
        <v>No Year 5</v>
      </c>
      <c r="G10" s="176" t="str">
        <f>IF(F10="No "&amp;F9,"No "&amp;G9,IF(+F11+1&gt;'1. SUMMARY'!$C$18,"No "&amp;G9,+F11+1))</f>
        <v>No Year 6</v>
      </c>
      <c r="H10" s="176" t="str">
        <f>IF(G10="No "&amp;G9,"No "&amp;H9,IF(+G11+1&gt;'1. SUMMARY'!$C$18,"No "&amp;H9,+G11+1))</f>
        <v>No Year 7</v>
      </c>
      <c r="I10" s="176" t="str">
        <f>IF(H10="No "&amp;H9,"No "&amp;I9,IF(+H11+1&gt;'1. SUMMARY'!$C$18,"No "&amp;I9,+H11+1))</f>
        <v>No Year 8</v>
      </c>
      <c r="J10" s="176" t="str">
        <f>IF(I10="No "&amp;I9,"No "&amp;J9,IF(+I11+1&gt;'1. SUMMARY'!$C$18,"No "&amp;J9,+I11+1))</f>
        <v>No Year 9</v>
      </c>
      <c r="K10" s="176" t="str">
        <f>IF(J10="No "&amp;J9,"No "&amp;K9,IF(+J11+1&gt;'1. SUMMARY'!$C$18,"No "&amp;K9,+J11+1))</f>
        <v>No Year 10</v>
      </c>
      <c r="L10" s="177"/>
      <c r="M10" s="177"/>
    </row>
    <row r="11" spans="1:34" ht="15">
      <c r="A11" s="86"/>
      <c r="B11" s="178">
        <f>IF((DATE(YEAR(B10), MONTH(B10)+12, DAY(B10)-1))&lt;=('1. SUMMARY'!$C$18),DATE(YEAR(B10), MONTH(B10)+12, DAY(B10)-1),'1. SUMMARY'!$C$18)</f>
        <v>0</v>
      </c>
      <c r="C11" s="178" t="str">
        <f>IF(C10="No "&amp;C9,"No "&amp;C9,IF(B11='1. SUMMARY'!C18,"a",IF((DATE(YEAR(C10),MONTH(C10)+12,DAY(C10)-1))&lt;=('1. SUMMARY'!$C$18),DATE(YEAR(C10),MONTH(C10)+12,DAY(C10)-1),'1. SUMMARY'!$C$18)))</f>
        <v>No Year 2</v>
      </c>
      <c r="D11" s="178" t="str">
        <f>IF(D10="No "&amp;D9,"No "&amp;D9,IF(C11='1. SUMMARY'!E37,"a",IF((DATE(YEAR(D10),MONTH(D10)+12,DAY(D10)-1))&lt;=('1. SUMMARY'!$C$18),DATE(YEAR(D10),MONTH(D10)+12,DAY(D10)-1),'1. SUMMARY'!$C$18)))</f>
        <v>No Year 3</v>
      </c>
      <c r="E11" s="178" t="str">
        <f>IF(E10="No "&amp;E9,"No "&amp;E9,IF(D11='1. SUMMARY'!F37,"a",IF((DATE(YEAR(E10),MONTH(E10)+12,DAY(E10)-1))&lt;=('1. SUMMARY'!$C$18),DATE(YEAR(E10),MONTH(E10)+12,DAY(E10)-1),'1. SUMMARY'!$C$18)))</f>
        <v>No Year 4</v>
      </c>
      <c r="F11" s="178" t="str">
        <f>IF(F10="No "&amp;F9,"No "&amp;F9,IF(E11='1. SUMMARY'!G37,"a",IF((DATE(YEAR(F10),MONTH(F10)+12,DAY(F10)-1))&lt;=('1. SUMMARY'!$C$18),DATE(YEAR(F10),MONTH(F10)+12,DAY(F10)-1),'1. SUMMARY'!$C$18)))</f>
        <v>No Year 5</v>
      </c>
      <c r="G11" s="178" t="str">
        <f>IF(G10="No "&amp;G9,"No "&amp;G9,IF(F11='1. SUMMARY'!H37,"a",IF((DATE(YEAR(G10),MONTH(G10)+12,DAY(G10)-1))&lt;=('1. SUMMARY'!$C$18),DATE(YEAR(G10),MONTH(G10)+12,DAY(G10)-1),'1. SUMMARY'!$C$18)))</f>
        <v>No Year 6</v>
      </c>
      <c r="H11" s="178" t="str">
        <f>IF(H10="No "&amp;H9,"No "&amp;H9,IF(G11='1. SUMMARY'!N37,"a",IF((DATE(YEAR(H10),MONTH(H10)+12,DAY(H10)-1))&lt;=('1. SUMMARY'!$C$18),DATE(YEAR(H10),MONTH(H10)+12,DAY(H10)-1),'1. SUMMARY'!$C$18)))</f>
        <v>No Year 7</v>
      </c>
      <c r="I11" s="178" t="str">
        <f>IF(I10="No "&amp;I9,"No "&amp;I9,IF(H11='1. SUMMARY'!O37,"a",IF((DATE(YEAR(I10),MONTH(I10)+12,DAY(I10)-1))&lt;=('1. SUMMARY'!$C$18),DATE(YEAR(I10),MONTH(I10)+12,DAY(I10)-1),'1. SUMMARY'!$C$18)))</f>
        <v>No Year 8</v>
      </c>
      <c r="J11" s="178" t="str">
        <f>IF(J10="No "&amp;J9,"No "&amp;J9,IF(I11='1. SUMMARY'!P35,"a",IF((DATE(YEAR(J10),MONTH(J10)+12,DAY(J10)-1))&lt;=('1. SUMMARY'!$C$18),DATE(YEAR(J10),MONTH(J10)+12,DAY(J10)-1),'1. SUMMARY'!$C$18)))</f>
        <v>No Year 9</v>
      </c>
      <c r="K11" s="178" t="str">
        <f>IF(K10="No "&amp;K9,"No "&amp;K9,IF(J11='1. SUMMARY'!Q35,"a",IF((DATE(YEAR(K10),MONTH(K10)+12,DAY(K10)-1))&lt;=('1. SUMMARY'!$C$18),DATE(YEAR(K10),MONTH(K10)+12,DAY(K10)-1),'1. SUMMARY'!$C$18)))</f>
        <v>No Year 10</v>
      </c>
      <c r="L11" s="177"/>
      <c r="M11" s="177"/>
    </row>
    <row r="12" spans="1:34" ht="15">
      <c r="A12" s="86"/>
      <c r="B12" s="179"/>
      <c r="C12" s="179"/>
      <c r="D12" s="179"/>
      <c r="E12" s="179"/>
      <c r="F12" s="179"/>
      <c r="G12" s="179"/>
      <c r="H12" s="179"/>
      <c r="I12" s="179"/>
      <c r="J12" s="179"/>
      <c r="K12" s="179"/>
      <c r="L12" s="180"/>
      <c r="M12" s="180"/>
    </row>
    <row r="13" spans="1:34" ht="15">
      <c r="A13" s="181" t="s">
        <v>227</v>
      </c>
      <c r="B13" s="182"/>
      <c r="C13" s="182"/>
      <c r="D13" s="182"/>
      <c r="E13" s="182"/>
      <c r="F13" s="182"/>
      <c r="G13" s="182"/>
      <c r="H13" s="182"/>
      <c r="I13" s="182"/>
      <c r="J13" s="182"/>
      <c r="K13" s="182"/>
      <c r="L13" s="183">
        <f>SUM(B13:K13)</f>
        <v>0</v>
      </c>
      <c r="M13" s="184"/>
    </row>
    <row r="14" spans="1:34" ht="15">
      <c r="A14" s="185" t="s">
        <v>116</v>
      </c>
      <c r="B14" s="182"/>
      <c r="C14" s="182"/>
      <c r="D14" s="182"/>
      <c r="E14" s="182"/>
      <c r="F14" s="182"/>
      <c r="G14" s="182"/>
      <c r="H14" s="182"/>
      <c r="I14" s="182"/>
      <c r="J14" s="182"/>
      <c r="K14" s="182"/>
      <c r="L14" s="183">
        <f t="shared" ref="L14:L39" si="0">SUM(B14:K14)</f>
        <v>0</v>
      </c>
      <c r="M14" s="184"/>
      <c r="P14" s="186">
        <f>+Sheet1!$T$8</f>
        <v>44105</v>
      </c>
      <c r="Q14" s="186">
        <f>+Sheet1!$U$8</f>
        <v>44470</v>
      </c>
      <c r="R14" s="186">
        <f>+Sheet1!$V$8</f>
        <v>44835</v>
      </c>
      <c r="S14" s="186">
        <f>+Sheet1!$W$8</f>
        <v>45200</v>
      </c>
      <c r="T14" s="186">
        <f>+Sheet1!$X$8</f>
        <v>45566</v>
      </c>
      <c r="U14" s="186">
        <f>+Sheet1!$Y$8</f>
        <v>45931</v>
      </c>
      <c r="V14" s="186">
        <f>+Sheet1!Z$8</f>
        <v>46296</v>
      </c>
      <c r="W14" s="186">
        <f>+Sheet1!AA$8</f>
        <v>46661</v>
      </c>
      <c r="X14" s="186">
        <f>+Sheet1!AB$8</f>
        <v>47027</v>
      </c>
      <c r="Y14" s="186">
        <f>+Sheet1!AC$8</f>
        <v>47392</v>
      </c>
      <c r="Z14" s="186">
        <f>+Sheet1!AD$8</f>
        <v>47757</v>
      </c>
      <c r="AA14" s="186">
        <f>+Sheet1!AE$8</f>
        <v>48122</v>
      </c>
      <c r="AB14" s="186">
        <f>+Sheet1!AF$8</f>
        <v>48488</v>
      </c>
      <c r="AC14" s="186">
        <f>+Sheet1!AG$8</f>
        <v>48853</v>
      </c>
      <c r="AD14" s="186">
        <f>+Sheet1!AH$8</f>
        <v>49218</v>
      </c>
      <c r="AE14" s="186">
        <f>+Sheet1!AI$8</f>
        <v>49583</v>
      </c>
      <c r="AF14" s="186">
        <f>+Sheet1!AJ$8</f>
        <v>49949</v>
      </c>
      <c r="AG14" s="186"/>
      <c r="AH14" s="186"/>
    </row>
    <row r="15" spans="1:34" ht="15">
      <c r="A15" s="181" t="s">
        <v>117</v>
      </c>
      <c r="B15" s="182"/>
      <c r="C15" s="182"/>
      <c r="D15" s="182"/>
      <c r="E15" s="182"/>
      <c r="F15" s="182"/>
      <c r="G15" s="182"/>
      <c r="H15" s="182"/>
      <c r="I15" s="182"/>
      <c r="J15" s="182"/>
      <c r="K15" s="182"/>
      <c r="L15" s="183">
        <f t="shared" si="0"/>
        <v>0</v>
      </c>
      <c r="M15" s="184"/>
      <c r="P15" s="186">
        <f>+Sheet1!$T$9</f>
        <v>44469</v>
      </c>
      <c r="Q15" s="186">
        <f>+Sheet1!$U$9</f>
        <v>44834</v>
      </c>
      <c r="R15" s="186">
        <f>+Sheet1!$V$9</f>
        <v>45199</v>
      </c>
      <c r="S15" s="186">
        <f>+Sheet1!$W$9</f>
        <v>45565</v>
      </c>
      <c r="T15" s="186">
        <f>+Sheet1!$X$9</f>
        <v>45930</v>
      </c>
      <c r="U15" s="186">
        <f>+Sheet1!$Y$9</f>
        <v>46295</v>
      </c>
      <c r="V15" s="186">
        <f>+Sheet1!Z$9</f>
        <v>46660</v>
      </c>
      <c r="W15" s="186">
        <f>+Sheet1!AA$9</f>
        <v>47026</v>
      </c>
      <c r="X15" s="186">
        <f>+Sheet1!AB$9</f>
        <v>47391</v>
      </c>
      <c r="Y15" s="186">
        <f>+Sheet1!AC$9</f>
        <v>47756</v>
      </c>
      <c r="Z15" s="186">
        <f>+Sheet1!AD$9</f>
        <v>48121</v>
      </c>
      <c r="AA15" s="186">
        <f>+Sheet1!AE$9</f>
        <v>48487</v>
      </c>
      <c r="AB15" s="186">
        <f>+Sheet1!AF$9</f>
        <v>48852</v>
      </c>
      <c r="AC15" s="186">
        <f>+Sheet1!AG$9</f>
        <v>49217</v>
      </c>
      <c r="AD15" s="186">
        <f>+Sheet1!AH$9</f>
        <v>49582</v>
      </c>
      <c r="AE15" s="186">
        <f>+Sheet1!AI$9</f>
        <v>49948</v>
      </c>
      <c r="AF15" s="186">
        <f>+Sheet1!AJ$9</f>
        <v>50313</v>
      </c>
      <c r="AG15" s="186"/>
      <c r="AH15" s="186"/>
    </row>
    <row r="16" spans="1:34" ht="15">
      <c r="A16" s="181" t="s">
        <v>118</v>
      </c>
      <c r="B16" s="182"/>
      <c r="C16" s="182"/>
      <c r="D16" s="182"/>
      <c r="E16" s="182"/>
      <c r="F16" s="182"/>
      <c r="G16" s="182"/>
      <c r="H16" s="182"/>
      <c r="I16" s="182"/>
      <c r="J16" s="182"/>
      <c r="K16" s="182"/>
      <c r="L16" s="183">
        <f t="shared" si="0"/>
        <v>0</v>
      </c>
      <c r="M16" s="184"/>
      <c r="P16" s="187">
        <f>IF(P15&lt;B10,0,DATEDIF(B10,P15+1,"m"))</f>
        <v>1461</v>
      </c>
      <c r="Q16" s="187">
        <f>IF(IF(P16=12,0,IF(Q15&gt;B11,12-DATEDIF(B11,Q15+1,"m"),IF(Q15&lt;B10,0,DATEDIF(B10,Q15+1,"m"))))&lt;0,0,IF(P16=12,0,IF(Q15&gt;B11,12-DATEDIF(B11,Q15+1,"m"),IF(Q15&lt;B10,0,DATEDIF(B10,Q15+1,"m")))))</f>
        <v>0</v>
      </c>
      <c r="R16" s="187">
        <f>IF(IF(P16+Q16=12,0,IF(R15&gt;B11,12-DATEDIF(B11,R15+1,"m"),IF(R15&lt;B10,0,DATEDIF(B10,R15+1,"m"))))&lt;0,0,IF(P16+Q16=12,0,IF(R15&gt;B11,12-DATEDIF(B11,R15+1,"m"),IF(R15&lt;B10,0,DATEDIF(B10,R15+1,"m")))))</f>
        <v>0</v>
      </c>
      <c r="S16" s="187">
        <f>IF(IF(Q16+R16+P16=12,0,IF(S15&gt;B11,12-DATEDIF(B11,S15+1,"m"),IF(S15&lt;B10,0,DATEDIF(B10,S15+1,"m"))))&lt;0,0,IF(Q16+R16+P16=12,0,IF(S15&gt;B11,12-DATEDIF(B11,S15+1,"m"),IF(S15&lt;B10,0,DATEDIF(B10,S15+1,"m")))))</f>
        <v>0</v>
      </c>
      <c r="T16" s="187">
        <f>IF(IF(R16+S16+Q16+P16=12,0,IF(T15&gt;$B$11,12-DATEDIF($B$11,T15+1,"m"),IF(T15&lt;$B$10,0,DATEDIF($B$10,T15+1,"m"))))&lt;0,0,IF(R16+S16+Q16+P16=12,0,IF(T15&gt;$B$11,12-DATEDIF($B$11,T15+1,"m"),IF(T15&lt;$B$10,0,DATEDIF($B$10,T15+1,"m")))))</f>
        <v>0</v>
      </c>
      <c r="U16" s="187">
        <f>IF(IF(S16+T16+R16+Q16+P16=12,0,IF(U15&gt;$B$11,12-DATEDIF($B$11,U15+1,"m"),IF(U15&lt;$B$10,0,DATEDIF($B$10,U15+1,"m"))))&lt;0,0,IF(S16+T16+R16+Q16+P16=12,0,IF(U15&gt;$B$11,12-DATEDIF($B$11,U15+1,"m"),IF(U15&lt;$B$10,0,DATEDIF($B$10,U15+1,"m")))))</f>
        <v>0</v>
      </c>
      <c r="V16" s="187">
        <f>IF(IF(T16+U16+S16+R16+Q16+P16=12,0,IF(V15&gt;$B$11,12-DATEDIF($B$11,V15+1,"m"),IF(V15&lt;$B$10,0,DATEDIF($B$10,V15+1,"m"))))&lt;0,0,IF(T16+U16+S16+R16+Q16+P16=12,0,IF(V15&gt;$B$11,12-DATEDIF($B$11,V15+1,"m"),IF(V15&lt;$B$10,0,DATEDIF($B$10,V15+1,"m")))))</f>
        <v>0</v>
      </c>
      <c r="W16" s="187">
        <f>IF(IF(U16+V16+T16+S16+R16+Q16+P16=12,0,IF(W15&gt;$B$11,12-DATEDIF($B$11,W15+1,"m"),IF(W15&lt;$B$10,0,DATEDIF($B$10,W15+1,"m"))))&lt;0,0,IF(U16+V16+T16+S16+R16+Q16+P16=12,0,IF(W15&gt;$B$11,12-DATEDIF($B$11,W15+1,"m"),IF(W15&lt;$B$10,0,DATEDIF($B$10,W15+1,"m")))))</f>
        <v>0</v>
      </c>
      <c r="X16" s="187">
        <f>SUM(P16:W16)</f>
        <v>1461</v>
      </c>
    </row>
    <row r="17" spans="1:24" ht="15">
      <c r="A17" s="188" t="s">
        <v>119</v>
      </c>
      <c r="B17" s="182"/>
      <c r="C17" s="182"/>
      <c r="D17" s="182"/>
      <c r="E17" s="182"/>
      <c r="F17" s="182"/>
      <c r="G17" s="182"/>
      <c r="H17" s="182"/>
      <c r="I17" s="182"/>
      <c r="J17" s="182"/>
      <c r="K17" s="182"/>
      <c r="L17" s="183">
        <f t="shared" si="0"/>
        <v>0</v>
      </c>
      <c r="M17" s="184"/>
      <c r="P17" s="187">
        <f>IF(IF(P15&lt;C10,0,DATEDIF(C10,P15+1,"m"))&lt;0,0,IF(P15&lt;C10,0,DATEDIF(C10,P15+1,"m")))</f>
        <v>0</v>
      </c>
      <c r="Q17" s="187">
        <f>IF(IF(P17=12,0,IF(Q15&gt;C11,12-DATEDIF(C11,Q15+1,"m"),IF(Q15&lt;C10,0,DATEDIF(C10,Q15+1,"m"))))&lt;0,0,IF(P17=12,0,IF(Q15&gt;C11,12-DATEDIF(C11,Q15+1,"m"),IF(Q15&lt;C10,0,DATEDIF(C10,Q15+1,"m")))))</f>
        <v>0</v>
      </c>
      <c r="R17" s="187">
        <f>IF(IF(P17+Q17=12,0,IF(R15&gt;C11,12-DATEDIF(C11,R15+1,"m"),IF(R15&lt;C10,0,DATEDIF(C10,R15+1,"m"))))&lt;0,0,IF(P17+Q17=12,0,IF(R15&gt;C11,12-DATEDIF(C11,R15+1,"m"),IF(R15&lt;C10,0,DATEDIF(C10,R15+1,"m")))))</f>
        <v>0</v>
      </c>
      <c r="S17" s="187">
        <f>IF(IF(Q17+R17+P17=12,0,IF(S15&gt;C11,12-DATEDIF(C11,S15+1,"m"),IF(S15&lt;C10,0,DATEDIF(C10,S15+1,"m"))))&lt;0,0,IF(Q17+R17+P17=12,0,IF(S15&gt;C11,12-DATEDIF(C11,S15+1,"m"),IF(S15&lt;C10,0,DATEDIF(C10,S15+1,"m")))))</f>
        <v>0</v>
      </c>
      <c r="T17" s="187">
        <f>IF(IF(R17+S17+Q17+P17=12,0,IF(T15&gt;$C$11,12-DATEDIF($C$11,T15+1,"m"),IF(T15&lt;$C$10,0,DATEDIF($C$10,T15+1,"m"))))&lt;0,0,IF(R17+S17+Q17+P17=12,0,IF(T15&gt;$C$11,12-DATEDIF($C$11,T15+1,"m"),IF(T15&lt;$C$10,0,DATEDIF($C$10,T15+1,"m")))))</f>
        <v>0</v>
      </c>
      <c r="U17" s="187">
        <f>IF(IF(S17+T17+R17+Q17+P17=12,0,IF(U15&gt;$C$11,12-DATEDIF($C$11,U15+1,"m"),IF(U15&lt;$C$10,0,DATEDIF($C$10,U15+1,"m"))))&lt;0,0,IF(S17+T17+R17+Q17+P17=12,0,IF(U15&gt;$C$11,12-DATEDIF($C$11,U15+1,"m"),IF(U15&lt;$C$10,0,DATEDIF($C$10,U15+1,"m")))))</f>
        <v>0</v>
      </c>
      <c r="V17" s="187">
        <f>IF(IF(T17+U17+S17+R17+Q17+P17=12,0,IF(V15&gt;$C$11,12-DATEDIF($C$11,V15+1,"m"),IF(V15&lt;$C$10,0,DATEDIF($C$10,V15+1,"m"))))&lt;0,0,IF(T17+U17+S17+R17+Q17+P17=12,0,IF(V15&gt;$C$11,12-DATEDIF($C$11,V15+1,"m"),IF(V15&lt;$C$10,0,DATEDIF($C$10,V15+1,"m")))))</f>
        <v>0</v>
      </c>
      <c r="W17" s="187">
        <f>IF(IF(U17+V17+T17+S17+R17+Q17+P17=12,0,IF(W15&gt;$C$11,12-DATEDIF($C$11,W15+1,"m"),IF(W15&lt;$C$10,0,DATEDIF($C$10,W15+1,"m"))))&lt;0,0,IF(U17+V17+T17+S17+R17+Q17+P17=12,0,IF(W15&gt;$C$11,12-DATEDIF($C$11,W15+1,"m"),IF(W15&lt;$C$10,0,DATEDIF($C$10,W15+1,"m")))))</f>
        <v>0</v>
      </c>
      <c r="X17" s="187">
        <f>SUM(P17:W17)</f>
        <v>0</v>
      </c>
    </row>
    <row r="18" spans="1:24" ht="15">
      <c r="A18" s="185" t="s">
        <v>120</v>
      </c>
      <c r="B18" s="182"/>
      <c r="C18" s="182"/>
      <c r="D18" s="182"/>
      <c r="E18" s="182"/>
      <c r="F18" s="182"/>
      <c r="G18" s="182"/>
      <c r="H18" s="182"/>
      <c r="I18" s="182"/>
      <c r="J18" s="182"/>
      <c r="K18" s="182"/>
      <c r="L18" s="183">
        <f t="shared" si="0"/>
        <v>0</v>
      </c>
      <c r="M18" s="184"/>
      <c r="P18" s="187">
        <f>IF(IF(P15&lt;D10,0,DATEDIF(D10,P15+1,"m"))&lt;0,0,IF(P15&lt;D10,0,DATEDIF(D10,P15+1,"m")))</f>
        <v>0</v>
      </c>
      <c r="Q18" s="187">
        <f>IF(IF(P18=12,0,IF(Q15&gt;D11,12-DATEDIF(D11,Q15+1,"m"),IF(Q15&lt;D10,0,DATEDIF(D10,Q15+1,"m"))))&lt;0,0,IF(P18=12,0,IF(Q15&gt;D11,12-DATEDIF(D11,Q15+1,"m"),IF(Q15&lt;D10,0,DATEDIF(D10,Q15+1,"m")))))</f>
        <v>0</v>
      </c>
      <c r="R18" s="187">
        <f>IF(IF(P18+Q18=12,0,IF(R15&gt;D11,12-DATEDIF(D11,R15+1,"m"),IF(R15&lt;D10,0,DATEDIF(D10,R15+1,"m"))))&lt;0,0,IF(P18+Q18=12,0,IF(R15&gt;D11,12-DATEDIF(D11,R15+1,"m"),IF(R15&lt;D10,0,DATEDIF(D10,R15+1,"m")))))</f>
        <v>0</v>
      </c>
      <c r="S18" s="187">
        <f>IF(IF(Q18+R18+P18=12,0,IF(S15&gt;D11,12-DATEDIF(D11,S15+1,"m"),IF(S15&lt;D10,0,DATEDIF(D10,S15+1,"m"))))&lt;0,0,IF(Q18+R18+P18=12,0,IF(S15&gt;D11,12-DATEDIF(D11,S15+1,"m"),IF(S15&lt;D10,0,DATEDIF(D10,S15+1,"m")))))</f>
        <v>0</v>
      </c>
      <c r="T18" s="187">
        <f>IF(IF(R18+S18+Q18+P18=12,0,IF(T15&gt;$D$11,12-DATEDIF($D$11,T15+1,"m"),IF(T15&lt;$D$10,0,DATEDIF($D$10,T15+1,"m"))))&lt;0,0,IF(R18+S18+Q18+P18=12,0,IF(T15&gt;$D$11,12-DATEDIF($D$11,T15+1,"m"),IF(T15&lt;$D$10,0,DATEDIF($D$10,T15+1,"m")))))</f>
        <v>0</v>
      </c>
      <c r="U18" s="187">
        <f>IF(IF(S18+T18+R18+Q18+P18=12,0,IF(U15&gt;$D$11,12-DATEDIF($D$11,U15+1,"m"),IF(U15&lt;$D$10,0,DATEDIF($D$10,U15+1,"m"))))&lt;0,0,IF(S18+T18+R18+Q18+P18=12,0,IF(U15&gt;$D$11,12-DATEDIF($D$11,U15+1,"m"),IF(U15&lt;$D$10,0,DATEDIF($D$10,U15+1,"m")))))</f>
        <v>0</v>
      </c>
      <c r="V18" s="187">
        <f>IF(IF(T18+U18+S18+R18+Q18+P18=12,0,IF(V15&gt;$D$11,12-DATEDIF($D$11,V15+1,"m"),IF(V15&lt;$D$10,0,DATEDIF($D$10,V15+1,"m"))))&lt;0,0,IF(T18+U18+S18+R18+Q18+P18=12,0,IF(V15&gt;$D$11,12-DATEDIF($D$11,V15+1,"m"),IF(V15&lt;$D$10,0,DATEDIF($D$10,V15+1,"m")))))</f>
        <v>0</v>
      </c>
      <c r="W18" s="187">
        <f>IF(IF(U18+V18+T18+S18+R18+Q18+P18=12,0,IF(W15&gt;$D$11,12-DATEDIF($D$11,W15+1,"m"),IF(W15&lt;$D$10,0,DATEDIF($D$10,W15+1,"m"))))&lt;0,0,IF(U18+V18+T18+S18+R18+Q18+P18=12,0,IF(W15&gt;$D$11,12-DATEDIF($D$11,W15+1,"m"),IF(W15&lt;$D$10,0,DATEDIF($D$10,W15+1,"m")))))</f>
        <v>0</v>
      </c>
      <c r="X18" s="187">
        <f>SUM(P18:W18)</f>
        <v>0</v>
      </c>
    </row>
    <row r="19" spans="1:24" ht="15">
      <c r="A19" s="185" t="s">
        <v>121</v>
      </c>
      <c r="B19" s="182"/>
      <c r="C19" s="182"/>
      <c r="D19" s="182"/>
      <c r="E19" s="182"/>
      <c r="F19" s="182"/>
      <c r="G19" s="182"/>
      <c r="H19" s="182"/>
      <c r="I19" s="182"/>
      <c r="J19" s="182"/>
      <c r="K19" s="182"/>
      <c r="L19" s="183">
        <f t="shared" si="0"/>
        <v>0</v>
      </c>
      <c r="M19" s="184"/>
      <c r="P19" s="187">
        <f>IF(IF(P15&lt;E10,0,DATEDIF(E10,P15+1,"m"))&lt;0,0,IF(P15&lt;E10,0,DATEDIF(E10,P15+1,"m")))</f>
        <v>0</v>
      </c>
      <c r="Q19" s="187">
        <f>IF(IF(P19=12,0,IF(Q15&gt;E11,12-DATEDIF(E11,Q15+1,"m"),IF(Q15&lt;E10,0,DATEDIF(E10,Q15+1,"m"))))&lt;0,0,IF(P19=12,0,IF(Q15&gt;E11,12-DATEDIF(E11,Q15+1,"m"),IF(Q15&lt;E10,0,DATEDIF(E10,Q15+1,"m")))))</f>
        <v>0</v>
      </c>
      <c r="R19" s="187">
        <f>IF(IF(P19+Q19=12,0,IF(R15&gt;E11,12-DATEDIF(E11,R15+1,"m"),IF(R15&lt;E10,0,DATEDIF(E10,R15+1,"m"))))&lt;0,0,IF(P19+Q19=12,0,IF(R15&gt;E11,12-DATEDIF(E11,R15+1,"m"),IF(R15&lt;E10,0,DATEDIF(E10,R15+1,"m")))))</f>
        <v>0</v>
      </c>
      <c r="S19" s="187">
        <f>IF(IF(Q19+R19+P19=12,0,IF(S15&gt;E11,12-DATEDIF(E11,S15+1,"m"),IF(S15&lt;E10,0,DATEDIF(E10,S15+1,"m"))))&lt;0,0,IF(Q19+R19+P19=12,0,IF(S15&gt;E11,12-DATEDIF(E11,S15+1,"m"),IF(S15&lt;E10,0,DATEDIF(E10,S15+1,"m")))))</f>
        <v>0</v>
      </c>
      <c r="T19" s="187">
        <f>IF(IF(R19+S19+Q19+P19=12,0,IF(T15&gt;$E$11,12-DATEDIF($E$11,T15+1,"m"),IF(T15&lt;$E$10,0,DATEDIF($E$10,T15+1,"m"))))&lt;0,0,IF(R19+S19+Q19+P19=12,0,IF(T15&gt;$E$11,12-DATEDIF($E$11,T15+1,"m"),IF(T15&lt;$E$10,0,DATEDIF($E$10,T15+1,"m")))))</f>
        <v>0</v>
      </c>
      <c r="U19" s="187">
        <f>IF(IF(S19+T19+R19+Q19+P19=12,0,IF(U15&gt;$E$11,12-DATEDIF($E$11,U15+1,"m"),IF(U15&lt;$E$10,0,DATEDIF($E$10,U15+1,"m"))))&lt;0,0,IF(S19+T19+R19+Q19+P19=12,0,IF(U15&gt;$E$11,12-DATEDIF($E$11,U15+1,"m"),IF(U15&lt;$E$10,0,DATEDIF($E$10,U15+1,"m")))))</f>
        <v>0</v>
      </c>
      <c r="V19" s="187">
        <f>IF(IF(T19+U19+S19+R19+Q19+P19=12,0,IF(V15&gt;$E$11,12-DATEDIF($E$11,V15+1,"m"),IF(V15&lt;$E$10,0,DATEDIF($E$10,V15+1,"m"))))&lt;0,0,IF(T19+U19+S19+R19+Q19+P19=12,0,IF(V15&gt;$E$11,12-DATEDIF($E$11,V15+1,"m"),IF(V15&lt;$E$10,0,DATEDIF($E$10,V15+1,"m")))))</f>
        <v>0</v>
      </c>
      <c r="W19" s="187">
        <f>IF(IF(U19+V19+T19+S19+R19+Q19+P19=12,0,IF(W15&gt;$E$11,12-DATEDIF($E$11,W15+1,"m"),IF(W15&lt;$E$10,0,DATEDIF($E$10,W15+1,"m"))))&lt;0,0,IF(U19+V19+T19+S19+R19+Q19+P19=12,0,IF(W15&gt;$E$11,12-DATEDIF($E$11,W15+1,"m"),IF(W15&lt;$E$10,0,DATEDIF($E$10,W15+1,"m")))))</f>
        <v>0</v>
      </c>
      <c r="X19" s="187">
        <f>SUM(P19:W19)</f>
        <v>0</v>
      </c>
    </row>
    <row r="20" spans="1:24" ht="15">
      <c r="A20" s="185" t="s">
        <v>122</v>
      </c>
      <c r="B20" s="182"/>
      <c r="C20" s="182"/>
      <c r="D20" s="182"/>
      <c r="E20" s="182"/>
      <c r="F20" s="182"/>
      <c r="G20" s="182"/>
      <c r="H20" s="182"/>
      <c r="I20" s="182"/>
      <c r="J20" s="182"/>
      <c r="K20" s="182"/>
      <c r="L20" s="183">
        <f t="shared" si="0"/>
        <v>0</v>
      </c>
      <c r="M20" s="184"/>
      <c r="P20" s="187">
        <f>IF(IF(P15&lt;F10,0,DATEDIF(F10,P37+1,"m"))&lt;0,0,IF(P37&lt;F10,0,DATEDIF(F10,P37+1,"m")))</f>
        <v>0</v>
      </c>
      <c r="Q20" s="187">
        <f>IF(IF(P20=12,0,IF(Q15&gt;F11,12-DATEDIF(F11,Q15+1,"m"),IF(Q15&lt;F10,0,DATEDIF(F10,Q15+1,"m"))))&lt;0,0,IF(P20=12,0,IF(Q15&gt;F11,12-DATEDIF(F11,Q15+1,"m"),IF(Q15&lt;F10,0,DATEDIF(F10,Q15+1,"m")))))</f>
        <v>0</v>
      </c>
      <c r="R20" s="187">
        <f>IF(IF(P20+Q20=12,0,IF(R15&gt;F11,12-DATEDIF(F11,R15+1,"m"),IF(R15&lt;F10,0,DATEDIF(F10,R15+1,"m"))))&lt;0,0,IF(P20+Q20=12,0,IF(R15&gt;F11,12-DATEDIF(F11,R15+1,"m"),IF(R15&lt;F10,0,DATEDIF(F10,R15+1,"m")))))</f>
        <v>0</v>
      </c>
      <c r="S20" s="187">
        <f>IF(IF(Q20+R20+P20=12,0,IF(S15&gt;F11,12-DATEDIF(F11,S15+1,"m"),IF(S15&lt;F10,0,DATEDIF(F10,S15+1,"m"))))&lt;0,0,IF(Q20+R20+P20=12,0,IF(S15&gt;F11,12-DATEDIF(F11,S15+1,"m"),IF(S15&lt;F10,0,DATEDIF(F10,S15+1,"m")))))</f>
        <v>0</v>
      </c>
      <c r="T20" s="187">
        <f>IF(IF(R20+S20+Q20+P20=12,0,IF(T15&gt;$F$11,12-DATEDIF($F$11,T15+1,"m"),IF(T15&lt;$F$10,0,DATEDIF($F$10,T15+1,"m"))))&lt;0,0,IF(R20+S20+Q20+P20=12,0,IF(T15&gt;$F$11,12-DATEDIF($F$11,T15+1,"m"),IF(T15&lt;$F$10,0,DATEDIF($F$10,T15+1,"m")))))</f>
        <v>0</v>
      </c>
      <c r="U20" s="187">
        <f>IF(IF(S20+T20+R20+Q20+P20=12,0,IF(U15&gt;$F$11,12-DATEDIF($F$11,U15+1,"m"),IF(U15&lt;$F$10,0,DATEDIF($F$10,U15+1,"m"))))&lt;0,0,IF(S20+T20+R20+Q20+P20=12,0,IF(U15&gt;$F$11,12-DATEDIF($F$11,U15+1,"m"),IF(U15&lt;$F$10,0,DATEDIF($F$10,U15+1,"m")))))</f>
        <v>0</v>
      </c>
      <c r="V20" s="187">
        <f>IF(IF(T20+U20+S20+R20+Q20+P20=12,0,IF(V15&gt;$F$11,12-DATEDIF($F$11,V15+1,"m"),IF(V15&lt;$F$10,0,DATEDIF($F$10,V15+1,"m"))))&lt;0,0,IF(T20+U20+S20+R20+Q20+P20=12,0,IF(V15&gt;$F$11,12-DATEDIF($F$11,V15+1,"m"),IF(V15&lt;$F$10,0,DATEDIF($F$10,V15+1,"m")))))</f>
        <v>0</v>
      </c>
      <c r="W20" s="187">
        <f>IF(IF(U20+V20+T20+S20+R20+Q20+P20=12,0,IF(W15&gt;$F$11,12-DATEDIF($F$11,W15+1,"m"),IF(W15&lt;$F$10,0,DATEDIF($F$10,W15+1,"m"))))&lt;0,0,IF(U20+V20+T20+S20+R20+Q20+P20=12,0,IF(W15&gt;$F$11,12-DATEDIF($F$11,W15+1,"m"),IF(W15&lt;$F$10,0,DATEDIF($F$10,W15+1,"m")))))</f>
        <v>0</v>
      </c>
      <c r="X20" s="187">
        <f>SUM(P20:W20)</f>
        <v>0</v>
      </c>
    </row>
    <row r="21" spans="1:24" ht="15">
      <c r="A21" s="185" t="s">
        <v>123</v>
      </c>
      <c r="B21" s="182"/>
      <c r="C21" s="182"/>
      <c r="D21" s="182"/>
      <c r="E21" s="182"/>
      <c r="F21" s="182"/>
      <c r="G21" s="182"/>
      <c r="H21" s="182"/>
      <c r="I21" s="182"/>
      <c r="J21" s="182"/>
      <c r="K21" s="182"/>
      <c r="L21" s="183">
        <f t="shared" si="0"/>
        <v>0</v>
      </c>
      <c r="M21" s="184"/>
      <c r="P21" s="170">
        <f>SUM(P16:P20)</f>
        <v>1461</v>
      </c>
      <c r="Q21" s="170">
        <f t="shared" ref="Q21:W21" si="1">SUM(Q16:Q20)</f>
        <v>0</v>
      </c>
      <c r="R21" s="170">
        <f>SUM(R16:R20)</f>
        <v>0</v>
      </c>
      <c r="S21" s="170">
        <f t="shared" si="1"/>
        <v>0</v>
      </c>
      <c r="T21" s="170">
        <f t="shared" si="1"/>
        <v>0</v>
      </c>
      <c r="U21" s="170">
        <f t="shared" si="1"/>
        <v>0</v>
      </c>
      <c r="V21" s="170">
        <f t="shared" si="1"/>
        <v>0</v>
      </c>
      <c r="W21" s="170">
        <f t="shared" si="1"/>
        <v>0</v>
      </c>
    </row>
    <row r="22" spans="1:24" ht="15">
      <c r="A22" s="185" t="s">
        <v>124</v>
      </c>
      <c r="B22" s="182"/>
      <c r="C22" s="182"/>
      <c r="D22" s="182"/>
      <c r="E22" s="182"/>
      <c r="F22" s="182"/>
      <c r="G22" s="182"/>
      <c r="H22" s="182"/>
      <c r="I22" s="182"/>
      <c r="J22" s="182"/>
      <c r="K22" s="182"/>
      <c r="L22" s="183">
        <f t="shared" si="0"/>
        <v>0</v>
      </c>
      <c r="M22" s="184"/>
      <c r="P22" s="170">
        <f>IF(P21=0,0,(((B41/12)*P21)*0.6))</f>
        <v>0</v>
      </c>
    </row>
    <row r="23" spans="1:24" ht="15">
      <c r="A23" s="185" t="s">
        <v>125</v>
      </c>
      <c r="B23" s="182"/>
      <c r="C23" s="182"/>
      <c r="D23" s="182"/>
      <c r="E23" s="182"/>
      <c r="F23" s="182"/>
      <c r="G23" s="182"/>
      <c r="H23" s="182"/>
      <c r="I23" s="182"/>
      <c r="J23" s="182"/>
      <c r="K23" s="182"/>
      <c r="L23" s="183">
        <f t="shared" si="0"/>
        <v>0</v>
      </c>
      <c r="M23" s="184"/>
      <c r="P23" s="189">
        <f>IF(P21=0,0,((12-P21)*(B41/12))*0.6)</f>
        <v>0</v>
      </c>
    </row>
    <row r="24" spans="1:24" ht="15">
      <c r="A24" s="185" t="s">
        <v>126</v>
      </c>
      <c r="B24" s="182"/>
      <c r="C24" s="182"/>
      <c r="D24" s="182"/>
      <c r="E24" s="182"/>
      <c r="F24" s="182"/>
      <c r="G24" s="182"/>
      <c r="H24" s="182"/>
      <c r="I24" s="182"/>
      <c r="J24" s="182"/>
      <c r="K24" s="182"/>
      <c r="L24" s="183">
        <f t="shared" si="0"/>
        <v>0</v>
      </c>
      <c r="M24" s="184"/>
      <c r="P24" s="170">
        <f>SUM(P22:P23)</f>
        <v>0</v>
      </c>
    </row>
    <row r="25" spans="1:24" ht="15">
      <c r="A25" s="185" t="s">
        <v>127</v>
      </c>
      <c r="B25" s="182"/>
      <c r="C25" s="182"/>
      <c r="D25" s="182"/>
      <c r="E25" s="182"/>
      <c r="F25" s="182"/>
      <c r="G25" s="182"/>
      <c r="H25" s="182"/>
      <c r="I25" s="182"/>
      <c r="J25" s="182"/>
      <c r="K25" s="182"/>
      <c r="L25" s="183">
        <f t="shared" si="0"/>
        <v>0</v>
      </c>
      <c r="M25" s="184"/>
    </row>
    <row r="26" spans="1:24" ht="15">
      <c r="A26" s="185" t="s">
        <v>128</v>
      </c>
      <c r="B26" s="182"/>
      <c r="C26" s="182"/>
      <c r="D26" s="182"/>
      <c r="E26" s="182"/>
      <c r="F26" s="182"/>
      <c r="G26" s="182"/>
      <c r="H26" s="182"/>
      <c r="I26" s="182"/>
      <c r="J26" s="182"/>
      <c r="K26" s="182"/>
      <c r="L26" s="183">
        <f t="shared" si="0"/>
        <v>0</v>
      </c>
      <c r="M26" s="184"/>
    </row>
    <row r="27" spans="1:24" ht="15">
      <c r="A27" s="185" t="s">
        <v>129</v>
      </c>
      <c r="B27" s="182"/>
      <c r="C27" s="182"/>
      <c r="D27" s="182"/>
      <c r="E27" s="182"/>
      <c r="F27" s="182"/>
      <c r="G27" s="182"/>
      <c r="H27" s="182"/>
      <c r="I27" s="182"/>
      <c r="J27" s="182"/>
      <c r="K27" s="182"/>
      <c r="L27" s="183">
        <f t="shared" si="0"/>
        <v>0</v>
      </c>
      <c r="M27" s="184"/>
    </row>
    <row r="28" spans="1:24" ht="15">
      <c r="A28" s="185" t="s">
        <v>130</v>
      </c>
      <c r="B28" s="182"/>
      <c r="C28" s="182"/>
      <c r="D28" s="182"/>
      <c r="E28" s="182"/>
      <c r="F28" s="182"/>
      <c r="G28" s="182"/>
      <c r="H28" s="182"/>
      <c r="I28" s="182"/>
      <c r="J28" s="182"/>
      <c r="K28" s="182"/>
      <c r="L28" s="183">
        <f t="shared" si="0"/>
        <v>0</v>
      </c>
      <c r="M28" s="184"/>
    </row>
    <row r="29" spans="1:24" ht="15">
      <c r="A29" s="185" t="s">
        <v>131</v>
      </c>
      <c r="B29" s="182"/>
      <c r="C29" s="182"/>
      <c r="D29" s="182"/>
      <c r="E29" s="182"/>
      <c r="F29" s="182"/>
      <c r="G29" s="182"/>
      <c r="H29" s="182"/>
      <c r="I29" s="182"/>
      <c r="J29" s="182"/>
      <c r="K29" s="182"/>
      <c r="L29" s="183">
        <f>SUM(B29:K29)</f>
        <v>0</v>
      </c>
      <c r="M29" s="184"/>
    </row>
    <row r="30" spans="1:24" ht="15">
      <c r="A30" s="185" t="s">
        <v>132</v>
      </c>
      <c r="B30" s="182"/>
      <c r="C30" s="182"/>
      <c r="D30" s="182"/>
      <c r="E30" s="182"/>
      <c r="F30" s="182"/>
      <c r="G30" s="182"/>
      <c r="H30" s="182"/>
      <c r="I30" s="182"/>
      <c r="J30" s="182"/>
      <c r="K30" s="182"/>
      <c r="L30" s="183">
        <f t="shared" si="0"/>
        <v>0</v>
      </c>
      <c r="M30" s="184"/>
    </row>
    <row r="31" spans="1:24" ht="15">
      <c r="A31" s="185" t="s">
        <v>133</v>
      </c>
      <c r="B31" s="182"/>
      <c r="C31" s="182"/>
      <c r="D31" s="182"/>
      <c r="E31" s="182"/>
      <c r="F31" s="182"/>
      <c r="G31" s="182"/>
      <c r="H31" s="182"/>
      <c r="I31" s="182"/>
      <c r="J31" s="182"/>
      <c r="K31" s="182"/>
      <c r="L31" s="183">
        <f t="shared" si="0"/>
        <v>0</v>
      </c>
      <c r="M31" s="184"/>
    </row>
    <row r="32" spans="1:24" ht="15">
      <c r="A32" s="185" t="s">
        <v>134</v>
      </c>
      <c r="B32" s="182"/>
      <c r="C32" s="182"/>
      <c r="D32" s="182"/>
      <c r="E32" s="182"/>
      <c r="F32" s="182"/>
      <c r="G32" s="182"/>
      <c r="H32" s="182"/>
      <c r="I32" s="182"/>
      <c r="J32" s="182"/>
      <c r="K32" s="182"/>
      <c r="L32" s="183">
        <f t="shared" si="0"/>
        <v>0</v>
      </c>
      <c r="M32" s="184"/>
    </row>
    <row r="33" spans="1:15" ht="15">
      <c r="A33" s="185" t="s">
        <v>135</v>
      </c>
      <c r="B33" s="182"/>
      <c r="C33" s="182"/>
      <c r="D33" s="182"/>
      <c r="E33" s="182"/>
      <c r="F33" s="182"/>
      <c r="G33" s="182"/>
      <c r="H33" s="182"/>
      <c r="I33" s="182"/>
      <c r="J33" s="182"/>
      <c r="K33" s="182"/>
      <c r="L33" s="183">
        <f t="shared" si="0"/>
        <v>0</v>
      </c>
      <c r="M33" s="184"/>
    </row>
    <row r="34" spans="1:15" ht="15">
      <c r="A34" s="185" t="s">
        <v>136</v>
      </c>
      <c r="B34" s="182"/>
      <c r="C34" s="182"/>
      <c r="D34" s="182"/>
      <c r="E34" s="182"/>
      <c r="F34" s="182"/>
      <c r="G34" s="182"/>
      <c r="H34" s="182"/>
      <c r="I34" s="182"/>
      <c r="J34" s="182"/>
      <c r="K34" s="182"/>
      <c r="L34" s="183">
        <f t="shared" si="0"/>
        <v>0</v>
      </c>
      <c r="M34" s="184"/>
    </row>
    <row r="35" spans="1:15" ht="15">
      <c r="A35" s="185" t="s">
        <v>137</v>
      </c>
      <c r="B35" s="182"/>
      <c r="C35" s="182"/>
      <c r="D35" s="182"/>
      <c r="E35" s="182"/>
      <c r="F35" s="182"/>
      <c r="G35" s="182"/>
      <c r="H35" s="182"/>
      <c r="I35" s="182"/>
      <c r="J35" s="182"/>
      <c r="K35" s="182"/>
      <c r="L35" s="183">
        <f t="shared" si="0"/>
        <v>0</v>
      </c>
      <c r="M35" s="184"/>
    </row>
    <row r="36" spans="1:15" ht="15">
      <c r="A36" s="185" t="s">
        <v>138</v>
      </c>
      <c r="B36" s="182"/>
      <c r="C36" s="182"/>
      <c r="D36" s="182"/>
      <c r="E36" s="182"/>
      <c r="F36" s="182"/>
      <c r="G36" s="182"/>
      <c r="H36" s="182"/>
      <c r="I36" s="182"/>
      <c r="J36" s="182"/>
      <c r="K36" s="182"/>
      <c r="L36" s="183">
        <f t="shared" si="0"/>
        <v>0</v>
      </c>
      <c r="M36" s="184"/>
    </row>
    <row r="37" spans="1:15" ht="15">
      <c r="A37" s="185" t="s">
        <v>139</v>
      </c>
      <c r="B37" s="182"/>
      <c r="C37" s="182"/>
      <c r="D37" s="182"/>
      <c r="E37" s="182"/>
      <c r="F37" s="182"/>
      <c r="G37" s="182"/>
      <c r="H37" s="182"/>
      <c r="I37" s="182"/>
      <c r="J37" s="182"/>
      <c r="K37" s="182"/>
      <c r="L37" s="183">
        <f t="shared" si="0"/>
        <v>0</v>
      </c>
      <c r="M37" s="184"/>
    </row>
    <row r="38" spans="1:15" ht="15">
      <c r="A38" s="181" t="s">
        <v>140</v>
      </c>
      <c r="B38" s="182"/>
      <c r="C38" s="182"/>
      <c r="D38" s="182"/>
      <c r="E38" s="182"/>
      <c r="F38" s="182"/>
      <c r="G38" s="182"/>
      <c r="H38" s="182"/>
      <c r="I38" s="182"/>
      <c r="J38" s="182"/>
      <c r="K38" s="182"/>
      <c r="L38" s="183">
        <f t="shared" si="0"/>
        <v>0</v>
      </c>
      <c r="M38" s="184"/>
    </row>
    <row r="39" spans="1:15" ht="15">
      <c r="A39" s="181" t="s">
        <v>141</v>
      </c>
      <c r="B39" s="182"/>
      <c r="C39" s="182"/>
      <c r="D39" s="182"/>
      <c r="E39" s="182"/>
      <c r="F39" s="182"/>
      <c r="G39" s="182"/>
      <c r="H39" s="182"/>
      <c r="I39" s="182"/>
      <c r="J39" s="182"/>
      <c r="K39" s="182"/>
      <c r="L39" s="183">
        <f t="shared" si="0"/>
        <v>0</v>
      </c>
      <c r="M39" s="184"/>
    </row>
    <row r="40" spans="1:15" ht="15">
      <c r="A40" s="181" t="str">
        <f>IF(Hospital="MGH","Animal Purchase","Animal Costs")</f>
        <v>Animal Purchase</v>
      </c>
      <c r="B40" s="182"/>
      <c r="C40" s="182"/>
      <c r="D40" s="182"/>
      <c r="E40" s="182"/>
      <c r="F40" s="182"/>
      <c r="G40" s="182"/>
      <c r="H40" s="182"/>
      <c r="I40" s="182"/>
      <c r="J40" s="182"/>
      <c r="K40" s="182"/>
      <c r="L40" s="183">
        <f>SUM(B40:K40)</f>
        <v>0</v>
      </c>
      <c r="M40" s="190"/>
    </row>
    <row r="41" spans="1:15" ht="15">
      <c r="A41" s="181" t="str">
        <f>IF(Hospital="BWH","Animal Costs","Animal Housing")</f>
        <v>Animal Housing</v>
      </c>
      <c r="B41" s="182"/>
      <c r="C41" s="182"/>
      <c r="D41" s="182"/>
      <c r="E41" s="182"/>
      <c r="F41" s="182"/>
      <c r="G41" s="182"/>
      <c r="H41" s="182"/>
      <c r="I41" s="182"/>
      <c r="J41" s="182"/>
      <c r="K41" s="182"/>
      <c r="L41" s="183">
        <f>SUM(B41:K41)</f>
        <v>0</v>
      </c>
      <c r="M41" s="184"/>
    </row>
    <row r="42" spans="1:15" ht="15">
      <c r="A42" s="181" t="str">
        <f>IF('1. SUMMARY'!$C$14="BWH","Animal Facility Fee","")</f>
        <v/>
      </c>
      <c r="B42" s="191">
        <f>IF(N43=TRUE,0,IF(Hospital="BWH",IF(P21=0,+B41*0.6,P24)))</f>
        <v>0</v>
      </c>
      <c r="C42" s="191">
        <f>IF(N43=TRUE,0,IF('1. SUMMARY'!$C$14="BWH",+C41*0.6,""))</f>
        <v>0</v>
      </c>
      <c r="D42" s="191">
        <f>IF(N43=TRUE,0,IF('1. SUMMARY'!$C$14="BWH",+D41*0.6,""))</f>
        <v>0</v>
      </c>
      <c r="E42" s="191">
        <f>IF(N43=TRUE,0,IF('1. SUMMARY'!$C$14="BWH",+E41*0.6,""))</f>
        <v>0</v>
      </c>
      <c r="F42" s="191">
        <f>IF(N43=TRUE,0,IF('1. SUMMARY'!$C$14="BWH",+F41*0.6,""))</f>
        <v>0</v>
      </c>
      <c r="G42" s="191">
        <f>IF(N43=TRUE,0,IF('1. SUMMARY'!$C$14="BWH",+G41*0.6,""))</f>
        <v>0</v>
      </c>
      <c r="H42" s="191">
        <f>IF(N43=TRUE,0,IF('1. SUMMARY'!$C$14="BWH",+H41*0.6,""))</f>
        <v>0</v>
      </c>
      <c r="I42" s="191">
        <f>IF(N43=TRUE,0,IF('1. SUMMARY'!$C$14="BWH",+I41*0.6,""))</f>
        <v>0</v>
      </c>
      <c r="J42" s="191">
        <f>IF(N43=TRUE,0,IF('1. SUMMARY'!$C$14="BWH",+J41*0.6,""))</f>
        <v>0</v>
      </c>
      <c r="K42" s="191">
        <f>IF(N43=TRUE,0,IF('1. SUMMARY'!$C$14="BWH",+K41*0.6,""))</f>
        <v>0</v>
      </c>
      <c r="L42" s="192" t="str">
        <f>IF('1. SUMMARY'!$C$14="BWH",SUM(B42:K42),"")</f>
        <v/>
      </c>
      <c r="M42" s="184"/>
    </row>
    <row r="43" spans="1:15" ht="15">
      <c r="A43" s="188" t="s">
        <v>142</v>
      </c>
      <c r="B43" s="193"/>
      <c r="C43" s="193"/>
      <c r="D43" s="194"/>
      <c r="E43" s="193"/>
      <c r="F43" s="194"/>
      <c r="G43" s="194"/>
      <c r="H43" s="194"/>
      <c r="I43" s="194"/>
      <c r="J43" s="194"/>
      <c r="K43" s="194"/>
      <c r="L43" s="195" t="s">
        <v>143</v>
      </c>
      <c r="M43" s="184"/>
      <c r="N43" s="170" t="b">
        <f>IF(Hospital="BWH",'3. NON-PERSONNEL EXPENSES'!O43,TRUE)</f>
        <v>1</v>
      </c>
      <c r="O43" s="78" t="b">
        <v>0</v>
      </c>
    </row>
    <row r="44" spans="1:15" ht="15">
      <c r="A44" s="196" t="s">
        <v>144</v>
      </c>
      <c r="B44" s="182"/>
      <c r="C44" s="182"/>
      <c r="D44" s="182"/>
      <c r="E44" s="182"/>
      <c r="F44" s="182"/>
      <c r="G44" s="182"/>
      <c r="H44" s="182"/>
      <c r="I44" s="182"/>
      <c r="J44" s="182"/>
      <c r="K44" s="182"/>
      <c r="L44" s="183">
        <f>SUM(B44:K44)</f>
        <v>0</v>
      </c>
      <c r="M44" s="184"/>
    </row>
    <row r="45" spans="1:15" ht="15">
      <c r="A45" s="196" t="s">
        <v>145</v>
      </c>
      <c r="B45" s="182"/>
      <c r="C45" s="182"/>
      <c r="D45" s="182"/>
      <c r="E45" s="182"/>
      <c r="F45" s="182"/>
      <c r="G45" s="182"/>
      <c r="H45" s="182"/>
      <c r="I45" s="182"/>
      <c r="J45" s="182"/>
      <c r="K45" s="182"/>
      <c r="L45" s="183">
        <f>SUM(B45:K45)</f>
        <v>0</v>
      </c>
      <c r="M45" s="184"/>
    </row>
    <row r="46" spans="1:15" ht="15">
      <c r="A46" s="197" t="s">
        <v>146</v>
      </c>
      <c r="B46" s="198">
        <f>'4. SUBAWARDS'!B271</f>
        <v>0</v>
      </c>
      <c r="C46" s="198">
        <f>'4. SUBAWARDS'!C271</f>
        <v>0</v>
      </c>
      <c r="D46" s="198">
        <f>'4. SUBAWARDS'!D271</f>
        <v>0</v>
      </c>
      <c r="E46" s="198">
        <f>'4. SUBAWARDS'!E271</f>
        <v>0</v>
      </c>
      <c r="F46" s="198">
        <f>'4. SUBAWARDS'!F271</f>
        <v>0</v>
      </c>
      <c r="G46" s="198">
        <f>'4. SUBAWARDS'!G271</f>
        <v>0</v>
      </c>
      <c r="H46" s="198">
        <f>'4. SUBAWARDS'!H271</f>
        <v>0</v>
      </c>
      <c r="I46" s="198">
        <f>'4. SUBAWARDS'!I271</f>
        <v>0</v>
      </c>
      <c r="J46" s="198">
        <f>'4. SUBAWARDS'!J271</f>
        <v>0</v>
      </c>
      <c r="K46" s="198">
        <f>'4. SUBAWARDS'!K271</f>
        <v>0</v>
      </c>
      <c r="L46" s="183">
        <f>SUM(B46:K46)</f>
        <v>0</v>
      </c>
      <c r="M46" s="199"/>
    </row>
    <row r="47" spans="1:15" ht="15">
      <c r="A47" s="86"/>
      <c r="B47" s="86"/>
      <c r="C47" s="86"/>
      <c r="D47" s="86"/>
      <c r="E47" s="86"/>
      <c r="F47" s="86"/>
      <c r="G47" s="86"/>
      <c r="H47" s="86"/>
      <c r="I47" s="86"/>
      <c r="J47" s="86"/>
      <c r="K47" s="86"/>
      <c r="L47" s="86"/>
      <c r="M47" s="86"/>
    </row>
    <row r="48" spans="1:15" ht="15">
      <c r="A48" s="200"/>
      <c r="B48" s="201">
        <f t="shared" ref="B48:H48" si="2">IF(Hospital="BWH",+B45+B44+B42+B41+B38+B39+B37+B36+B35+B34+B33+B32+B31+B30+B29+B28+B27+B26+B25+B24+B23+B22+B21+B20+B19+B18+B17+B16+B15+B14+B13+B46,IF($O$43=TRUE,+B45+B44+B41+B38+B39+B37+B36+B35+B34+B33+B32+B31+B30+B29+B28+B27+B26+B25+B24+B23+B22+B21+B20+B19+B18+B17+B16+B15+B13+B14+B46,+B45+B44+B41+B40+B38+B39+B37+B36+B35+B34+B33+B32+B31+B30+B29+B28+B27+B26+B25+B24+B23+B22+B21+B20+B19+B18+B17+B16+B15+B14+B13+B46))</f>
        <v>0</v>
      </c>
      <c r="C48" s="201">
        <f t="shared" si="2"/>
        <v>0</v>
      </c>
      <c r="D48" s="201">
        <f t="shared" si="2"/>
        <v>0</v>
      </c>
      <c r="E48" s="201">
        <f t="shared" si="2"/>
        <v>0</v>
      </c>
      <c r="F48" s="201">
        <f t="shared" si="2"/>
        <v>0</v>
      </c>
      <c r="G48" s="201">
        <f t="shared" si="2"/>
        <v>0</v>
      </c>
      <c r="H48" s="201">
        <f t="shared" si="2"/>
        <v>0</v>
      </c>
      <c r="I48" s="201">
        <f>IF(Hospital="BWH",+I45+I44+I42+I41+I38+I39+I37+I36+I35+I34+I33+I32+I31+I30+I29+I28+I27+I26+I25+I24+I23+I22+I21+I20+I19+I18+I17+I16+I15+I14+I13+I46,IF($O$43=TRUE,+I45+I44+I41+I38+I39+I37+I36+I35+I34+I33+I32+I31+I30+I29+I28+I27+I26+I25+I24+I23+I22+I21+I20+I19+I18+I17+I16+I15+I13+I14+I46,+I45+I44+I41+I40+I38+I39+I37+I36+I35+I34+I33+I32+I31+I30+I29+I28+I27+I26+I25+I24+I23+I22+I21+I20+I19+I18+I17+I16+I15+I14+I13+I46))</f>
        <v>0</v>
      </c>
      <c r="J48" s="201">
        <f>IF(Hospital="BWH",+J45+J44+J42+J41+J38+J39+J37+J36+J35+J34+J33+J32+J31+J30+J29+J28+J27+J26+J25+J24+J23+J22+J21+J20+J19+J18+J17+J16+J15+J14+J13+J46,IF($O$43=TRUE,+J45+J44+J41+J38+J39+J37+J36+J35+J34+J33+J32+J31+J30+J29+J28+J27+J26+J25+J24+J23+J22+J21+J20+J19+J18+J17+J16+J15+J13+J14+J46,+J45+J44+J41+J40+J38+J39+J37+J36+J35+J34+J33+J32+J31+J30+J29+J28+J27+J26+J25+J24+J23+J22+J21+J20+J19+J18+J17+J16+J15+J14+J13+J46))</f>
        <v>0</v>
      </c>
      <c r="K48" s="201">
        <f>IF(Hospital="BWH",+K45+K44+K42+K41+K38+K39+K37+K36+K35+K34+K33+K32+K31+K30+K29+K28+K27+K26+K25+K24+K23+K22+K21+K20+K19+K18+K17+K16+K15+K14+K13+K46,IF($O$43=TRUE,+K45+K44+K41+K38+K39+K37+K36+K35+K34+K33+K32+K31+K30+K29+K28+K27+K26+K25+K24+K23+K22+K21+K20+K19+K18+K17+K16+K15+K13+K14+K46,+K45+K44+K41+K40+K38+K39+K37+K36+K35+K34+K33+K32+K31+K30+K29+K28+K27+K26+K25+K24+K23+K22+K21+K20+K19+K18+K17+K16+K15+K14+K13+K46))</f>
        <v>0</v>
      </c>
      <c r="L48" s="202">
        <f>SUM(B48:K48)</f>
        <v>0</v>
      </c>
      <c r="M48" s="90"/>
    </row>
    <row r="49" spans="2:2" ht="15"/>
    <row r="50" spans="2:2" ht="15">
      <c r="B50" s="203"/>
    </row>
    <row r="51" spans="2:2" ht="15">
      <c r="B51" s="204"/>
    </row>
    <row r="52" spans="2:2" ht="15">
      <c r="B52" s="205"/>
    </row>
    <row r="53" spans="2:2" ht="15"/>
    <row r="54" spans="2:2" ht="15" hidden="1"/>
    <row r="55" spans="2:2" ht="15" hidden="1"/>
    <row r="56" spans="2:2" ht="15" hidden="1"/>
    <row r="57" spans="2:2" ht="15" hidden="1"/>
    <row r="58" spans="2:2" ht="15" hidden="1"/>
    <row r="59" spans="2:2" ht="15" hidden="1"/>
    <row r="60" spans="2:2" ht="15" hidden="1"/>
    <row r="61" spans="2:2" ht="15" hidden="1"/>
    <row r="62" spans="2:2" ht="15" hidden="1"/>
    <row r="63" spans="2:2" ht="15" hidden="1"/>
    <row r="64" spans="2:2" ht="15" hidden="1"/>
    <row r="65" ht="15" hidden="1"/>
    <row r="66" ht="15" hidden="1"/>
    <row r="67" ht="15" hidden="1"/>
    <row r="68" ht="15" hidden="1"/>
    <row r="69" ht="15" hidden="1"/>
    <row r="70" ht="15" hidden="1"/>
    <row r="71" ht="15" hidden="1"/>
    <row r="72" ht="15" hidden="1"/>
  </sheetData>
  <sheetProtection password="E6D2" sheet="1" objects="1" scenarios="1"/>
  <conditionalFormatting sqref="A42">
    <cfRule type="expression" dxfId="12" priority="10" stopIfTrue="1">
      <formula>Hospital="MGH"</formula>
    </cfRule>
  </conditionalFormatting>
  <conditionalFormatting sqref="B42:L42">
    <cfRule type="expression" dxfId="11" priority="11" stopIfTrue="1">
      <formula>Hospital="MGH"</formula>
    </cfRule>
  </conditionalFormatting>
  <conditionalFormatting sqref="A40:B40">
    <cfRule type="expression" dxfId="10" priority="12" stopIfTrue="1">
      <formula>+Hospital="BWH"</formula>
    </cfRule>
  </conditionalFormatting>
  <conditionalFormatting sqref="J43:L43">
    <cfRule type="expression" dxfId="9" priority="13" stopIfTrue="1">
      <formula>Hospital="BWH"</formula>
    </cfRule>
  </conditionalFormatting>
  <conditionalFormatting sqref="C40">
    <cfRule type="expression" dxfId="8" priority="9" stopIfTrue="1">
      <formula>+Hospital="BWH"</formula>
    </cfRule>
  </conditionalFormatting>
  <conditionalFormatting sqref="D40">
    <cfRule type="expression" dxfId="7" priority="8" stopIfTrue="1">
      <formula>+Hospital="BWH"</formula>
    </cfRule>
  </conditionalFormatting>
  <conditionalFormatting sqref="E40">
    <cfRule type="expression" dxfId="6" priority="7" stopIfTrue="1">
      <formula>+Hospital="BWH"</formula>
    </cfRule>
  </conditionalFormatting>
  <conditionalFormatting sqref="F40">
    <cfRule type="expression" dxfId="5" priority="6" stopIfTrue="1">
      <formula>+Hospital="BWH"</formula>
    </cfRule>
  </conditionalFormatting>
  <conditionalFormatting sqref="G40">
    <cfRule type="expression" dxfId="4" priority="5" stopIfTrue="1">
      <formula>+Hospital="BWH"</formula>
    </cfRule>
  </conditionalFormatting>
  <conditionalFormatting sqref="H40">
    <cfRule type="expression" dxfId="3" priority="4" stopIfTrue="1">
      <formula>+Hospital="BWH"</formula>
    </cfRule>
  </conditionalFormatting>
  <conditionalFormatting sqref="I40">
    <cfRule type="expression" dxfId="2" priority="3" stopIfTrue="1">
      <formula>+Hospital="BWH"</formula>
    </cfRule>
  </conditionalFormatting>
  <conditionalFormatting sqref="J40">
    <cfRule type="expression" dxfId="1" priority="2" stopIfTrue="1">
      <formula>+Hospital="BWH"</formula>
    </cfRule>
  </conditionalFormatting>
  <conditionalFormatting sqref="K40">
    <cfRule type="expression" dxfId="0" priority="1" stopIfTrue="1">
      <formula>+Hospital="BWH"</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11</xdr:col>
                    <xdr:colOff>647700</xdr:colOff>
                    <xdr:row>42</xdr:row>
                    <xdr:rowOff>0</xdr:rowOff>
                  </from>
                  <to>
                    <xdr:col>12</xdr:col>
                    <xdr:colOff>127000</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BV809"/>
  <sheetViews>
    <sheetView showRuler="0" showWhiteSpace="0" zoomScale="80" zoomScaleNormal="80" workbookViewId="0">
      <selection activeCell="B7" sqref="B7:L7"/>
    </sheetView>
  </sheetViews>
  <sheetFormatPr baseColWidth="10" defaultColWidth="0" defaultRowHeight="15" zeroHeight="1"/>
  <cols>
    <col min="1" max="1" width="25.5" style="86" customWidth="1"/>
    <col min="2" max="11" width="11.5" style="86" customWidth="1"/>
    <col min="12" max="12" width="15.5" style="86" customWidth="1"/>
    <col min="13" max="13" width="9.1640625" style="86" customWidth="1"/>
    <col min="14" max="14" width="9.1640625" style="86" hidden="1" customWidth="1"/>
    <col min="15" max="16" width="9.1640625" style="207" hidden="1" customWidth="1"/>
    <col min="17" max="33" width="12.5" style="207" hidden="1" customWidth="1"/>
    <col min="34" max="34" width="11.83203125" style="207" hidden="1" customWidth="1"/>
    <col min="35" max="51" width="12.5" style="207" hidden="1" customWidth="1"/>
    <col min="52" max="52" width="11.83203125" style="207" hidden="1" customWidth="1"/>
    <col min="53" max="54" width="9.1640625" style="86" hidden="1" customWidth="1"/>
    <col min="55" max="64" width="9.6640625" style="86" hidden="1" customWidth="1"/>
    <col min="65" max="16384" width="9.1640625" style="86" hidden="1"/>
  </cols>
  <sheetData>
    <row r="1" spans="1:74" ht="12.75" customHeight="1">
      <c r="A1" s="206" t="str">
        <f>"PI: "&amp;'1. SUMMARY'!$C$13</f>
        <v xml:space="preserve">PI: </v>
      </c>
      <c r="M1" s="2" t="str">
        <f>INSTRUCTIONS!$O$1</f>
        <v>FY22-10year-10/26/2021</v>
      </c>
    </row>
    <row r="2" spans="1:74" ht="12.75" customHeight="1">
      <c r="A2" s="206" t="str">
        <f>"Sponsor: "&amp;'1. SUMMARY'!C19</f>
        <v xml:space="preserve">Sponsor: </v>
      </c>
      <c r="C2" s="208"/>
      <c r="BM2" s="422">
        <f t="shared" ref="BM2:BV3" si="0">+B10</f>
        <v>0</v>
      </c>
      <c r="BN2" s="422" t="str">
        <f t="shared" si="0"/>
        <v>No Year 2</v>
      </c>
      <c r="BO2" s="422" t="str">
        <f t="shared" si="0"/>
        <v>No Year 3</v>
      </c>
      <c r="BP2" s="422" t="str">
        <f t="shared" si="0"/>
        <v>No Year 4</v>
      </c>
      <c r="BQ2" s="422" t="str">
        <f t="shared" si="0"/>
        <v>No Year 5</v>
      </c>
      <c r="BR2" s="422" t="str">
        <f t="shared" si="0"/>
        <v>No Year 6</v>
      </c>
      <c r="BS2" s="422" t="str">
        <f t="shared" si="0"/>
        <v>No Year 7</v>
      </c>
      <c r="BT2" s="422" t="str">
        <f t="shared" si="0"/>
        <v>No Year 8</v>
      </c>
      <c r="BU2" s="422" t="str">
        <f t="shared" si="0"/>
        <v>No Year 9</v>
      </c>
      <c r="BV2" s="422" t="str">
        <f t="shared" si="0"/>
        <v>No Year 10</v>
      </c>
    </row>
    <row r="3" spans="1:74" ht="12.75" customHeight="1">
      <c r="A3" s="206" t="str">
        <f>"Title: "&amp;'1. SUMMARY'!C16</f>
        <v xml:space="preserve">Title: </v>
      </c>
      <c r="BM3" s="422">
        <f t="shared" si="0"/>
        <v>0</v>
      </c>
      <c r="BN3" s="422" t="str">
        <f t="shared" si="0"/>
        <v>No Year 2</v>
      </c>
      <c r="BO3" s="422" t="str">
        <f t="shared" si="0"/>
        <v>No Year 3</v>
      </c>
      <c r="BP3" s="422" t="str">
        <f t="shared" si="0"/>
        <v>No Year 4</v>
      </c>
      <c r="BQ3" s="422" t="str">
        <f t="shared" si="0"/>
        <v>No Year 5</v>
      </c>
      <c r="BR3" s="422" t="str">
        <f t="shared" si="0"/>
        <v>No Year 6</v>
      </c>
      <c r="BS3" s="422" t="str">
        <f t="shared" si="0"/>
        <v>No Year 7</v>
      </c>
      <c r="BT3" s="422" t="str">
        <f t="shared" si="0"/>
        <v>No Year 8</v>
      </c>
      <c r="BU3" s="422" t="str">
        <f t="shared" si="0"/>
        <v>No Year 9</v>
      </c>
      <c r="BV3" s="422" t="str">
        <f t="shared" si="0"/>
        <v>No Year 10</v>
      </c>
    </row>
    <row r="4" spans="1:74" ht="12.75" customHeight="1">
      <c r="P4" s="207">
        <v>1</v>
      </c>
      <c r="Q4" s="207">
        <v>1</v>
      </c>
      <c r="R4" s="207">
        <v>2</v>
      </c>
      <c r="S4" s="207">
        <v>3</v>
      </c>
      <c r="T4" s="207">
        <v>4</v>
      </c>
      <c r="U4" s="207">
        <v>5</v>
      </c>
      <c r="V4" s="207">
        <v>6</v>
      </c>
      <c r="W4" s="207">
        <v>7</v>
      </c>
      <c r="X4" s="207">
        <v>8</v>
      </c>
      <c r="Y4" s="207">
        <v>9</v>
      </c>
      <c r="Z4" s="207">
        <v>10</v>
      </c>
      <c r="AA4" s="207">
        <v>11</v>
      </c>
      <c r="AB4" s="207">
        <v>12</v>
      </c>
      <c r="AC4" s="207">
        <v>13</v>
      </c>
      <c r="AD4" s="207">
        <v>14</v>
      </c>
      <c r="AE4" s="207">
        <v>15</v>
      </c>
      <c r="AF4" s="207">
        <v>16</v>
      </c>
      <c r="AG4" s="207">
        <v>17</v>
      </c>
      <c r="AI4" s="207">
        <v>1</v>
      </c>
      <c r="AJ4" s="207">
        <v>2</v>
      </c>
      <c r="AK4" s="207">
        <v>3</v>
      </c>
      <c r="AL4" s="207">
        <v>4</v>
      </c>
      <c r="AM4" s="207">
        <v>5</v>
      </c>
      <c r="AN4" s="207">
        <v>6</v>
      </c>
      <c r="AO4" s="207">
        <v>7</v>
      </c>
      <c r="AP4" s="207">
        <v>8</v>
      </c>
      <c r="AQ4" s="207">
        <v>9</v>
      </c>
      <c r="AR4" s="207">
        <v>10</v>
      </c>
      <c r="AZ4" s="207">
        <v>11</v>
      </c>
      <c r="BA4" s="207">
        <v>12</v>
      </c>
      <c r="BB4" s="207">
        <v>13</v>
      </c>
      <c r="BC4" s="207">
        <v>14</v>
      </c>
      <c r="BD4" s="207">
        <v>15</v>
      </c>
      <c r="BE4" s="207">
        <v>16</v>
      </c>
      <c r="BF4" s="207">
        <v>17</v>
      </c>
    </row>
    <row r="5" spans="1:74" ht="17" thickBot="1">
      <c r="A5" s="209" t="s">
        <v>147</v>
      </c>
      <c r="P5" s="207">
        <f>IF(Q5=39356,(+P4+1),P4)</f>
        <v>1</v>
      </c>
      <c r="Q5" s="396">
        <f>Sheet1!$T$8</f>
        <v>44105</v>
      </c>
      <c r="R5" s="396">
        <f>Sheet1!$U$8</f>
        <v>44470</v>
      </c>
      <c r="S5" s="396">
        <f>Sheet1!$V$8</f>
        <v>44835</v>
      </c>
      <c r="T5" s="396">
        <f>Sheet1!$W$8</f>
        <v>45200</v>
      </c>
      <c r="U5" s="396">
        <f>Sheet1!$X$8</f>
        <v>45566</v>
      </c>
      <c r="V5" s="396">
        <f>Sheet1!$Y$8</f>
        <v>45931</v>
      </c>
      <c r="W5" s="396">
        <f>Sheet1!$Z$8</f>
        <v>46296</v>
      </c>
      <c r="X5" s="396">
        <f>Sheet1!$AA$8</f>
        <v>46661</v>
      </c>
      <c r="Y5" s="396">
        <f>Sheet1!$AB$8</f>
        <v>47027</v>
      </c>
      <c r="Z5" s="396">
        <f>Sheet1!$AC$8</f>
        <v>47392</v>
      </c>
      <c r="AA5" s="396">
        <f>Sheet1!$AD$8</f>
        <v>47757</v>
      </c>
      <c r="AB5" s="396">
        <f>Sheet1!$AE$8</f>
        <v>48122</v>
      </c>
      <c r="AC5" s="396">
        <f>Sheet1!$AF$8</f>
        <v>48488</v>
      </c>
      <c r="AD5" s="396">
        <f>Sheet1!$AG$8</f>
        <v>48853</v>
      </c>
      <c r="AE5" s="396">
        <f>Sheet1!$AH$8</f>
        <v>49218</v>
      </c>
      <c r="AF5" s="396">
        <f>Sheet1!$AI$8</f>
        <v>49583</v>
      </c>
      <c r="AG5" s="396">
        <f>Sheet1!$AJ$8</f>
        <v>49949</v>
      </c>
      <c r="AH5" s="211"/>
      <c r="AI5" s="396">
        <f>+Q5</f>
        <v>44105</v>
      </c>
      <c r="AJ5" s="396">
        <f t="shared" ref="AJ5:AY7" si="1">+R5</f>
        <v>44470</v>
      </c>
      <c r="AK5" s="396">
        <f t="shared" si="1"/>
        <v>44835</v>
      </c>
      <c r="AL5" s="396">
        <f t="shared" si="1"/>
        <v>45200</v>
      </c>
      <c r="AM5" s="396">
        <f t="shared" si="1"/>
        <v>45566</v>
      </c>
      <c r="AN5" s="396">
        <f t="shared" si="1"/>
        <v>45931</v>
      </c>
      <c r="AO5" s="396">
        <f t="shared" si="1"/>
        <v>46296</v>
      </c>
      <c r="AP5" s="396">
        <f t="shared" si="1"/>
        <v>46661</v>
      </c>
      <c r="AQ5" s="396">
        <f t="shared" si="1"/>
        <v>47027</v>
      </c>
      <c r="AR5" s="396">
        <f t="shared" si="1"/>
        <v>47392</v>
      </c>
      <c r="AS5" s="396">
        <f t="shared" si="1"/>
        <v>47757</v>
      </c>
      <c r="AT5" s="396">
        <f t="shared" si="1"/>
        <v>48122</v>
      </c>
      <c r="AU5" s="396">
        <f t="shared" si="1"/>
        <v>48488</v>
      </c>
      <c r="AV5" s="396">
        <f t="shared" si="1"/>
        <v>48853</v>
      </c>
      <c r="AW5" s="396">
        <f t="shared" si="1"/>
        <v>49218</v>
      </c>
      <c r="AX5" s="396">
        <f t="shared" si="1"/>
        <v>49583</v>
      </c>
      <c r="AY5" s="396">
        <f t="shared" si="1"/>
        <v>49949</v>
      </c>
      <c r="AZ5" s="211"/>
    </row>
    <row r="6" spans="1:74" ht="12.75" customHeight="1" thickTop="1">
      <c r="A6" s="212" t="s">
        <v>148</v>
      </c>
      <c r="B6" s="213"/>
      <c r="C6" s="213"/>
      <c r="D6" s="213"/>
      <c r="E6" s="213"/>
      <c r="F6" s="213"/>
      <c r="G6" s="213"/>
      <c r="H6" s="213"/>
      <c r="I6" s="213"/>
      <c r="J6" s="213"/>
      <c r="K6" s="213"/>
      <c r="L6" s="214"/>
      <c r="P6" s="207">
        <f t="shared" ref="P6:P84" si="2">IF(Q6=39356,(+P5+1),P5)</f>
        <v>1</v>
      </c>
      <c r="Q6" s="396">
        <f>Sheet1!$T$9</f>
        <v>44469</v>
      </c>
      <c r="R6" s="396">
        <f>Sheet1!$U$9</f>
        <v>44834</v>
      </c>
      <c r="S6" s="396">
        <f>Sheet1!$V$9</f>
        <v>45199</v>
      </c>
      <c r="T6" s="396">
        <f>Sheet1!$W$9</f>
        <v>45565</v>
      </c>
      <c r="U6" s="396">
        <f>Sheet1!$X$9</f>
        <v>45930</v>
      </c>
      <c r="V6" s="396">
        <f>Sheet1!$Y$9</f>
        <v>46295</v>
      </c>
      <c r="W6" s="396">
        <f>Sheet1!$Z$9</f>
        <v>46660</v>
      </c>
      <c r="X6" s="396">
        <f>Sheet1!$AA$9</f>
        <v>47026</v>
      </c>
      <c r="Y6" s="396">
        <f>Sheet1!$AB$9</f>
        <v>47391</v>
      </c>
      <c r="Z6" s="396">
        <f>Sheet1!$AC$9</f>
        <v>47756</v>
      </c>
      <c r="AA6" s="396">
        <f>Sheet1!$AD$9</f>
        <v>48121</v>
      </c>
      <c r="AB6" s="396">
        <f>Sheet1!$AE$9</f>
        <v>48487</v>
      </c>
      <c r="AC6" s="396">
        <f>Sheet1!$AF$9</f>
        <v>48852</v>
      </c>
      <c r="AD6" s="396">
        <f>Sheet1!$AG$9</f>
        <v>49217</v>
      </c>
      <c r="AE6" s="396">
        <f>Sheet1!$AH$9</f>
        <v>49582</v>
      </c>
      <c r="AF6" s="396">
        <f>Sheet1!$AI$9</f>
        <v>49948</v>
      </c>
      <c r="AG6" s="396">
        <f>Sheet1!$AJ$9</f>
        <v>50313</v>
      </c>
      <c r="AH6" s="211"/>
      <c r="AI6" s="396">
        <f>+Q6</f>
        <v>44469</v>
      </c>
      <c r="AJ6" s="396">
        <f t="shared" si="1"/>
        <v>44834</v>
      </c>
      <c r="AK6" s="396">
        <f t="shared" si="1"/>
        <v>45199</v>
      </c>
      <c r="AL6" s="396">
        <f t="shared" si="1"/>
        <v>45565</v>
      </c>
      <c r="AM6" s="396">
        <f t="shared" si="1"/>
        <v>45930</v>
      </c>
      <c r="AN6" s="396">
        <f t="shared" si="1"/>
        <v>46295</v>
      </c>
      <c r="AO6" s="396">
        <f t="shared" si="1"/>
        <v>46660</v>
      </c>
      <c r="AP6" s="396">
        <f t="shared" si="1"/>
        <v>47026</v>
      </c>
      <c r="AQ6" s="396">
        <f t="shared" si="1"/>
        <v>47391</v>
      </c>
      <c r="AR6" s="396">
        <f t="shared" si="1"/>
        <v>47756</v>
      </c>
      <c r="AS6" s="396">
        <f t="shared" si="1"/>
        <v>48121</v>
      </c>
      <c r="AT6" s="396">
        <f t="shared" si="1"/>
        <v>48487</v>
      </c>
      <c r="AU6" s="396">
        <f t="shared" si="1"/>
        <v>48852</v>
      </c>
      <c r="AV6" s="396">
        <f t="shared" si="1"/>
        <v>49217</v>
      </c>
      <c r="AW6" s="396">
        <f t="shared" si="1"/>
        <v>49582</v>
      </c>
      <c r="AX6" s="396">
        <f t="shared" si="1"/>
        <v>49948</v>
      </c>
      <c r="AY6" s="396">
        <f t="shared" si="1"/>
        <v>50313</v>
      </c>
      <c r="AZ6" s="211"/>
    </row>
    <row r="7" spans="1:74" ht="23.25" customHeight="1">
      <c r="A7" s="215" t="s">
        <v>149</v>
      </c>
      <c r="B7" s="575"/>
      <c r="C7" s="575"/>
      <c r="D7" s="575"/>
      <c r="E7" s="575"/>
      <c r="F7" s="575"/>
      <c r="G7" s="575"/>
      <c r="H7" s="575"/>
      <c r="I7" s="575"/>
      <c r="J7" s="575"/>
      <c r="K7" s="575"/>
      <c r="L7" s="576"/>
      <c r="O7" s="430"/>
      <c r="P7" s="207">
        <f t="shared" si="2"/>
        <v>1</v>
      </c>
      <c r="Q7" s="397">
        <f>IF(IF(Q6&lt;B10,0,DATEDIF(B10,Q6+1,"m"))&lt;0,0,IF(Q6&lt;B10,0,DATEDIF(B10,Q6+1,"m")))</f>
        <v>1461</v>
      </c>
      <c r="R7" s="397">
        <f>IF(IF(Q7=12,0,IF(R6&gt;B11,12-DATEDIF(B11,R6+1,"m"),IF(R6&lt;B10,0,DATEDIF(B10,R6+1,"m"))))&lt;0,0,IF(Q7=12,0,IF(R6&gt;B11,12-DATEDIF(B11,R6+1,"m"),IF(R6&lt;B10,0,DATEDIF(B10,R6+1,"m")))))</f>
        <v>0</v>
      </c>
      <c r="S7" s="397">
        <f>IF(IF(Q7+R7=12,0,IF(S6&gt;B11,12-DATEDIF(B11,S6+1,"m"),IF(S6&lt;B10,0,DATEDIF(B10,S6+1,"m"))))&lt;0,0,IF(Q7+R7=12,0,IF(S6&gt;B11,12-DATEDIF(B11,S6+1,"m"),IF(S6&lt;B10,0,DATEDIF(B10,S6+1,"m")))))</f>
        <v>0</v>
      </c>
      <c r="T7" s="397">
        <f>IF(IF(R7+S7+Q7=12,0,IF(T6&gt;B11,12-DATEDIF(B11,T6+1,"m"),IF(T6&lt;B10,0,DATEDIF(B10,T6+1,"m"))))&lt;0,0,IF(R7+S7+Q7=12,0,IF(T6&gt;B11,12-DATEDIF(B11,T6+1,"m"),IF(T6&lt;B10,0,DATEDIF(B10,T6+1,"m")))))</f>
        <v>0</v>
      </c>
      <c r="U7" s="397">
        <f>IF(IF(S7+T7+R7+Q7=12,0,IF(U6&gt;$B$11,12-DATEDIF($B$11,U6+1,"m"),IF(U6&lt;$B$10,0,DATEDIF($B$10,U6+1,"m"))))&lt;0,0,IF(S7+T7+R7+Q7=12,0,IF(U6&gt;$B$11,12-DATEDIF($B$11,U6+1,"m"),IF(U6&lt;$B$10,0,DATEDIF($B$10,U6+1,"m")))))</f>
        <v>0</v>
      </c>
      <c r="V7" s="397">
        <f>IF(IF(T7+U7+S7+R7+Q7=12,0,IF(V6&gt;$B$11,12-DATEDIF($B$11,V6+1,"m"),IF(V6&lt;$B$10,0,DATEDIF($B$10,V6+1,"m"))))&lt;0,0,IF(T7+U7+S7+R7+Q7=12,0,IF(V6&gt;$B$11,12-DATEDIF($B$11,V6+1,"m"),IF(V6&lt;$B$10,0,DATEDIF($B$10,V6+1,"m")))))</f>
        <v>0</v>
      </c>
      <c r="W7" s="397">
        <f>IF(IF(U7+V7+T7+S7+R7+Q7=12,0,IF(W6&gt;$B$11,12-DATEDIF($B$11,W6+1,"m"),IF(W6&lt;$B$10,0,DATEDIF($B$10,W6+1,"m"))))&lt;0,0,IF(U7+V7+T7+S7+R7+Q7=12,0,IF(W6&gt;$B$11,12-DATEDIF($B$11,W6+1,"m"),IF(W6&lt;$B$10,0,DATEDIF($B$10,W6+1,"m")))))</f>
        <v>0</v>
      </c>
      <c r="X7" s="397">
        <f>IF(IF(V7+W7+U7+T7+S7+R7+Q7=12,0,IF(X6&gt;$B$11,12-DATEDIF($B$11,X6+1,"m"),IF(X6&lt;$B$10,0,DATEDIF($B$10,X6+1,"m"))))&lt;0,0,IF(V7+W7+U7+T7+S7+R7+Q7=12,0,IF(X6&gt;$B$11,12-DATEDIF($B$11,X6+1,"m"),IF(X6&lt;$B$10,0,DATEDIF($B$10,X6+1,"m")))))</f>
        <v>0</v>
      </c>
      <c r="Y7" s="397">
        <f>IF(IF(Q7+W7+X7+V7+U7+T7+S7+R7=12,0,IF(Y6&gt;$B$11,12-DATEDIF($B$11,Y6+1,"m"),IF(Y6&lt;$B$10,0,DATEDIF($B$10,Y6+1,"m"))))&lt;0,0,IF(Q7+W7+X7+V7+U7+T7+S7+R7=12,0,IF(Y6&gt;$B$11,12-DATEDIF($B$11,Y6+1,"m"),IF(Y6&lt;$B$10,0,DATEDIF($B$10,Y6+1,"m")))))</f>
        <v>0</v>
      </c>
      <c r="Z7" s="397">
        <f>IF(IF(Q7+R7+X7+Y7+W7+V7+U7+T7+S7=12,0,IF(Z6&gt;$B$11,12-DATEDIF($B$11,Z6+1,"m"),IF(Z6&lt;$B$10,0,DATEDIF($B$10,Z6+1,"m"))))&lt;0,0,IF(Q7+R7+X7+Y7+W7+V7+U7+T7+S7=12,0,IF(Z6&gt;$B$11,12-DATEDIF($B$11,Z6+1,"m"),IF(Z6&lt;$B$10,0,DATEDIF($B$10,Z6+1,"m")))))</f>
        <v>0</v>
      </c>
      <c r="AA7" s="397">
        <f>IF(IF(Q7+R7+S7+Y7+Z7+X7+W7+V7+U7+T7=12,0,IF(AA6&gt;$B$11,12-DATEDIF($B$11,AA6+1,"m"),IF(AA6&lt;$B$10,0,DATEDIF($B$10,AA6+1,"m"))))&lt;0,0,IF(Q7+R7+S7+Y7+Z7+X7+W7+V7+U7+T7=12,0,IF(AA6&gt;$B$11,12-DATEDIF($B$11,AA6+1,"m"),IF(AA6&lt;$B$10,0,DATEDIF($B$10,AA6+1,"m")))))</f>
        <v>0</v>
      </c>
      <c r="AB7" s="397">
        <f>IF(IF(Q7+R7+S7+T7+Z7+AA7+Y7+X7+W7+V7+U7=12,0,IF(AB6&gt;$B$11,12-DATEDIF($B$11,AB6+1,"m"),IF(AB6&lt;$B$10,0,DATEDIF($B$10,AB6+1,"m"))))&lt;0,0,IF(+Q7+R7+S7+T7+Z7+AA7+Y7+X7+W7+V7+U7=12,0,IF(AB6&gt;$B$11,12-DATEDIF($B$11,AB6+1,"m"),IF(AB6&lt;$B$10,0,DATEDIF($B$10,AB6+1,"m")))))</f>
        <v>0</v>
      </c>
      <c r="AC7" s="397">
        <f>IF(IF(Q7+R7+S7+T7+U7+AA7+AB7+Z7+Y7+X7+W7+V7=12,0,IF(AC6&gt;$B$11,12-DATEDIF($B$11,AC6+1,"m"),IF(AC6&lt;$B$10,0,DATEDIF($B$10,AC6+1,"m"))))&lt;0,0,IF(Q7+R7+S7+T7+U7+AA7+AB7+Z7+Y7+X7+W7+V7=12,0,IF(AC6&gt;$B$11,12-DATEDIF($B$11,AC6+1,"m"),IF(AC6&lt;$B$10,0,DATEDIF($B$10,AC6+1,"m")))))</f>
        <v>0</v>
      </c>
      <c r="AD7" s="397">
        <f>IF(IF(Q7+R7+S7+T7+U7+V7+AB7+AC7+AA7+Z7+Y7+X7+W7=12,0,IF(AD6&gt;$B$11,12-DATEDIF($B$11,AD6+1,"m"),IF(AD6&lt;$B$10,0,DATEDIF($B$10,AD6+1,"m"))))&lt;0,0,IF(Q7+R7+S7+T7+U7+V7+AB7+AC7+AA7+Z7+Y7+X7+W7=12,0,IF(AD6&gt;$B$11,12-DATEDIF($B$11,AD6+1,"m"),IF(AD6&lt;$B$10,0,DATEDIF($B$10,AD6+1,"m")))))</f>
        <v>0</v>
      </c>
      <c r="AE7" s="397">
        <f>IF(IF(+Q7+R7+S7+T7+U7+V7+W7+AC7+AD7+AB7+AA7+Z7+Y7+X7=12,0,IF(AE6&gt;$B$11,12-DATEDIF($B$11,AE6+1,"m"),IF(AE6&lt;$B$10,0,DATEDIF($B$10,AE6+1,"m"))))&lt;0,0,IF(Q7+R7+S7+T7+U7+V7+W7+AC7+AD7+AB7+AA7+Z7+Y7+X7=12,0,IF(AE6&gt;$B$11,12-DATEDIF($B$11,AE6+1,"m"),IF(AE6&lt;$B$10,0,DATEDIF($B$10,AE6+1,"m")))))</f>
        <v>0</v>
      </c>
      <c r="AF7" s="397">
        <f>IF(IF(Q7+R7+S7+T7+U7+V7+W7+X7+AD7+AE7+AC7+AB7+AA7+Z7+Y7=12,0,IF(AF6&gt;$B$11,12-DATEDIF($B$11,AF6+1,"m"),IF(AF6&lt;$B$10,0,DATEDIF($B$10,AF6+1,"m"))))&lt;0,0,IF(Q7+R7+S7+T7+U7+V7+W7+X7+AD7+AE7+AC7+AB7+AA7+Z7+Y7=12,0,IF(AF6&gt;$B$11,12-DATEDIF($B$11,AF6+1,"m"),IF(AF6&lt;$B$10,0,DATEDIF($B$10,AF6+1,"m")))))</f>
        <v>0</v>
      </c>
      <c r="AG7" s="397">
        <f>IF(IF(Q7+R7+S7+T7+U7+V7+W7+X7+Y7+AE7+AF7+AD7+AC7+AB7+AA7+Z7=12,0,IF(AG6&gt;$B$11,12-DATEDIF($B$11,AG6+1,"m"),IF(AG6&lt;$B$10,0,DATEDIF($B$10,AG6+1,"m"))))&lt;0,0,IF(Q7+R7+S7+T7+U7+V7+W7+X7+Y7+AE7+AF7+AD7+AC7+AB7+AA7+Z7=12,0,IF(AG6&gt;$B$11,12-DATEDIF($B$11,AG6+1,"m"),IF(AG6&lt;$B$10,0,DATEDIF($B$10,AG6+1,"m")))))</f>
        <v>0</v>
      </c>
      <c r="AH7" s="211">
        <f>SUM(Q7:AG7)</f>
        <v>1461</v>
      </c>
      <c r="AI7" s="397">
        <f>+Q7</f>
        <v>1461</v>
      </c>
      <c r="AJ7" s="397">
        <f t="shared" si="1"/>
        <v>0</v>
      </c>
      <c r="AK7" s="397">
        <f t="shared" si="1"/>
        <v>0</v>
      </c>
      <c r="AL7" s="397">
        <f t="shared" si="1"/>
        <v>0</v>
      </c>
      <c r="AM7" s="397">
        <f t="shared" si="1"/>
        <v>0</v>
      </c>
      <c r="AN7" s="397">
        <f t="shared" si="1"/>
        <v>0</v>
      </c>
      <c r="AO7" s="397">
        <f t="shared" si="1"/>
        <v>0</v>
      </c>
      <c r="AP7" s="397">
        <f t="shared" si="1"/>
        <v>0</v>
      </c>
      <c r="AQ7" s="397">
        <f t="shared" si="1"/>
        <v>0</v>
      </c>
      <c r="AR7" s="397">
        <f t="shared" si="1"/>
        <v>0</v>
      </c>
      <c r="AS7" s="397">
        <f t="shared" si="1"/>
        <v>0</v>
      </c>
      <c r="AT7" s="397">
        <f t="shared" si="1"/>
        <v>0</v>
      </c>
      <c r="AU7" s="397">
        <f t="shared" si="1"/>
        <v>0</v>
      </c>
      <c r="AV7" s="397">
        <f t="shared" si="1"/>
        <v>0</v>
      </c>
      <c r="AW7" s="397">
        <f t="shared" si="1"/>
        <v>0</v>
      </c>
      <c r="AX7" s="397">
        <f t="shared" si="1"/>
        <v>0</v>
      </c>
      <c r="AY7" s="397">
        <f t="shared" si="1"/>
        <v>0</v>
      </c>
      <c r="AZ7" s="211">
        <f>SUM(AI7:AY7)</f>
        <v>1461</v>
      </c>
    </row>
    <row r="8" spans="1:74" ht="12.75" customHeight="1">
      <c r="A8" s="216"/>
      <c r="B8" s="217"/>
      <c r="C8" s="217"/>
      <c r="D8" s="217"/>
      <c r="E8" s="217"/>
      <c r="F8" s="217"/>
      <c r="G8" s="217"/>
      <c r="H8" s="217"/>
      <c r="I8" s="217"/>
      <c r="J8" s="217"/>
      <c r="K8" s="217"/>
      <c r="L8" s="218"/>
      <c r="P8" s="207">
        <f t="shared" si="2"/>
        <v>1</v>
      </c>
      <c r="Q8" s="398">
        <f>IF(Q7=0,0,(IF($B$16&gt;25000,((25000/+$AH$7)*Q7)*VLOOKUP('1. SUMMARY'!$C$20,rate,Sheet1!T$21,0),(($B$16/+$AH$7)*Q7)*VLOOKUP('1. SUMMARY'!$C$20,rate,Sheet1!T$21,0))))</f>
        <v>0</v>
      </c>
      <c r="R8" s="398">
        <f>IF(R7=0,0,(IF($B$16&gt;25000,((25000/+$AH$7)*R7)*VLOOKUP('1. SUMMARY'!$C$20,rate,Sheet1!U$21,0),(($B$16/+$AH$7)*R7)*VLOOKUP('1. SUMMARY'!$C$20,rate,Sheet1!U$21,0))))</f>
        <v>0</v>
      </c>
      <c r="S8" s="398">
        <f>IF(S7=0,0,(IF($B$16&gt;25000,((25000/+$AH$7)*S7)*VLOOKUP('1. SUMMARY'!$C$20,rate,Sheet1!V$21,0),(($B$16/+$AH$7)*S7)*VLOOKUP('1. SUMMARY'!$C$20,rate,Sheet1!V$21,0))))</f>
        <v>0</v>
      </c>
      <c r="T8" s="398">
        <f>IF(T7=0,0,(IF($B$16&gt;25000,((25000/+$AH$7)*T7)*VLOOKUP('1. SUMMARY'!$C$20,rate,Sheet1!W$21,0),(($B$16/+$AH$7)*T7)*VLOOKUP('1. SUMMARY'!$C$20,rate,Sheet1!W$21,0))))</f>
        <v>0</v>
      </c>
      <c r="U8" s="398">
        <f>IF(U7=0,0,(IF($B$16&gt;25000,((25000/+$AH$7)*U7)*VLOOKUP('1. SUMMARY'!$C$20,rate,Sheet1!X$21,0),(($B$16/+$AH$7)*U7)*VLOOKUP('1. SUMMARY'!$C$20,rate,Sheet1!X$21,0))))</f>
        <v>0</v>
      </c>
      <c r="V8" s="398">
        <f>IF(V7=0,0,(IF($B$16&gt;25000,((25000/+$AH$7)*V7)*VLOOKUP('1. SUMMARY'!$C$20,rate,Sheet1!Y$21,0),(($B$16/+$AH$7)*V7)*VLOOKUP('1. SUMMARY'!$C$20,rate,Sheet1!Y$21,0))))</f>
        <v>0</v>
      </c>
      <c r="W8" s="398">
        <f>IF(W7=0,0,(IF($B$16&gt;25000,((25000/+$AH$7)*W7)*VLOOKUP('1. SUMMARY'!$C$20,rate,Sheet1!Z$21,0),(($B$16/+$AH$7)*W7)*VLOOKUP('1. SUMMARY'!$C$20,rate,Sheet1!Z$21,0))))</f>
        <v>0</v>
      </c>
      <c r="X8" s="398">
        <f>IF(X7=0,0,(IF($B$16&gt;25000,((25000/+$AH$7)*X7)*VLOOKUP('1. SUMMARY'!$C$20,rate,Sheet1!AA$21,0),(($B$16/+$AH$7)*X7)*VLOOKUP('1. SUMMARY'!$C$20,rate,Sheet1!AA$21,0))))</f>
        <v>0</v>
      </c>
      <c r="Y8" s="398">
        <f>IF(Y7=0,0,(IF($B$16&gt;25000,((25000/+$AH$7)*Y7)*VLOOKUP('1. SUMMARY'!$C$20,rate,Sheet1!AB$21,0),(($B$16/+$AH$7)*Y7)*VLOOKUP('1. SUMMARY'!$C$20,rate,Sheet1!AB$21,0))))</f>
        <v>0</v>
      </c>
      <c r="Z8" s="398">
        <f>IF(Z7=0,0,(IF($B$16&gt;25000,((25000/+$AH$7)*Z7)*VLOOKUP('1. SUMMARY'!$C$20,rate,Sheet1!AC$21,0),(($B$16/+$AH$7)*Z7)*VLOOKUP('1. SUMMARY'!$C$20,rate,Sheet1!AC$21,0))))</f>
        <v>0</v>
      </c>
      <c r="AA8" s="398">
        <f>IF(AA7=0,0,(IF($B$16&gt;25000,((25000/+$AH$7)*AA7)*VLOOKUP('1. SUMMARY'!$C$20,rate,Sheet1!AD$21,0),(($B$16/+$AH$7)*AA7)*VLOOKUP('1. SUMMARY'!$C$20,rate,Sheet1!AD$21,0))))</f>
        <v>0</v>
      </c>
      <c r="AB8" s="398">
        <f>IF(AB7=0,0,(IF($B$16&gt;25000,((25000/+$AH$7)*AB7)*VLOOKUP('1. SUMMARY'!$C$20,rate,Sheet1!AE$21,0),(($B$16/+$AH$7)*AB7)*VLOOKUP('1. SUMMARY'!$C$20,rate,Sheet1!AE$21,0))))</f>
        <v>0</v>
      </c>
      <c r="AC8" s="398">
        <f>IF(AC7=0,0,(IF($B$16&gt;25000,((25000/+$AH$7)*AC7)*VLOOKUP('1. SUMMARY'!$C$20,rate,Sheet1!AF$21,0),(($B$16/+$AH$7)*AC7)*VLOOKUP('1. SUMMARY'!$C$20,rate,Sheet1!AF$21,0))))</f>
        <v>0</v>
      </c>
      <c r="AD8" s="398">
        <f>IF(AD7=0,0,(IF($B$16&gt;25000,((25000/+$AH$7)*AD7)*VLOOKUP('1. SUMMARY'!$C$20,rate,Sheet1!AG$21,0),(($B$16/+$AH$7)*AD7)*VLOOKUP('1. SUMMARY'!$C$20,rate,Sheet1!AG$21,0))))</f>
        <v>0</v>
      </c>
      <c r="AE8" s="398">
        <f>IF(AE7=0,0,(IF($B$16&gt;25000,((25000/+$AH$7)*AE7)*VLOOKUP('1. SUMMARY'!$C$20,rate,Sheet1!AH$21,0),(($B$16/+$AH$7)*AE7)*VLOOKUP('1. SUMMARY'!$C$20,rate,Sheet1!AH$21,0))))</f>
        <v>0</v>
      </c>
      <c r="AF8" s="398">
        <f>IF(AF7=0,0,(IF($B$16&gt;25000,((25000/+$AH$7)*AF7)*VLOOKUP('1. SUMMARY'!$C$20,rate,Sheet1!AI$21,0),(($B$16/+$AH$7)*AF7)*VLOOKUP('1. SUMMARY'!$C$20,rate,Sheet1!AI$21,0))))</f>
        <v>0</v>
      </c>
      <c r="AG8" s="398">
        <f>IF(AG7=0,0,(IF($B$16&gt;25000,((25000/+$AH$7)*AG7)*VLOOKUP('1. SUMMARY'!$C$20,rate,Sheet1!AJ$21,0),(($B$16/+$AH$7)*AG7)*VLOOKUP('1. SUMMARY'!$C$20,rate,Sheet1!AJ$21,0))))</f>
        <v>0</v>
      </c>
      <c r="AH8" s="219">
        <f>SUM(Q8:AG8)</f>
        <v>0</v>
      </c>
      <c r="AI8" s="398">
        <f>IF(Q7=0,0,((+$B16/$AZ7)*AI7)*VLOOKUP('1. SUMMARY'!$C$20,rate,Sheet1!T$21,0))</f>
        <v>0</v>
      </c>
      <c r="AJ8" s="398">
        <f>IF(R7=0,0,((+$B16/$AZ7)*AJ7)*VLOOKUP('1. SUMMARY'!$C$20,rate,Sheet1!U$21,0))</f>
        <v>0</v>
      </c>
      <c r="AK8" s="398">
        <f>IF(S7=0,0,((+$B16/$AZ7)*AK7)*VLOOKUP('1. SUMMARY'!$C$20,rate,Sheet1!V$21,0))</f>
        <v>0</v>
      </c>
      <c r="AL8" s="398">
        <f>IF(T7=0,0,((+$B16/$AZ7)*AL7)*VLOOKUP('1. SUMMARY'!$C$20,rate,Sheet1!W$21,0))</f>
        <v>0</v>
      </c>
      <c r="AM8" s="398">
        <f>IF(U7=0,0,((+$B16/$AZ7)*AM7)*VLOOKUP('1. SUMMARY'!$C$20,rate,Sheet1!X$21,0))</f>
        <v>0</v>
      </c>
      <c r="AN8" s="398">
        <f>IF(V7=0,0,((+$B16/$AZ7)*AN7)*VLOOKUP('1. SUMMARY'!$C$20,rate,Sheet1!Y$21,0))</f>
        <v>0</v>
      </c>
      <c r="AO8" s="398">
        <f>IF(W7=0,0,((+$B16/$AZ7)*AO7)*VLOOKUP('1. SUMMARY'!$C$20,rate,Sheet1!Z$21,0))</f>
        <v>0</v>
      </c>
      <c r="AP8" s="398">
        <f>IF(X7=0,0,((+$B16/$AZ7)*AP7)*VLOOKUP('1. SUMMARY'!$C$20,rate,Sheet1!AA$21,0))</f>
        <v>0</v>
      </c>
      <c r="AQ8" s="398">
        <f>IF(Y7=0,0,((+$B16/$AZ7)*AQ7)*VLOOKUP('1. SUMMARY'!$C$20,rate,Sheet1!AB$21,0))</f>
        <v>0</v>
      </c>
      <c r="AR8" s="398">
        <f>IF(Z7=0,0,((+$B16/$AZ7)*AR7)*VLOOKUP('1. SUMMARY'!$C$20,rate,Sheet1!AC$21,0))</f>
        <v>0</v>
      </c>
      <c r="AS8" s="398">
        <f>IF(AA7=0,0,((+$B16/$AZ7)*AS7)*VLOOKUP('1. SUMMARY'!$C$20,rate,Sheet1!AD$21,0))</f>
        <v>0</v>
      </c>
      <c r="AT8" s="398">
        <f>IF(AB7=0,0,((+$B16/$AZ7)*AT7)*VLOOKUP('1. SUMMARY'!$C$20,rate,Sheet1!AE$21,0))</f>
        <v>0</v>
      </c>
      <c r="AU8" s="398">
        <f>IF(AC7=0,0,((+$B16/$AZ7)*AU7)*VLOOKUP('1. SUMMARY'!$C$20,rate,Sheet1!AF$21,0))</f>
        <v>0</v>
      </c>
      <c r="AV8" s="398">
        <f>IF(AD7=0,0,((+$B16/$AZ7)*AV7)*VLOOKUP('1. SUMMARY'!$C$20,rate,Sheet1!AG$21,0))</f>
        <v>0</v>
      </c>
      <c r="AW8" s="398">
        <f>IF(AE7=0,0,((+$B16/$AZ7)*AW7)*VLOOKUP('1. SUMMARY'!$C$20,rate,Sheet1!AH$21,0))</f>
        <v>0</v>
      </c>
      <c r="AX8" s="398">
        <f>IF(AF7=0,0,((+$B16/$AZ7)*AX7)*VLOOKUP('1. SUMMARY'!$C$20,rate,Sheet1!AI$21,0))</f>
        <v>0</v>
      </c>
      <c r="AY8" s="398">
        <f>IF(AG7=0,0,((+$B16/$AZ7)*AY7)*VLOOKUP('1. SUMMARY'!$C$20,rate,Sheet1!AJ$21,0))</f>
        <v>0</v>
      </c>
      <c r="AZ8" s="219">
        <f>SUM(AI8:AY8)</f>
        <v>0</v>
      </c>
    </row>
    <row r="9" spans="1:74" ht="12.75" customHeight="1">
      <c r="A9" s="216"/>
      <c r="B9" s="175" t="s">
        <v>81</v>
      </c>
      <c r="C9" s="175" t="s">
        <v>82</v>
      </c>
      <c r="D9" s="175" t="s">
        <v>83</v>
      </c>
      <c r="E9" s="175" t="s">
        <v>84</v>
      </c>
      <c r="F9" s="175" t="s">
        <v>85</v>
      </c>
      <c r="G9" s="175" t="s">
        <v>86</v>
      </c>
      <c r="H9" s="175" t="s">
        <v>87</v>
      </c>
      <c r="I9" s="175" t="s">
        <v>224</v>
      </c>
      <c r="J9" s="175" t="s">
        <v>225</v>
      </c>
      <c r="K9" s="175" t="s">
        <v>226</v>
      </c>
      <c r="L9" s="220" t="s">
        <v>47</v>
      </c>
      <c r="P9" s="207">
        <f t="shared" si="2"/>
        <v>1</v>
      </c>
      <c r="Q9" s="398">
        <f>+Q8/VLOOKUP('1. SUMMARY'!$C$20,rate,Sheet1!T$21,0)</f>
        <v>0</v>
      </c>
      <c r="R9" s="398">
        <f>+R8/VLOOKUP('1. SUMMARY'!$C$20,rate,Sheet1!U$21,0)</f>
        <v>0</v>
      </c>
      <c r="S9" s="398">
        <f>+S8/VLOOKUP('1. SUMMARY'!$C$20,rate,Sheet1!V$21,0)</f>
        <v>0</v>
      </c>
      <c r="T9" s="398">
        <f>+T8/VLOOKUP('1. SUMMARY'!$C$20,rate,Sheet1!W$21,0)</f>
        <v>0</v>
      </c>
      <c r="U9" s="398">
        <f>+U8/VLOOKUP('1. SUMMARY'!$C$20,rate,Sheet1!X$21,0)</f>
        <v>0</v>
      </c>
      <c r="V9" s="398">
        <f>+V8/VLOOKUP('1. SUMMARY'!$C$20,rate,Sheet1!Y$21,0)</f>
        <v>0</v>
      </c>
      <c r="W9" s="398">
        <f>+W8/VLOOKUP('1. SUMMARY'!$C$20,rate,Sheet1!Z$21,0)</f>
        <v>0</v>
      </c>
      <c r="X9" s="398">
        <f>+X8/VLOOKUP('1. SUMMARY'!$C$20,rate,Sheet1!AA$21,0)</f>
        <v>0</v>
      </c>
      <c r="Y9" s="398">
        <f>+Y8/VLOOKUP('1. SUMMARY'!$C$20,rate,Sheet1!AB$21,0)</f>
        <v>0</v>
      </c>
      <c r="Z9" s="398">
        <f>+Z8/VLOOKUP('1. SUMMARY'!$C$20,rate,Sheet1!AC$21,0)</f>
        <v>0</v>
      </c>
      <c r="AA9" s="398">
        <f>+AA8/VLOOKUP('1. SUMMARY'!$C$20,rate,Sheet1!AD$21,0)</f>
        <v>0</v>
      </c>
      <c r="AB9" s="398">
        <f>+AB8/VLOOKUP('1. SUMMARY'!$C$20,rate,Sheet1!AE$21,0)</f>
        <v>0</v>
      </c>
      <c r="AC9" s="398">
        <f>+AC8/VLOOKUP('1. SUMMARY'!$C$20,rate,Sheet1!AF$21,0)</f>
        <v>0</v>
      </c>
      <c r="AD9" s="398">
        <f>+AD8/VLOOKUP('1. SUMMARY'!$C$20,rate,Sheet1!AG$21,0)</f>
        <v>0</v>
      </c>
      <c r="AE9" s="398">
        <f>+AE8/VLOOKUP('1. SUMMARY'!$C$20,rate,Sheet1!AH$21,0)</f>
        <v>0</v>
      </c>
      <c r="AF9" s="398">
        <f>+AF8/VLOOKUP('1. SUMMARY'!$C$20,rate,Sheet1!AI$21,0)</f>
        <v>0</v>
      </c>
      <c r="AG9" s="398">
        <f>+AG8/VLOOKUP('1. SUMMARY'!$C$20,rate,Sheet1!AJ$21,0)</f>
        <v>0</v>
      </c>
      <c r="AH9" s="219"/>
      <c r="AI9" s="398">
        <v>0</v>
      </c>
      <c r="AJ9" s="398">
        <v>0</v>
      </c>
      <c r="AK9" s="398">
        <v>0</v>
      </c>
      <c r="AL9" s="398">
        <v>0</v>
      </c>
      <c r="AM9" s="398">
        <v>0</v>
      </c>
      <c r="AN9" s="398">
        <v>0</v>
      </c>
      <c r="AO9" s="398">
        <v>0</v>
      </c>
      <c r="AP9" s="398">
        <v>0</v>
      </c>
      <c r="AQ9" s="398"/>
      <c r="AR9" s="398"/>
      <c r="AS9" s="398"/>
      <c r="AT9" s="398"/>
      <c r="AU9" s="398"/>
      <c r="AV9" s="398"/>
      <c r="AW9" s="398"/>
      <c r="AX9" s="398"/>
      <c r="AY9" s="398"/>
      <c r="AZ9" s="219"/>
    </row>
    <row r="10" spans="1:74" ht="12.75" customHeight="1">
      <c r="A10" s="221"/>
      <c r="B10" s="222">
        <f>'1. SUMMARY'!C17</f>
        <v>0</v>
      </c>
      <c r="C10" s="222" t="str">
        <f>IF(+B11+1&gt;'1. SUMMARY'!$C$18,"No "&amp;C9,+B11+1)</f>
        <v>No Year 2</v>
      </c>
      <c r="D10" s="222" t="str">
        <f>IF(C10="No "&amp;C9,"No "&amp;D9,IF(+C11+1&gt;'1. SUMMARY'!$C$18,"No "&amp;D9,+C11+1))</f>
        <v>No Year 3</v>
      </c>
      <c r="E10" s="222" t="str">
        <f>IF(D10="No "&amp;D9,"No "&amp;E9,IF(+D11+1&gt;'1. SUMMARY'!$C$18,"No "&amp;E9,+D11+1))</f>
        <v>No Year 4</v>
      </c>
      <c r="F10" s="222" t="str">
        <f>IF(E10="No "&amp;E9,"No "&amp;F9,IF(+E11+1&gt;'1. SUMMARY'!$C$18,"No "&amp;F9,+E11+1))</f>
        <v>No Year 5</v>
      </c>
      <c r="G10" s="222" t="str">
        <f>IF(F10="No "&amp;F9,"No "&amp;G9,IF(+F11+1&gt;'1. SUMMARY'!$C$18,"No "&amp;G9,+F11+1))</f>
        <v>No Year 6</v>
      </c>
      <c r="H10" s="222" t="str">
        <f>IF(G10="No "&amp;G9,"No "&amp;H9,IF(+G11+1&gt;'1. SUMMARY'!$C$18,"No "&amp;H9,+G11+1))</f>
        <v>No Year 7</v>
      </c>
      <c r="I10" s="222" t="str">
        <f>IF(H10="No "&amp;H9,"No "&amp;I9,IF(+H11+1&gt;'1. SUMMARY'!$C$18,"No "&amp;I9,+H11+1))</f>
        <v>No Year 8</v>
      </c>
      <c r="J10" s="222" t="str">
        <f>IF(I10="No "&amp;I9,"No "&amp;J9,IF(+I11+1&gt;'1. SUMMARY'!$C$18,"No "&amp;J9,+I11+1))</f>
        <v>No Year 9</v>
      </c>
      <c r="K10" s="222" t="str">
        <f>IF(J10="No "&amp;J9,"No "&amp;K9,IF(+J11+1&gt;'1. SUMMARY'!$C$18,"No "&amp;K9,+J11+1))</f>
        <v>No Year 10</v>
      </c>
      <c r="L10" s="223"/>
      <c r="P10" s="207">
        <f t="shared" si="2"/>
        <v>1</v>
      </c>
      <c r="Q10" s="402">
        <f>Sheet1!$T$8</f>
        <v>44105</v>
      </c>
      <c r="R10" s="402">
        <f>Sheet1!$U$8</f>
        <v>44470</v>
      </c>
      <c r="S10" s="402">
        <f>Sheet1!$V$8</f>
        <v>44835</v>
      </c>
      <c r="T10" s="402">
        <f>Sheet1!$W$8</f>
        <v>45200</v>
      </c>
      <c r="U10" s="402">
        <f>Sheet1!$X$8</f>
        <v>45566</v>
      </c>
      <c r="V10" s="402">
        <f>Sheet1!$Y$8</f>
        <v>45931</v>
      </c>
      <c r="W10" s="402">
        <f>Sheet1!$Z$8</f>
        <v>46296</v>
      </c>
      <c r="X10" s="402">
        <f>Sheet1!$AA$8</f>
        <v>46661</v>
      </c>
      <c r="Y10" s="402">
        <f>Sheet1!$AB$8</f>
        <v>47027</v>
      </c>
      <c r="Z10" s="402">
        <f>Sheet1!$AC$8</f>
        <v>47392</v>
      </c>
      <c r="AA10" s="402">
        <f>$AA$5</f>
        <v>47757</v>
      </c>
      <c r="AB10" s="402">
        <f>$AB$5</f>
        <v>48122</v>
      </c>
      <c r="AC10" s="402">
        <f>$AC$5</f>
        <v>48488</v>
      </c>
      <c r="AD10" s="402">
        <f>$AD$5</f>
        <v>48853</v>
      </c>
      <c r="AE10" s="402">
        <f>$AE$5</f>
        <v>49218</v>
      </c>
      <c r="AF10" s="402">
        <f>$AF$5</f>
        <v>49583</v>
      </c>
      <c r="AG10" s="402">
        <f>$AG$5</f>
        <v>49949</v>
      </c>
      <c r="AH10" s="211"/>
      <c r="AI10" s="402">
        <f t="shared" ref="AI10:AR12" si="3">+Q10</f>
        <v>44105</v>
      </c>
      <c r="AJ10" s="402">
        <f t="shared" si="3"/>
        <v>44470</v>
      </c>
      <c r="AK10" s="402">
        <f t="shared" si="3"/>
        <v>44835</v>
      </c>
      <c r="AL10" s="402">
        <f t="shared" si="3"/>
        <v>45200</v>
      </c>
      <c r="AM10" s="402">
        <f t="shared" si="3"/>
        <v>45566</v>
      </c>
      <c r="AN10" s="402">
        <f t="shared" si="3"/>
        <v>45931</v>
      </c>
      <c r="AO10" s="402">
        <f t="shared" si="3"/>
        <v>46296</v>
      </c>
      <c r="AP10" s="402">
        <f t="shared" si="3"/>
        <v>46661</v>
      </c>
      <c r="AQ10" s="402">
        <f t="shared" si="3"/>
        <v>47027</v>
      </c>
      <c r="AR10" s="402">
        <f t="shared" si="3"/>
        <v>47392</v>
      </c>
      <c r="AS10" s="402">
        <f t="shared" ref="AS10:AY12" si="4">+AA10</f>
        <v>47757</v>
      </c>
      <c r="AT10" s="402">
        <f t="shared" si="4"/>
        <v>48122</v>
      </c>
      <c r="AU10" s="402">
        <f t="shared" si="4"/>
        <v>48488</v>
      </c>
      <c r="AV10" s="402">
        <f t="shared" si="4"/>
        <v>48853</v>
      </c>
      <c r="AW10" s="402">
        <f t="shared" si="4"/>
        <v>49218</v>
      </c>
      <c r="AX10" s="402">
        <f t="shared" si="4"/>
        <v>49583</v>
      </c>
      <c r="AY10" s="402">
        <f t="shared" si="4"/>
        <v>49949</v>
      </c>
      <c r="AZ10" s="211"/>
    </row>
    <row r="11" spans="1:74" ht="12.75" customHeight="1">
      <c r="A11" s="221"/>
      <c r="B11" s="224">
        <f>IF((DATE(YEAR(B10), MONTH(B10)+12, DAY(B10)-1))&lt;=('1. SUMMARY'!$C$18),DATE(YEAR(B10), MONTH(B10)+12, DAY(B10)-1),'1. SUMMARY'!$C$18)</f>
        <v>0</v>
      </c>
      <c r="C11" s="224" t="str">
        <f>IF(C10="No "&amp;C9,"No "&amp;C9,IF(B11='1. SUMMARY'!B40,"a",IF((DATE(YEAR(C10),MONTH(C10)+12,DAY(C10)-1))&lt;=('1. SUMMARY'!$C$18),DATE(YEAR(C10),MONTH(C10)+12,DAY(C10)-1),'1. SUMMARY'!$C$18)))</f>
        <v>No Year 2</v>
      </c>
      <c r="D11" s="224" t="str">
        <f>IF(D10="No "&amp;D9,"No "&amp;D9,IF(C11='1. SUMMARY'!C40,"a",IF((DATE(YEAR(D10),MONTH(D10)+12,DAY(D10)-1))&lt;=('1. SUMMARY'!$C$18),DATE(YEAR(D10),MONTH(D10)+12,DAY(D10)-1),'1. SUMMARY'!$C$18)))</f>
        <v>No Year 3</v>
      </c>
      <c r="E11" s="224" t="str">
        <f>IF(E10="No "&amp;E9,"No "&amp;E9,IF(D11='1. SUMMARY'!E40,"a",IF((DATE(YEAR(E10),MONTH(E10)+12,DAY(E10)-1))&lt;=('1. SUMMARY'!$C$18),DATE(YEAR(E10),MONTH(E10)+12,DAY(E10)-1),'1. SUMMARY'!$C$18)))</f>
        <v>No Year 4</v>
      </c>
      <c r="F11" s="224" t="str">
        <f>IF(F10="No "&amp;F9,"No "&amp;F9,IF(E11='1. SUMMARY'!F40,"a",IF((DATE(YEAR(F10),MONTH(F10)+12,DAY(F10)-1))&lt;=('1. SUMMARY'!$C$18),DATE(YEAR(F10),MONTH(F10)+12,DAY(F10)-1),'1. SUMMARY'!$C$18)))</f>
        <v>No Year 5</v>
      </c>
      <c r="G11" s="224" t="str">
        <f>IF(G10="No "&amp;G9,"No "&amp;G9,IF(F11='1. SUMMARY'!G40,"a",IF((DATE(YEAR(G10),MONTH(G10)+12,DAY(G10)-1))&lt;=('1. SUMMARY'!$C$18),DATE(YEAR(G10),MONTH(G10)+12,DAY(G10)-1),'1. SUMMARY'!$C$18)))</f>
        <v>No Year 6</v>
      </c>
      <c r="H11" s="224" t="str">
        <f>IF(H10="No "&amp;H9,"No "&amp;H9,IF(G11='1. SUMMARY'!H40,"a",IF((DATE(YEAR(H10),MONTH(H10)+12,DAY(H10)-1))&lt;=('1. SUMMARY'!$C$18),DATE(YEAR(H10),MONTH(H10)+12,DAY(H10)-1),'1. SUMMARY'!$C$18)))</f>
        <v>No Year 7</v>
      </c>
      <c r="I11" s="224" t="str">
        <f>IF(I10="No "&amp;I9,"No "&amp;I9,IF(H11='1. SUMMARY'!N40,"a",IF((DATE(YEAR(I10),MONTH(I10)+12,DAY(I10)-1))&lt;=('1. SUMMARY'!$C$18),DATE(YEAR(I10),MONTH(I10)+12,DAY(I10)-1),'1. SUMMARY'!$C$18)))</f>
        <v>No Year 8</v>
      </c>
      <c r="J11" s="224" t="str">
        <f>IF(J10="No "&amp;J9,"No "&amp;J9,IF(I11='1. SUMMARY'!O40,"a",IF((DATE(YEAR(J10),MONTH(J10)+12,DAY(J10)-1))&lt;=('1. SUMMARY'!$C$18),DATE(YEAR(J10),MONTH(J10)+12,DAY(J10)-1),'1. SUMMARY'!$C$18)))</f>
        <v>No Year 9</v>
      </c>
      <c r="K11" s="224" t="str">
        <f>IF(K10="No "&amp;K9,"No "&amp;K9,IF(J11='1. SUMMARY'!P38,"a",IF((DATE(YEAR(K10),MONTH(K10)+12,DAY(K10)-1))&lt;=('1. SUMMARY'!$C$18),DATE(YEAR(K10),MONTH(K10)+12,DAY(K10)-1),'1. SUMMARY'!$C$18)))</f>
        <v>No Year 10</v>
      </c>
      <c r="L11" s="218"/>
      <c r="P11" s="207">
        <f t="shared" si="2"/>
        <v>1</v>
      </c>
      <c r="Q11" s="402">
        <f>Sheet1!$T$9</f>
        <v>44469</v>
      </c>
      <c r="R11" s="402">
        <f>Sheet1!$U$9</f>
        <v>44834</v>
      </c>
      <c r="S11" s="402">
        <f>Sheet1!$V$9</f>
        <v>45199</v>
      </c>
      <c r="T11" s="402">
        <f>Sheet1!$W$9</f>
        <v>45565</v>
      </c>
      <c r="U11" s="402">
        <f>Sheet1!$X$9</f>
        <v>45930</v>
      </c>
      <c r="V11" s="402">
        <f>Sheet1!$Y$9</f>
        <v>46295</v>
      </c>
      <c r="W11" s="402">
        <f>Sheet1!$Z$9</f>
        <v>46660</v>
      </c>
      <c r="X11" s="402">
        <f>Sheet1!$AA$9</f>
        <v>47026</v>
      </c>
      <c r="Y11" s="402">
        <f>Sheet1!$AB$9</f>
        <v>47391</v>
      </c>
      <c r="Z11" s="402">
        <f>Sheet1!$AC$9</f>
        <v>47756</v>
      </c>
      <c r="AA11" s="402">
        <f>$AA$6</f>
        <v>48121</v>
      </c>
      <c r="AB11" s="402">
        <f>$AB$6</f>
        <v>48487</v>
      </c>
      <c r="AC11" s="402">
        <f>$AC$6</f>
        <v>48852</v>
      </c>
      <c r="AD11" s="402">
        <f>$AD$6</f>
        <v>49217</v>
      </c>
      <c r="AE11" s="402">
        <f>$AE$6</f>
        <v>49582</v>
      </c>
      <c r="AF11" s="402">
        <f>$AF$6</f>
        <v>49948</v>
      </c>
      <c r="AG11" s="402">
        <f>$AG$6</f>
        <v>50313</v>
      </c>
      <c r="AH11" s="211"/>
      <c r="AI11" s="402">
        <f t="shared" si="3"/>
        <v>44469</v>
      </c>
      <c r="AJ11" s="402">
        <f t="shared" si="3"/>
        <v>44834</v>
      </c>
      <c r="AK11" s="402">
        <f t="shared" si="3"/>
        <v>45199</v>
      </c>
      <c r="AL11" s="402">
        <f t="shared" si="3"/>
        <v>45565</v>
      </c>
      <c r="AM11" s="402">
        <f t="shared" si="3"/>
        <v>45930</v>
      </c>
      <c r="AN11" s="402">
        <f t="shared" si="3"/>
        <v>46295</v>
      </c>
      <c r="AO11" s="402">
        <f t="shared" si="3"/>
        <v>46660</v>
      </c>
      <c r="AP11" s="402">
        <f t="shared" si="3"/>
        <v>47026</v>
      </c>
      <c r="AQ11" s="402">
        <f t="shared" si="3"/>
        <v>47391</v>
      </c>
      <c r="AR11" s="402">
        <f t="shared" si="3"/>
        <v>47756</v>
      </c>
      <c r="AS11" s="402">
        <f t="shared" si="4"/>
        <v>48121</v>
      </c>
      <c r="AT11" s="402">
        <f t="shared" si="4"/>
        <v>48487</v>
      </c>
      <c r="AU11" s="402">
        <f t="shared" si="4"/>
        <v>48852</v>
      </c>
      <c r="AV11" s="402">
        <f t="shared" si="4"/>
        <v>49217</v>
      </c>
      <c r="AW11" s="402">
        <f t="shared" si="4"/>
        <v>49582</v>
      </c>
      <c r="AX11" s="402">
        <f t="shared" si="4"/>
        <v>49948</v>
      </c>
      <c r="AY11" s="402">
        <f t="shared" si="4"/>
        <v>50313</v>
      </c>
      <c r="AZ11" s="211"/>
    </row>
    <row r="12" spans="1:74">
      <c r="A12" s="216"/>
      <c r="B12" s="225"/>
      <c r="C12" s="225"/>
      <c r="D12" s="225"/>
      <c r="E12" s="225"/>
      <c r="F12" s="225"/>
      <c r="G12" s="225"/>
      <c r="H12" s="225"/>
      <c r="I12" s="225"/>
      <c r="J12" s="225"/>
      <c r="K12" s="225"/>
      <c r="L12" s="223"/>
      <c r="P12" s="207">
        <f t="shared" si="2"/>
        <v>1</v>
      </c>
      <c r="Q12" s="403">
        <f>IF(IF(Q11&lt;C10,0,DATEDIF(C10,Q11+1,"m"))&lt;0,0,IF(Q11&lt;C10,0,DATEDIF(C10,Q11+1,"m")))</f>
        <v>0</v>
      </c>
      <c r="R12" s="403">
        <f>IF(IF(Q12=12,0,IF(R11&gt;C11,12-DATEDIF(C11,R11+1,"m"),IF(R11&lt;C10,0,DATEDIF(C10,R11+1,"m"))))&lt;0,0,IF(Q12=12,0,IF(R11&gt;C11,12-DATEDIF(C11,R11+1,"m"),IF(R11&lt;C10,0,DATEDIF(C10,R11+1,"m")))))</f>
        <v>0</v>
      </c>
      <c r="S12" s="403">
        <f>IF(IF(Q12+R12=12,0,IF(S11&gt;C11,12-DATEDIF(C11,S11+1,"m"),IF(S11&lt;C10,0,DATEDIF(C10,S11+1,"m"))))&lt;0,0,IF(Q12+R12=12,0,IF(S11&gt;C11,12-DATEDIF(C11,S11+1,"m"),IF(S11&lt;C10,0,DATEDIF(C10,S11+1,"m")))))</f>
        <v>0</v>
      </c>
      <c r="T12" s="403">
        <f>IF(IF(R12+S12+Q12=12,0,IF(T11&gt;C11,12-DATEDIF(C11,T11+1,"m"),IF(T11&lt;C10,0,DATEDIF(C10,T11+1,"m"))))&lt;0,0,IF(R12+S12+Q12=12,0,IF(T11&gt;C11,12-DATEDIF(C11,T11+1,"m"),IF(T11&lt;C10,0,DATEDIF(C10,T11+1,"m")))))</f>
        <v>0</v>
      </c>
      <c r="U12" s="403">
        <f>IF(IF(S12+T12+R12+Q12=12,0,IF(U11&gt;$C$11,12-DATEDIF($C$11,U11+1,"m"),IF(U11&lt;$C$10,0,DATEDIF($C$10,U11+1,"m"))))&lt;0,0,IF(S12+T12+R12+Q12=12,0,IF(U11&gt;$C$11,12-DATEDIF($C$11,U11+1,"m"),IF(U11&lt;$C$10,0,DATEDIF($C$10,U11+1,"m")))))</f>
        <v>0</v>
      </c>
      <c r="V12" s="403">
        <f>IF(IF(T12+U12+S12+R12+Q12=12,0,IF(V11&gt;$C$11,12-DATEDIF($C$11,V11+1,"m"),IF(V11&lt;$C$10,0,DATEDIF($C$10,V11+1,"m"))))&lt;0,0,IF(T12+U12+S12+R12+Q12=12,0,IF(V11&gt;$C$11,12-DATEDIF($C$11,V11+1,"m"),IF(V11&lt;$C$10,0,DATEDIF($C$10,V11+1,"m")))))</f>
        <v>0</v>
      </c>
      <c r="W12" s="403">
        <f>IF(IF(U12+V12+T12+S12+R12+Q12=12,0,IF(W11&gt;$C$11,12-DATEDIF($C$11,W11+1,"m"),IF(W11&lt;$C$10,0,DATEDIF($C$10,W11+1,"m"))))&lt;0,0,IF(U12+V12+T12+S12+R12+Q12=12,0,IF(W11&gt;$C$11,12-DATEDIF($C$11,W11+1,"m"),IF(W11&lt;$C$10,0,DATEDIF($C$10,W11+1,"m")))))</f>
        <v>0</v>
      </c>
      <c r="X12" s="403">
        <f>IF(IF(V12+W12+U12+T12+S12+R12+Q12=12,0,IF(X11&gt;$C$11,12-DATEDIF($C$11,X11+1,"m"),IF(X11&lt;$C$10,0,DATEDIF($C$10,X11+1,"m"))))&lt;0,0,IF(V12+W12+U12+T12+S12+R12+Q12=12,0,IF(X11&gt;$C$11,12-DATEDIF($C$11,X11+1,"m"),IF(X11&lt;$C$10,0,DATEDIF($C$10,X11+1,"m")))))</f>
        <v>0</v>
      </c>
      <c r="Y12" s="403">
        <f>IF(IF(Q12+W12+X12+V12+U12+T12+S12+R12=12,0,IF(Y11&gt;$C$11,12-DATEDIF($C$11,Y11+1,"m"),IF(Y11&lt;$C$10,0,DATEDIF($C$10,Y11+1,"m"))))&lt;0,0,IF(Q12+W12+X12+V12+U12+T12+S12+R12=12,0,IF(Y11&gt;$C$11,12-DATEDIF($C$11,Y11+1,"m"),IF(Y11&lt;$C$10,0,DATEDIF($C$10,Y11+1,"m")))))</f>
        <v>0</v>
      </c>
      <c r="Z12" s="403">
        <f>IF(IF(Q12+R12+X12+Y12+W12+V12+U12+T12+S12=12,0,IF(Z11&gt;$C$11,12-DATEDIF($C$11,Z11+1,"m"),IF(Z11&lt;$C$10,0,DATEDIF($C$10,Z11+1,"m"))))&lt;0,0,IF(Q12+R12+X12+Y12+W12+V12+U12+T12+S12=12,0,IF(Z11&gt;$C$11,12-DATEDIF($C$11,Z11+1,"m"),IF(Z11&lt;$C$10,0,DATEDIF($C$10,Z11+1,"m")))))</f>
        <v>0</v>
      </c>
      <c r="AA12" s="403">
        <f>IF(IF(Q12+R12+S12+Y12+Z12+X12+W12+V12+U12+T12=12,0,IF(AA11&gt;$C$11,12-DATEDIF($C$11,AA11+1,"m"),IF(AA11&lt;$C$10,0,DATEDIF($C$10,AA11+1,"m"))))&lt;0,0,IF(Q12+R12+S12+Y12+Z12+X12+W12+V12+U12+T12=12,0,IF(AA11&gt;$C$11,12-DATEDIF($C$10,AA11+1,"m"),IF(AA11&lt;$C$10,0,DATEDIF($C$10,AA11+1,"m")))))</f>
        <v>0</v>
      </c>
      <c r="AB12" s="403">
        <f>IF(IF(Q12+R12+S12+T12+Z12+AA12+Y12+X12+W12+V12+U12=12,0,IF(AB11&gt;$C$11,12-DATEDIF($C$11,AB11+1,"m"),IF(AB11&lt;$C$10,0,DATEDIF($C$10,AB11+1,"m"))))&lt;0,0,IF(+Q12+R12+S12+T12+Z12+AA12+Y12+X12+W12+V12+U12=12,0,IF(AB11&gt;$C$11,12-DATEDIF($C$11,AB11+1,"m"),IF(AB11&lt;$C$10,0,DATEDIF($C$10,AB11+1,"m")))))</f>
        <v>0</v>
      </c>
      <c r="AC12" s="403">
        <f>IF(IF(Q12+R12+S12+T12+U12+AA12+AB12+Z12+Y12+X12+W12+V12=12,0,IF(AC11&gt;$C$11,12-DATEDIF($C$11,AC11+1,"m"),IF(AC11&lt;$C$10,0,DATEDIF($C$10,AC11+1,"m"))))&lt;0,0,IF(Q12+R12+S12+T12+U12+AA12+AB12+Z12+Y12+X12+W12+V12=12,0,IF(AC11&gt;$C$11,12-DATEDIF($C$11,AC11+1,"m"),IF(AC11&lt;$C$10,0,DATEDIF($C$10,AC11+1,"m")))))</f>
        <v>0</v>
      </c>
      <c r="AD12" s="403">
        <f>IF(IF(Q12+R12+S12+T12+U12+V12+AB12+AC12+AA12+Z12+Y12+X12+W12=12,0,IF(AD11&gt;$C$11,12-DATEDIF($C$11,AD11+1,"m"),IF(AD11&lt;$C$10,0,DATEDIF($C$10,AD11+1,"m"))))&lt;0,0,IF(Q12+R12+S12+T12+U12+V12+AB12+AC12+AA12+Z12+Y12+X12+W12=12,0,IF(AD11&gt;$C$11,12-DATEDIF($C$11,AD11+1,"m"),IF(AD11&lt;$C$10,0,DATEDIF($C$10,AD11+1,"m")))))</f>
        <v>0</v>
      </c>
      <c r="AE12" s="403">
        <f>IF(IF(+Q12+R12+S12+T12+U12+V12+W12+AC12+AD12+AB12+AA12+Z12+Y12+X12=12,0,IF(AE11&gt;$C$11,12-DATEDIF($C$11,AE11+1,"m"),IF(AE11&lt;$C$10,0,DATEDIF($C$10,AE11+1,"m"))))&lt;0,0,IF(Q12+R12+S12+T12+U12+V12+W12+AC12+AD12+AB12+AA12+Z12+Y12+X12=12,0,IF(AE11&gt;$C$11,12-DATEDIF($C$11,AE11+1,"m"),IF(AE11&lt;$C$10,0,DATEDIF($C$10,AE11+1,"m")))))</f>
        <v>0</v>
      </c>
      <c r="AF12" s="403">
        <f>IF(IF(Q12+R12+S12+T12+U12+V12+W12+X12+AD12+AE12+AC12+AB12+AA12+Z12+Y12=12,0,IF(AF11&gt;$C$11,12-DATEDIF($C$11,AF11+1,"m"),IF(AF11&lt;$C$10,0,DATEDIF($C$10,AF11+1,"m"))))&lt;0,0,IF(Q12+R12+S12+T12+U12+V12+W12+X12+AD12+AE12+AC12+AB12+AA12+Z12+Y12=12,0,IF(AF11&gt;$C$11,12-DATEDIF($C$11,AF11+1,"m"),IF(AF11&lt;$C$10,0,DATEDIF($C$10,AF11+1,"m")))))</f>
        <v>0</v>
      </c>
      <c r="AG12" s="403">
        <f>IF(IF(Q12+R12+S12+T12+U12+V12+W12+X12+Y12+AE12+AF12+AD12+AC12+AB12+AA12+Z12=12,0,IF(AG11&gt;$C$11,12-DATEDIF($C$11,AG11+1,"m"),IF(AG11&lt;$C$10,0,DATEDIF($C$10,AG11+1,"m"))))&lt;0,0,IF(Q12+R12+S12+T12+U12+V12+W12+X12+Y12+AE12+AF12+AD12+AC12+AB12+AA12+Z12=12,0,IF(AG11&gt;$C$11,12-DATEDIF($C$11,AG11+1,"m"),IF(AG11&lt;$C$10,0,DATEDIF($C$10,AG11+1,"m")))))</f>
        <v>0</v>
      </c>
      <c r="AH12" s="211">
        <f>SUM(Q12:AG12)</f>
        <v>0</v>
      </c>
      <c r="AI12" s="403">
        <f t="shared" si="3"/>
        <v>0</v>
      </c>
      <c r="AJ12" s="403">
        <f t="shared" si="3"/>
        <v>0</v>
      </c>
      <c r="AK12" s="403">
        <f t="shared" si="3"/>
        <v>0</v>
      </c>
      <c r="AL12" s="403">
        <f t="shared" si="3"/>
        <v>0</v>
      </c>
      <c r="AM12" s="403">
        <f t="shared" si="3"/>
        <v>0</v>
      </c>
      <c r="AN12" s="403">
        <f t="shared" si="3"/>
        <v>0</v>
      </c>
      <c r="AO12" s="403">
        <f t="shared" si="3"/>
        <v>0</v>
      </c>
      <c r="AP12" s="403">
        <f t="shared" si="3"/>
        <v>0</v>
      </c>
      <c r="AQ12" s="403">
        <f t="shared" si="3"/>
        <v>0</v>
      </c>
      <c r="AR12" s="403">
        <f t="shared" si="3"/>
        <v>0</v>
      </c>
      <c r="AS12" s="403">
        <f t="shared" si="4"/>
        <v>0</v>
      </c>
      <c r="AT12" s="403">
        <f t="shared" si="4"/>
        <v>0</v>
      </c>
      <c r="AU12" s="403">
        <f t="shared" si="4"/>
        <v>0</v>
      </c>
      <c r="AV12" s="403">
        <f t="shared" si="4"/>
        <v>0</v>
      </c>
      <c r="AW12" s="403">
        <f t="shared" si="4"/>
        <v>0</v>
      </c>
      <c r="AX12" s="403">
        <f t="shared" si="4"/>
        <v>0</v>
      </c>
      <c r="AY12" s="403">
        <f t="shared" si="4"/>
        <v>0</v>
      </c>
      <c r="AZ12" s="211">
        <f>SUM(AI12:AY12)</f>
        <v>0</v>
      </c>
    </row>
    <row r="13" spans="1:74">
      <c r="A13" s="226" t="s">
        <v>150</v>
      </c>
      <c r="B13" s="227"/>
      <c r="C13" s="227"/>
      <c r="D13" s="227"/>
      <c r="E13" s="227"/>
      <c r="F13" s="227"/>
      <c r="G13" s="228"/>
      <c r="H13" s="228"/>
      <c r="I13" s="228"/>
      <c r="J13" s="228"/>
      <c r="K13" s="228"/>
      <c r="L13" s="229">
        <f>SUM(B13:K13)</f>
        <v>0</v>
      </c>
      <c r="P13" s="207">
        <f t="shared" si="2"/>
        <v>1</v>
      </c>
      <c r="Q13" s="404">
        <f>IF(Q12=0,0,(IF(($C$16+B16)&lt;=25000,((C16/+AH12)*Q12)*VLOOKUP('1. SUMMARY'!$C$20,rate,Sheet1!T21,0),((IF(B16&gt;=25000,0,((25000-B16)/+AH12)*Q12)*VLOOKUP('1. SUMMARY'!$C$20,rate,Sheet1!T21,0))))))</f>
        <v>0</v>
      </c>
      <c r="R13" s="404">
        <f>IF(R12=0,0,(IF(($B$16+C16)&lt;=25000,((C16/+AH12)*R12)*VLOOKUP('1. SUMMARY'!$C$20,rate,Sheet1!U21,0),((IF(B16&gt;=25000,0,(((25000-B16))/+AH12)*R12)*VLOOKUP('1. SUMMARY'!$C$20,rate,Sheet1!U21,0))))))</f>
        <v>0</v>
      </c>
      <c r="S13" s="404">
        <f>IF(S12=0,0,(IF(($B$16+C16)&lt;=25000,((C16/+AH12)*S12)*VLOOKUP('1. SUMMARY'!$C$20,rate,Sheet1!V21,0),((IF((B16)&gt;=25000,0,((25000-(B16))/+AH12)*S12)*VLOOKUP('1. SUMMARY'!$C$20,rate,Sheet1!V21,0))))))</f>
        <v>0</v>
      </c>
      <c r="T13" s="404">
        <f>IF(T12=0,0,(IF(($B$16+C16)&lt;=25000,((C16/+AH12)*T12)*VLOOKUP('1. SUMMARY'!$C$20,rate,Sheet1!W21,0),((IF((B16)&gt;=25000,0,((25000-(B16))/+AH12)*T12)*VLOOKUP('1. SUMMARY'!$C$20,rate,Sheet1!W21,0))))))</f>
        <v>0</v>
      </c>
      <c r="U13" s="404">
        <f>IF(U12=0,0,(IF(($B$16+$C$16)&lt;=25000,(($C$16/+AH12)*U12)*VLOOKUP('1. SUMMARY'!$C$20,rate,Sheet1!X21,0),((IF(($B$16)&gt;=25000,0,((25000-($B$16))/+AH12)*U12)*VLOOKUP('1. SUMMARY'!$C$20,rate,Sheet1!X21,0))))))</f>
        <v>0</v>
      </c>
      <c r="V13" s="404">
        <f>IF(V12=0,0,(IF(($B$16+$C$16)&lt;=25000,(($C$16/+AH12)*V12)*VLOOKUP('1. SUMMARY'!$C$20,rate,Sheet1!Y21,0),((IF(($B$16)&gt;=25000,0,((25000-($B$16))/+AH12)*V12)*VLOOKUP('1. SUMMARY'!$C$20,rate,Sheet1!Y21,0))))))</f>
        <v>0</v>
      </c>
      <c r="W13" s="404">
        <f>IF(W12=0,0,(IF(($B$16+$C$16)&lt;=25000,(($C$16/+AH12)*W12)*VLOOKUP('1. SUMMARY'!$C$20,rate,Sheet1!Z21,0),((IF(($B$16)&gt;=25000,0,((25000-($B$16))/+AH12)*W12)*VLOOKUP('1. SUMMARY'!$C$20,rate,Sheet1!Z21,0))))))</f>
        <v>0</v>
      </c>
      <c r="X13" s="404">
        <f>IF(X12=0,0,(IF(($B$16+$C$16)&lt;=25000,(($C$16/+AH12)*X12)*VLOOKUP('1. SUMMARY'!$C$20,rate,Sheet1!$AA$21,0),((IF(($B$16)&gt;=25000,0,((25000-($B$16))/+AH12)*X12)*VLOOKUP('1. SUMMARY'!$C$20,rate,Sheet1!AA21,0))))))</f>
        <v>0</v>
      </c>
      <c r="Y13" s="404">
        <f>IF(Y12=0,0,(IF(($B$16+$C$16)&lt;=25000,(($C$16/+AI12)*Y12)*VLOOKUP('1. SUMMARY'!$C$20,rate,Sheet1!$AA$21,0),((IF(($B$16)&gt;=25000,0,((25000-($B$16))/+AI12)*Y12)*VLOOKUP('1. SUMMARY'!$C$20,rate,Sheet1!AB21,0))))))</f>
        <v>0</v>
      </c>
      <c r="Z13" s="404">
        <f>IF(Z12=0,0,(IF(($B$16+$C$16)&lt;=25000,(($C$16/+AJ12)*Z12)*VLOOKUP('1. SUMMARY'!$C$20,rate,Sheet1!$AA$21,0),((IF(($B$16)&gt;=25000,0,((25000-($B$16))/+AJ12)*Z12)*VLOOKUP('1. SUMMARY'!$C$20,rate,Sheet1!AC21,0))))))</f>
        <v>0</v>
      </c>
      <c r="AA13" s="404">
        <f>IF(AA12=0,0,(IF(($B$16+$C$16)&lt;=25000,(($C$16/+AK12)*AA12)*VLOOKUP('1. SUMMARY'!$C$20,rate,Sheet1!$AA$21,0),((IF(($B$16)&gt;=25000,0,((25000-($B$16))/+AK12)*AA12)*VLOOKUP('1. SUMMARY'!$C$20,rate,Sheet1!AD21,0))))))</f>
        <v>0</v>
      </c>
      <c r="AB13" s="404">
        <f>IF(AB12=0,0,(IF(($B$16+$C$16)&lt;=25000,(($C$16/+AL12)*AB12)*VLOOKUP('1. SUMMARY'!$C$20,rate,Sheet1!$AA$21,0),((IF(($B$16)&gt;=25000,0,((25000-($B$16))/+AL12)*AB12)*VLOOKUP('1. SUMMARY'!$C$20,rate,Sheet1!AE21,0))))))</f>
        <v>0</v>
      </c>
      <c r="AC13" s="404">
        <f>IF(AC12=0,0,(IF(($B$16+$C$16)&lt;=25000,(($C$16/+AM12)*AC12)*VLOOKUP('1. SUMMARY'!$C$20,rate,Sheet1!$AA$21,0),((IF(($B$16)&gt;=25000,0,((25000-($B$16))/+AM12)*AC12)*VLOOKUP('1. SUMMARY'!$C$20,rate,Sheet1!AF21,0))))))</f>
        <v>0</v>
      </c>
      <c r="AD13" s="404">
        <f>IF(AD12=0,0,(IF(($B$16+$C$16)&lt;=25000,(($C$16/+AN12)*AD12)*VLOOKUP('1. SUMMARY'!$C$20,rate,Sheet1!$AA$21,0),((IF(($B$16)&gt;=25000,0,((25000-($B$16))/+AN12)*AD12)*VLOOKUP('1. SUMMARY'!$C$20,rate,Sheet1!AG21,0))))))</f>
        <v>0</v>
      </c>
      <c r="AE13" s="404">
        <f>IF(AE12=0,0,(IF(($B$16+$C$16)&lt;=25000,(($C$16/+AO12)*AE12)*VLOOKUP('1. SUMMARY'!$C$20,rate,Sheet1!$AA$21,0),((IF(($B$16)&gt;=25000,0,((25000-($B$16))/+AO12)*AE12)*VLOOKUP('1. SUMMARY'!$C$20,rate,Sheet1!AH21,0))))))</f>
        <v>0</v>
      </c>
      <c r="AF13" s="404">
        <f>IF(AF12=0,0,(IF(($B$16+$C$16)&lt;=25000,(($C$16/+AP12)*AF12)*VLOOKUP('1. SUMMARY'!$C$20,rate,Sheet1!$AA$21,0),((IF(($B$16)&gt;=25000,0,((25000-($B$16))/+AP12)*AF12)*VLOOKUP('1. SUMMARY'!$C$20,rate,Sheet1!AI21,0))))))</f>
        <v>0</v>
      </c>
      <c r="AG13" s="404">
        <f>IF(AG12=0,0,(IF(($B$16+$C$16)&lt;=25000,(($C$16/+$AH$12)*AG12)*VLOOKUP('1. SUMMARY'!$C$20,rate,Sheet1!$AA$21,0),((IF(($B$16)&gt;=25000,0,((25000-($B$16))/+$AH$12)*AG12)*VLOOKUP('1. SUMMARY'!$C$20,rate,Sheet1!AJ21,0))))))</f>
        <v>0</v>
      </c>
      <c r="AH13" s="219">
        <f>SUM(Q13:AG13)</f>
        <v>0</v>
      </c>
      <c r="AI13" s="404">
        <f>IF(AI12=0,0,((+$C16/$AZ12)*AI12)*VLOOKUP('1. SUMMARY'!$C$20,rate,Sheet1!T$21,0))</f>
        <v>0</v>
      </c>
      <c r="AJ13" s="404">
        <f>IF(AJ12=0,0,((+$C16/$AZ12)*AJ12)*VLOOKUP('1. SUMMARY'!$C$20,rate,Sheet1!U$21,0))</f>
        <v>0</v>
      </c>
      <c r="AK13" s="404">
        <f>IF(AK12=0,0,((+$C16/$AZ12)*AK12)*VLOOKUP('1. SUMMARY'!$C$20,rate,Sheet1!V$21,0))</f>
        <v>0</v>
      </c>
      <c r="AL13" s="404">
        <f>IF(AL12=0,0,((+$C16/$AZ12)*AL12)*VLOOKUP('1. SUMMARY'!$C$20,rate,Sheet1!W$21,0))</f>
        <v>0</v>
      </c>
      <c r="AM13" s="404">
        <f>IF(AM12=0,0,((+$C16/$AZ12)*AM12)*VLOOKUP('1. SUMMARY'!$C$20,rate,Sheet1!X$21,0))</f>
        <v>0</v>
      </c>
      <c r="AN13" s="404">
        <f>IF(AN12=0,0,((+$C16/$AZ12)*AN12)*VLOOKUP('1. SUMMARY'!$C$20,rate,Sheet1!Y$21,0))</f>
        <v>0</v>
      </c>
      <c r="AO13" s="404">
        <f>IF(AO12=0,0,((+$C16/$AZ12)*AO12)*VLOOKUP('1. SUMMARY'!$C$20,rate,Sheet1!Z$21,0))</f>
        <v>0</v>
      </c>
      <c r="AP13" s="404">
        <f>IF(AP12=0,0,((+$C16/$AZ12)*AP12)*VLOOKUP('1. SUMMARY'!$C$20,rate,Sheet1!AA$21,0))</f>
        <v>0</v>
      </c>
      <c r="AQ13" s="404">
        <f>IF(AQ12=0,0,((+$C16/$AZ12)*AQ12)*VLOOKUP('1. SUMMARY'!$C$20,rate,Sheet1!AB$21,0))</f>
        <v>0</v>
      </c>
      <c r="AR13" s="404">
        <f>IF(AR12=0,0,((+$C16/$AZ12)*AR12)*VLOOKUP('1. SUMMARY'!$C$20,rate,Sheet1!AC$21,0))</f>
        <v>0</v>
      </c>
      <c r="AS13" s="404">
        <f>IF(AS12=0,0,((+$C16/$AZ12)*AS12)*VLOOKUP('1. SUMMARY'!$C$20,rate,Sheet1!AD$21,0))</f>
        <v>0</v>
      </c>
      <c r="AT13" s="404">
        <f>IF(AT12=0,0,((+$C16/$AZ12)*AT12)*VLOOKUP('1. SUMMARY'!$C$20,rate,Sheet1!AE$21,0))</f>
        <v>0</v>
      </c>
      <c r="AU13" s="404">
        <f>IF(AU12=0,0,((+$C16/$AZ12)*AU12)*VLOOKUP('1. SUMMARY'!$C$20,rate,Sheet1!AF$21,0))</f>
        <v>0</v>
      </c>
      <c r="AV13" s="404">
        <f>IF(AV12=0,0,((+$C16/$AZ12)*AV12)*VLOOKUP('1. SUMMARY'!$C$20,rate,Sheet1!AG$21,0))</f>
        <v>0</v>
      </c>
      <c r="AW13" s="404">
        <f>IF(AW12=0,0,((+$C16/$AZ12)*AW12)*VLOOKUP('1. SUMMARY'!$C$20,rate,Sheet1!AH$21,0))</f>
        <v>0</v>
      </c>
      <c r="AX13" s="404">
        <f>IF(AX12=0,0,((+$C16/$AZ12)*AX12)*VLOOKUP('1. SUMMARY'!$C$20,rate,Sheet1!AI$21,0))</f>
        <v>0</v>
      </c>
      <c r="AY13" s="404">
        <f>IF(AY12=0,0,((+$C16/$AZ12)*AY12)*VLOOKUP('1. SUMMARY'!$C$20,rate,Sheet1!AJ$21,0))</f>
        <v>0</v>
      </c>
      <c r="AZ13" s="219">
        <f>SUM(AI13:AY13)</f>
        <v>0</v>
      </c>
    </row>
    <row r="14" spans="1:74" ht="12.75" customHeight="1">
      <c r="A14" s="221" t="s">
        <v>151</v>
      </c>
      <c r="B14" s="227"/>
      <c r="C14" s="227"/>
      <c r="D14" s="227"/>
      <c r="E14" s="227"/>
      <c r="F14" s="227"/>
      <c r="G14" s="228"/>
      <c r="H14" s="228"/>
      <c r="I14" s="228"/>
      <c r="J14" s="228"/>
      <c r="K14" s="228"/>
      <c r="L14" s="229">
        <f>SUM(B14:K14)</f>
        <v>0</v>
      </c>
      <c r="P14" s="207">
        <f t="shared" si="2"/>
        <v>1</v>
      </c>
      <c r="Q14" s="404">
        <f>+Q13/VLOOKUP('1. SUMMARY'!$C$20,rate,Sheet1!T$21,0)</f>
        <v>0</v>
      </c>
      <c r="R14" s="404">
        <f>+R13/VLOOKUP('1. SUMMARY'!$C$20,rate,Sheet1!U$21,0)</f>
        <v>0</v>
      </c>
      <c r="S14" s="404">
        <f>+S13/VLOOKUP('1. SUMMARY'!$C$20,rate,Sheet1!V$21,0)</f>
        <v>0</v>
      </c>
      <c r="T14" s="404">
        <f>+T13/VLOOKUP('1. SUMMARY'!$C$20,rate,Sheet1!W$21,0)</f>
        <v>0</v>
      </c>
      <c r="U14" s="404">
        <f>+U13/VLOOKUP('1. SUMMARY'!$C$20,rate,Sheet1!X$21,0)</f>
        <v>0</v>
      </c>
      <c r="V14" s="404">
        <f>+V13/VLOOKUP('1. SUMMARY'!$C$20,rate,Sheet1!Y$21,0)</f>
        <v>0</v>
      </c>
      <c r="W14" s="404">
        <f>+W13/VLOOKUP('1. SUMMARY'!$C$20,rate,Sheet1!Z$21,0)</f>
        <v>0</v>
      </c>
      <c r="X14" s="404">
        <f>+X13/VLOOKUP('1. SUMMARY'!$C$20,rate,Sheet1!AA$21,0)</f>
        <v>0</v>
      </c>
      <c r="Y14" s="404">
        <f>+Y13/VLOOKUP('1. SUMMARY'!$C$20,rate,Sheet1!AB$21,0)</f>
        <v>0</v>
      </c>
      <c r="Z14" s="404">
        <f>+Z13/VLOOKUP('1. SUMMARY'!$C$20,rate,Sheet1!AC$21,0)</f>
        <v>0</v>
      </c>
      <c r="AA14" s="404">
        <f>+AA13/VLOOKUP('1. SUMMARY'!$C$20,rate,Sheet1!AD$21,0)</f>
        <v>0</v>
      </c>
      <c r="AB14" s="404">
        <f>+AB13/VLOOKUP('1. SUMMARY'!$C$20,rate,Sheet1!AE$21,0)</f>
        <v>0</v>
      </c>
      <c r="AC14" s="404">
        <f>+AC13/VLOOKUP('1. SUMMARY'!$C$20,rate,Sheet1!AF$21,0)</f>
        <v>0</v>
      </c>
      <c r="AD14" s="404">
        <f>+AD13/VLOOKUP('1. SUMMARY'!$C$20,rate,Sheet1!AG$21,0)</f>
        <v>0</v>
      </c>
      <c r="AE14" s="404">
        <f>+AE13/VLOOKUP('1. SUMMARY'!$C$20,rate,Sheet1!AH$21,0)</f>
        <v>0</v>
      </c>
      <c r="AF14" s="404">
        <f>+AF13/VLOOKUP('1. SUMMARY'!$C$20,rate,Sheet1!AI$21,0)</f>
        <v>0</v>
      </c>
      <c r="AG14" s="404">
        <f>+AG13/VLOOKUP('1. SUMMARY'!$C$20,rate,Sheet1!AJ$21,0)</f>
        <v>0</v>
      </c>
      <c r="AH14" s="219"/>
      <c r="AI14" s="404">
        <v>0</v>
      </c>
      <c r="AJ14" s="404">
        <v>0</v>
      </c>
      <c r="AK14" s="404">
        <v>0</v>
      </c>
      <c r="AL14" s="404">
        <v>0</v>
      </c>
      <c r="AM14" s="404">
        <v>0</v>
      </c>
      <c r="AN14" s="404">
        <v>0</v>
      </c>
      <c r="AO14" s="404">
        <v>0</v>
      </c>
      <c r="AP14" s="404">
        <v>0</v>
      </c>
      <c r="AQ14" s="404"/>
      <c r="AR14" s="404"/>
      <c r="AS14" s="404"/>
      <c r="AT14" s="404"/>
      <c r="AU14" s="404"/>
      <c r="AV14" s="404"/>
      <c r="AW14" s="404"/>
      <c r="AX14" s="404"/>
      <c r="AY14" s="404"/>
      <c r="AZ14" s="219"/>
    </row>
    <row r="15" spans="1:74" ht="12.75" customHeight="1">
      <c r="A15" s="216"/>
      <c r="B15" s="217"/>
      <c r="C15" s="217"/>
      <c r="D15" s="217"/>
      <c r="E15" s="217"/>
      <c r="F15" s="217"/>
      <c r="G15" s="217"/>
      <c r="H15" s="217"/>
      <c r="I15" s="217"/>
      <c r="J15" s="217"/>
      <c r="K15" s="217"/>
      <c r="L15" s="218"/>
      <c r="P15" s="207">
        <f t="shared" si="2"/>
        <v>1</v>
      </c>
      <c r="Q15" s="399">
        <f>Sheet1!$T$8</f>
        <v>44105</v>
      </c>
      <c r="R15" s="399">
        <f>Sheet1!$U$8</f>
        <v>44470</v>
      </c>
      <c r="S15" s="399">
        <f>Sheet1!$V$8</f>
        <v>44835</v>
      </c>
      <c r="T15" s="399">
        <f>Sheet1!$W$8</f>
        <v>45200</v>
      </c>
      <c r="U15" s="399">
        <f>Sheet1!$X$8</f>
        <v>45566</v>
      </c>
      <c r="V15" s="399">
        <f>Sheet1!$Y$8</f>
        <v>45931</v>
      </c>
      <c r="W15" s="399">
        <f>Sheet1!$Z$8</f>
        <v>46296</v>
      </c>
      <c r="X15" s="399">
        <f>Sheet1!$AA$8</f>
        <v>46661</v>
      </c>
      <c r="Y15" s="399">
        <f>Sheet1!$AB$8</f>
        <v>47027</v>
      </c>
      <c r="Z15" s="399">
        <f>Sheet1!$AC$8</f>
        <v>47392</v>
      </c>
      <c r="AA15" s="399">
        <f>$AA$5</f>
        <v>47757</v>
      </c>
      <c r="AB15" s="399">
        <f>$AB$5</f>
        <v>48122</v>
      </c>
      <c r="AC15" s="399">
        <f>$AC$5</f>
        <v>48488</v>
      </c>
      <c r="AD15" s="399">
        <f>$AD$5</f>
        <v>48853</v>
      </c>
      <c r="AE15" s="399">
        <f>$AE$5</f>
        <v>49218</v>
      </c>
      <c r="AF15" s="399">
        <f>$AF$5</f>
        <v>49583</v>
      </c>
      <c r="AG15" s="399">
        <f>$AG$5</f>
        <v>49949</v>
      </c>
      <c r="AH15" s="211"/>
      <c r="AI15" s="399">
        <f t="shared" ref="AI15:AR17" si="5">+Q15</f>
        <v>44105</v>
      </c>
      <c r="AJ15" s="399">
        <f t="shared" si="5"/>
        <v>44470</v>
      </c>
      <c r="AK15" s="399">
        <f t="shared" si="5"/>
        <v>44835</v>
      </c>
      <c r="AL15" s="399">
        <f t="shared" si="5"/>
        <v>45200</v>
      </c>
      <c r="AM15" s="399">
        <f t="shared" si="5"/>
        <v>45566</v>
      </c>
      <c r="AN15" s="399">
        <f t="shared" si="5"/>
        <v>45931</v>
      </c>
      <c r="AO15" s="399">
        <f t="shared" si="5"/>
        <v>46296</v>
      </c>
      <c r="AP15" s="399">
        <f t="shared" si="5"/>
        <v>46661</v>
      </c>
      <c r="AQ15" s="399">
        <f t="shared" si="5"/>
        <v>47027</v>
      </c>
      <c r="AR15" s="399">
        <f t="shared" si="5"/>
        <v>47392</v>
      </c>
      <c r="AS15" s="399">
        <f t="shared" ref="AS15:AY17" si="6">+AA15</f>
        <v>47757</v>
      </c>
      <c r="AT15" s="399">
        <f t="shared" si="6"/>
        <v>48122</v>
      </c>
      <c r="AU15" s="399">
        <f t="shared" si="6"/>
        <v>48488</v>
      </c>
      <c r="AV15" s="399">
        <f t="shared" si="6"/>
        <v>48853</v>
      </c>
      <c r="AW15" s="399">
        <f t="shared" si="6"/>
        <v>49218</v>
      </c>
      <c r="AX15" s="399">
        <f t="shared" si="6"/>
        <v>49583</v>
      </c>
      <c r="AY15" s="399">
        <f t="shared" si="6"/>
        <v>49949</v>
      </c>
      <c r="AZ15" s="211"/>
    </row>
    <row r="16" spans="1:74" ht="12.75" customHeight="1">
      <c r="A16" s="231" t="s">
        <v>152</v>
      </c>
      <c r="B16" s="146">
        <f t="shared" ref="B16:K16" si="7">SUM(B13:B14)</f>
        <v>0</v>
      </c>
      <c r="C16" s="146">
        <f t="shared" si="7"/>
        <v>0</v>
      </c>
      <c r="D16" s="146">
        <f t="shared" si="7"/>
        <v>0</v>
      </c>
      <c r="E16" s="146">
        <f t="shared" si="7"/>
        <v>0</v>
      </c>
      <c r="F16" s="146">
        <f t="shared" si="7"/>
        <v>0</v>
      </c>
      <c r="G16" s="146">
        <f t="shared" si="7"/>
        <v>0</v>
      </c>
      <c r="H16" s="146">
        <f t="shared" si="7"/>
        <v>0</v>
      </c>
      <c r="I16" s="146">
        <f t="shared" si="7"/>
        <v>0</v>
      </c>
      <c r="J16" s="146">
        <f t="shared" si="7"/>
        <v>0</v>
      </c>
      <c r="K16" s="146">
        <f t="shared" si="7"/>
        <v>0</v>
      </c>
      <c r="L16" s="229">
        <f>SUM(B16:K16)</f>
        <v>0</v>
      </c>
      <c r="P16" s="207">
        <f t="shared" si="2"/>
        <v>1</v>
      </c>
      <c r="Q16" s="399">
        <f>Sheet1!$T$9</f>
        <v>44469</v>
      </c>
      <c r="R16" s="399">
        <f>Sheet1!$U$9</f>
        <v>44834</v>
      </c>
      <c r="S16" s="399">
        <f>Sheet1!$V$9</f>
        <v>45199</v>
      </c>
      <c r="T16" s="399">
        <f>Sheet1!$W$9</f>
        <v>45565</v>
      </c>
      <c r="U16" s="399">
        <f>Sheet1!$X$9</f>
        <v>45930</v>
      </c>
      <c r="V16" s="399">
        <f>Sheet1!$Y$9</f>
        <v>46295</v>
      </c>
      <c r="W16" s="399">
        <f>Sheet1!$Z$9</f>
        <v>46660</v>
      </c>
      <c r="X16" s="399">
        <f>Sheet1!$AA$9</f>
        <v>47026</v>
      </c>
      <c r="Y16" s="399">
        <f>Sheet1!$AB$9</f>
        <v>47391</v>
      </c>
      <c r="Z16" s="399">
        <f>Sheet1!$AC$9</f>
        <v>47756</v>
      </c>
      <c r="AA16" s="399">
        <f>$AA$6</f>
        <v>48121</v>
      </c>
      <c r="AB16" s="399">
        <f>$AB$6</f>
        <v>48487</v>
      </c>
      <c r="AC16" s="399">
        <f>$AC$6</f>
        <v>48852</v>
      </c>
      <c r="AD16" s="399">
        <f>$AD$6</f>
        <v>49217</v>
      </c>
      <c r="AE16" s="399">
        <f>$AE$6</f>
        <v>49582</v>
      </c>
      <c r="AF16" s="399">
        <f>$AF$6</f>
        <v>49948</v>
      </c>
      <c r="AG16" s="399">
        <f>$AG$6</f>
        <v>50313</v>
      </c>
      <c r="AH16" s="211"/>
      <c r="AI16" s="399">
        <f t="shared" si="5"/>
        <v>44469</v>
      </c>
      <c r="AJ16" s="399">
        <f t="shared" si="5"/>
        <v>44834</v>
      </c>
      <c r="AK16" s="399">
        <f t="shared" si="5"/>
        <v>45199</v>
      </c>
      <c r="AL16" s="399">
        <f t="shared" si="5"/>
        <v>45565</v>
      </c>
      <c r="AM16" s="399">
        <f t="shared" si="5"/>
        <v>45930</v>
      </c>
      <c r="AN16" s="399">
        <f t="shared" si="5"/>
        <v>46295</v>
      </c>
      <c r="AO16" s="399">
        <f t="shared" si="5"/>
        <v>46660</v>
      </c>
      <c r="AP16" s="399">
        <f t="shared" si="5"/>
        <v>47026</v>
      </c>
      <c r="AQ16" s="399">
        <f t="shared" si="5"/>
        <v>47391</v>
      </c>
      <c r="AR16" s="399">
        <f t="shared" si="5"/>
        <v>47756</v>
      </c>
      <c r="AS16" s="399">
        <f t="shared" si="6"/>
        <v>48121</v>
      </c>
      <c r="AT16" s="399">
        <f t="shared" si="6"/>
        <v>48487</v>
      </c>
      <c r="AU16" s="399">
        <f t="shared" si="6"/>
        <v>48852</v>
      </c>
      <c r="AV16" s="399">
        <f t="shared" si="6"/>
        <v>49217</v>
      </c>
      <c r="AW16" s="399">
        <f t="shared" si="6"/>
        <v>49582</v>
      </c>
      <c r="AX16" s="399">
        <f t="shared" si="6"/>
        <v>49948</v>
      </c>
      <c r="AY16" s="399">
        <f t="shared" si="6"/>
        <v>50313</v>
      </c>
      <c r="AZ16" s="211"/>
    </row>
    <row r="17" spans="1:52" ht="12.75" customHeight="1">
      <c r="A17" s="216"/>
      <c r="B17" s="217"/>
      <c r="C17" s="217"/>
      <c r="D17" s="217"/>
      <c r="E17" s="217"/>
      <c r="F17" s="217"/>
      <c r="G17" s="217"/>
      <c r="H17" s="217"/>
      <c r="I17" s="217"/>
      <c r="J17" s="217"/>
      <c r="K17" s="217"/>
      <c r="L17" s="218"/>
      <c r="P17" s="207">
        <f t="shared" si="2"/>
        <v>1</v>
      </c>
      <c r="Q17" s="400">
        <f>IF(IF(Q16&lt;D10,0,DATEDIF(D10,Q16+1,"m"))&lt;0,0,IF(Q16&lt;D10,0,DATEDIF(D10,Q16+1,"m")))</f>
        <v>0</v>
      </c>
      <c r="R17" s="400">
        <f>IF(IF(Q17=12,0,IF(R16&gt;D11,12-DATEDIF(D11,R16+1,"m"),IF(R16&lt;D10,0,DATEDIF(D10,R16+1,"m"))))&lt;0,0,IF(Q17=12,0,IF(R16&gt;D11,12-DATEDIF(D11,R16+1,"m"),IF(R16&lt;D10,0,DATEDIF(D10,R16+1,"m")))))</f>
        <v>0</v>
      </c>
      <c r="S17" s="400">
        <f>IF(IF(Q17+R17=12,0,IF(S16&gt;D11,12-DATEDIF(D11,S16+1,"m"),IF(S16&lt;D10,0,DATEDIF(D10,S16+1,"m"))))&lt;0,0,IF(Q17+R17=12,0,IF(S16&gt;D11,12-DATEDIF(D11,S16+1,"m"),IF(S16&lt;D10,0,DATEDIF(D10,S16+1,"m")))))</f>
        <v>0</v>
      </c>
      <c r="T17" s="400">
        <f>IF(IF(R17+S17+Q17=12,0,IF(T16&gt;D11,12-DATEDIF(D11,T16+1,"m"),IF(T16&lt;D10,0,DATEDIF(D10,T16+1,"m"))))&lt;0,0,IF(R17+S17+Q17=12,0,IF(T16&gt;D11,12-DATEDIF(D11,T16+1,"m"),IF(T16&lt;D10,0,DATEDIF(D10,T16+1,"m")))))</f>
        <v>0</v>
      </c>
      <c r="U17" s="400">
        <f>IF(IF(S17+T17+R17+Q17=12,0,IF(U16&gt;$D$11,12-DATEDIF($D$11,U16+1,"m"),IF(U16&lt;$D$10,0,DATEDIF($D$10,U16+1,"m"))))&lt;0,0,IF(S17+T17+R17+Q17=12,0,IF(U16&gt;$D$11,12-DATEDIF($D$11,U16+1,"m"),IF(U16&lt;$D$10,0,DATEDIF($D$10,U16+1,"m")))))</f>
        <v>0</v>
      </c>
      <c r="V17" s="400">
        <f>IF(IF(T17+U17+S17+R17+Q17=12,0,IF(V16&gt;$D$11,12-DATEDIF($D$11,V16+1,"m"),IF(V16&lt;$D$10,0,DATEDIF($D$10,V16+1,"m"))))&lt;0,0,IF(T17+U17+S17+R17+Q17=12,0,IF(V16&gt;$D$11,12-DATEDIF($D$11,V16+1,"m"),IF(V16&lt;$D$10,0,DATEDIF($D$10,V16+1,"m")))))</f>
        <v>0</v>
      </c>
      <c r="W17" s="400">
        <f>IF(IF(U17+V17+T17+S17+R17+Q17=12,0,IF(W16&gt;$D$11,12-DATEDIF($D$11,W16+1,"m"),IF(W16&lt;$D$10,0,DATEDIF($D$10,W16+1,"m"))))&lt;0,0,IF(U17+V17+T17+S17+R17+Q17=12,0,IF(W16&gt;$D$11,12-DATEDIF($D$11,W16+1,"m"),IF(W16&lt;$D$10,0,DATEDIF($D$10,W16+1,"m")))))</f>
        <v>0</v>
      </c>
      <c r="X17" s="400">
        <f>IF(IF(V17+W17+U17+T17+S17+R17+Q17=12,0,IF(X16&gt;$D$11,12-DATEDIF($D$11,X16+1,"m"),IF(X16&lt;$D$10,0,DATEDIF($D$10,X16+1,"m"))))&lt;0,0,IF(V17+W17+U17+T17+S17+R17+Q17=12,0,IF(X16&gt;$D$11,12-DATEDIF($D$11,X16+1,"m"),IF(X16&lt;$D$10,0,DATEDIF($D$10,X16+1,"m")))))</f>
        <v>0</v>
      </c>
      <c r="Y17" s="400">
        <f>IF(IF(+Q17+W17+X17+V17+U17+T17+S17+R17=12,0,IF(Y16&gt;$D$11,12-DATEDIF($D$11,Y16+1,"m"),IF(Y16&lt;$D$10,0,DATEDIF($D$10,Y16+1,"m"))))&lt;0,0,IF(Q17+W17+X17+V17+U17+T17+S17+R17=12,0,IF(Y16&gt;$D$11,12-DATEDIF($D$11,Y16+1,"m"),IF(Y16&lt;$D$10,0,DATEDIF($D$10,Y16+1,"m")))))</f>
        <v>0</v>
      </c>
      <c r="Z17" s="400">
        <f>IF(IF(Q17+R17+X17+Y17+W17+V17+U17+T17+S17=12,0,IF(Z16&gt;$D$11,12-DATEDIF($D$11,Z16+1,"m"),IF(Z16&lt;$D$10,0,DATEDIF($D$10,Z16+1,"m"))))&lt;0,0,IF(Q17+R17+X17+Y17+W17+V17+U17+T17+S17=12,0,IF(Z16&gt;$D$11,12-DATEDIF($D$11,Z16+1,"m"),IF(Z16&lt;$D$10,0,DATEDIF($D$10,Z16+1,"m")))))</f>
        <v>0</v>
      </c>
      <c r="AA17" s="400">
        <f>IF(IF(Q17+R17+S17+Y17+Z17+X17+W17+V17+U17+T17=12,0,IF(AA16&gt;$D$11,12-DATEDIF($D$11,AA16+1,"m"),IF(AA16&lt;$D$10,0,DATEDIF($D$10,AA16+1,"m"))))&lt;0,0,IF(Q17+R17+S17+Y17+Z17+X17+W17+V17+U17+T17=12,0,IF(AA16&gt;$D$11,12-DATEDIF($D$11,AA16+1,"m"),IF(AA16&lt;$D$10,0,DATEDIF($D$10,AA16+1,"m")))))</f>
        <v>0</v>
      </c>
      <c r="AB17" s="400">
        <f>IF(IF(Q17+R17+S17+T17+Z17+AA17+Y17+X17+W17+V17+U17=12,0,IF(AB16&gt;$D$11,12-DATEDIF($D$11,AB16+1,"m"),IF(AB16&lt;$D$10,0,DATEDIF($D$10,AB16+1,"m"))))&lt;0,0,IF(+Q17+R17+S17+T17+Z17+AA17+Y17+X17+W17+V17+U17=12,0,IF(AB16&gt;$D$11,12-DATEDIF($D$11,AB16+1,"m"),IF(AB16&lt;$D$10,0,DATEDIF($D$10,AB16+1,"m")))))</f>
        <v>0</v>
      </c>
      <c r="AC17" s="400">
        <f>IF(IF(Q17+R17+S17+T17+U17+AA17+AB17+Z17+Y17+X17+W17+V17=12,0,IF(AC16&gt;$D$11,12-DATEDIF($D$11,AC16+1,"m"),IF(AC16&lt;$D$10,0,DATEDIF($D$10,AC16+1,"m"))))&lt;0,0,IF(Q17+R17+S17+T17+U17+AA17+AB17+Z17+Y17+X17+W17+V17=12,0,IF(AC16&gt;$D$11,12-DATEDIF($D$11,AC16+1,"m"),IF(AC16&lt;$D$10,0,DATEDIF($D$10,AC16+1,"m")))))</f>
        <v>0</v>
      </c>
      <c r="AD17" s="400">
        <f>IF(IF(Q17+R17+S17+T17+U17+V17+AB17+AC17+AA17+Z17+Y17+X17+W17=12,0,IF(AD16&gt;$D$11,12-DATEDIF($D$11,AD16+1,"m"),IF(AD16&lt;$D$10,0,DATEDIF($D$10,AD16+1,"m"))))&lt;0,0,IF(Q17+R17+S17+T17+U17+V17+AB17+AC17+AA17+Z17+Y17+X17+W17=12,0,IF(AD16&gt;$D$11,12-DATEDIF($D$11,AD16+1,"m"),IF(AD16&lt;$D$10,0,DATEDIF($D$10,AD16+1,"m")))))</f>
        <v>0</v>
      </c>
      <c r="AE17" s="400">
        <f>IF(IF(+Q17+R17+S17+T17+U17+V17+W17+AC17+AD17+AB17+AA17+Z17+Y17+X17=12,0,IF(AE16&gt;$D$11,12-DATEDIF($D$11,AE16+1,"m"),IF(AE16&lt;$D$10,0,DATEDIF($D$10,AE16+1,"m"))))&lt;0,0,IF(Q17+R17+S17+T17+U17+V17+W17+AC17+AD17+AB17+AA17+Z17+Y17+X17=12,0,IF(AE16&gt;$D$11,12-DATEDIF($D$11,AE16+1,"m"),IF(AE16&lt;$D$10,0,DATEDIF($D$10,AE16+1,"m")))))</f>
        <v>0</v>
      </c>
      <c r="AF17" s="400">
        <f>IF(IF(Q17+R17+S17+T17+U17+V17+W17+X17+AD17+AE17+AC17+AB17+AA17+Z17+Y17=12,0,IF(AF16&gt;$D$11,12-DATEDIF($D$11,AF16+1,"m"),IF(AF16&lt;$D$10,0,DATEDIF($D$10,AF16+1,"m"))))&lt;0,0,IF(Q17+R17+S17+T17+U17+V17+W17+X17+AD17+AE17+AC17+AB17+AA17+Z17+Y17=12,0,IF(AF16&gt;$D$11,12-DATEDIF($D$11,AF16+1,"m"),IF(AF16&lt;$D$10,0,DATEDIF($D$10,AF16+1,"m")))))</f>
        <v>0</v>
      </c>
      <c r="AG17" s="400">
        <f>IF(IF(Q17+R17+S17+T17+U17+V17+W17+X17+Y17+AE17+AF17+AD17+AC17+AB17+AA17+Z17=12,0,IF(AG16&gt;$D$11,12-DATEDIF($D$11,AG16+1,"m"),IF(AG16&lt;$D$10,0,DATEDIF($D$10,AG16+1,"m"))))&lt;0,0,IF(Q17+R17+S17+T17+U17+V17+W17+X17+Y17+AE17+AF17+AD17+AC17+AB17+AA17+Z17=12,0,IF(AG16&gt;$D$11,12-DATEDIF($D$11,AG16+1,"m"),IF(AG16&lt;$D$10,0,DATEDIF($D$10,AG16+1,"m")))))</f>
        <v>0</v>
      </c>
      <c r="AH17" s="211">
        <f>SUM(Q17:AG17)</f>
        <v>0</v>
      </c>
      <c r="AI17" s="400">
        <f t="shared" si="5"/>
        <v>0</v>
      </c>
      <c r="AJ17" s="400">
        <f t="shared" si="5"/>
        <v>0</v>
      </c>
      <c r="AK17" s="400">
        <f t="shared" si="5"/>
        <v>0</v>
      </c>
      <c r="AL17" s="400">
        <f t="shared" si="5"/>
        <v>0</v>
      </c>
      <c r="AM17" s="400">
        <f t="shared" si="5"/>
        <v>0</v>
      </c>
      <c r="AN17" s="400">
        <f t="shared" si="5"/>
        <v>0</v>
      </c>
      <c r="AO17" s="400">
        <f t="shared" si="5"/>
        <v>0</v>
      </c>
      <c r="AP17" s="400">
        <f t="shared" si="5"/>
        <v>0</v>
      </c>
      <c r="AQ17" s="400">
        <f t="shared" si="5"/>
        <v>0</v>
      </c>
      <c r="AR17" s="400">
        <f t="shared" si="5"/>
        <v>0</v>
      </c>
      <c r="AS17" s="400">
        <f t="shared" si="6"/>
        <v>0</v>
      </c>
      <c r="AT17" s="400">
        <f t="shared" si="6"/>
        <v>0</v>
      </c>
      <c r="AU17" s="400">
        <f t="shared" si="6"/>
        <v>0</v>
      </c>
      <c r="AV17" s="400">
        <f t="shared" si="6"/>
        <v>0</v>
      </c>
      <c r="AW17" s="400">
        <f t="shared" si="6"/>
        <v>0</v>
      </c>
      <c r="AX17" s="400">
        <f t="shared" si="6"/>
        <v>0</v>
      </c>
      <c r="AY17" s="400">
        <f t="shared" si="6"/>
        <v>0</v>
      </c>
      <c r="AZ17" s="211">
        <f>SUM(AI17:AY17)</f>
        <v>0</v>
      </c>
    </row>
    <row r="18" spans="1:52" ht="12.75" customHeight="1">
      <c r="A18" s="226" t="s">
        <v>153</v>
      </c>
      <c r="B18" s="233">
        <f>IF(B10="No "&amp;B9,0,IF('1. SUMMARY'!$Q$20=1,+AH8,AZ8))</f>
        <v>0</v>
      </c>
      <c r="C18" s="146">
        <f>IF(C10="No "&amp;C9,0,IF('1. SUMMARY'!$Q$20=1,+AH13,AZ13))</f>
        <v>0</v>
      </c>
      <c r="D18" s="233">
        <f>IF(D10="No "&amp;D9,0,IF('1. SUMMARY'!$Q$20=1,+AH18,AZ18))</f>
        <v>0</v>
      </c>
      <c r="E18" s="146">
        <f>IF(E10="No "&amp;E9,0,IF('1. SUMMARY'!$Q$20=1,+AH23,AZ23))</f>
        <v>0</v>
      </c>
      <c r="F18" s="146">
        <f>IF(F10="No "&amp;F9,0,IF('1. SUMMARY'!$Q$20=1,+$AH28,+$AZ28))</f>
        <v>0</v>
      </c>
      <c r="G18" s="146">
        <f>IF(G10="No "&amp;G9,0,IF('1. SUMMARY'!$Q$20=1,+$AH33,+$AZ33))</f>
        <v>0</v>
      </c>
      <c r="H18" s="146">
        <f>IF(H10="No "&amp;H9,0,IF('1. SUMMARY'!$Q$20=1,+$AH38,+$AZ38))</f>
        <v>0</v>
      </c>
      <c r="I18" s="146">
        <f>IF(I10="No "&amp;I9,0,IF('1. SUMMARY'!$Q$20=1,+$AH43,+$AZ43))</f>
        <v>0</v>
      </c>
      <c r="J18" s="146">
        <f>IF(J10="No "&amp;J9,0,IF('1. SUMMARY'!$Q$20=1,+$AH48,+$AZ48))</f>
        <v>0</v>
      </c>
      <c r="K18" s="146">
        <f>IF(K10="No "&amp;K9,0,IF('1. SUMMARY'!$Q$20=1,+$AH53,+$AZ53))</f>
        <v>0</v>
      </c>
      <c r="L18" s="229">
        <f>SUM(B18:K18)</f>
        <v>0</v>
      </c>
      <c r="P18" s="207">
        <f t="shared" si="2"/>
        <v>1</v>
      </c>
      <c r="Q18" s="509">
        <f>IF(Q17=0,0,(IF(($B$16+$C$16+$D$16)&lt;=25000,(($D$16/+$AH$17)*Q17)*VLOOKUP('1. SUMMARY'!$C$20,rate,Sheet1!T$21,0),((IF(($B$16+$C$16)&gt;=25000,0,((25000-($B$16+$C$16))/+R17)*$AG$17)*VLOOKUP('1. SUMMARY'!$C$20,rate,Sheet1!T$21,0))))))</f>
        <v>0</v>
      </c>
      <c r="R18" s="509">
        <f>IF(R17=0,0,(IF(($B$16+$C$16+$D$16)&lt;=25000,(($D$16/+$AH$17)*R17)*VLOOKUP('1. SUMMARY'!$C$20,rate,Sheet1!U$21,0),((IF(($B$16+$C$16)&gt;=25000,0,((25000-($B$16+$C$16))/+AH17)*$R$17)*VLOOKUP('1. SUMMARY'!$C$20,rate,Sheet1!U$21,0))))))</f>
        <v>0</v>
      </c>
      <c r="S18" s="509">
        <f>IF(S17=0,0,(IF(($B$16+$C$16+$D$16)&lt;=25000,(($D$16/+$AH$17)*S17)*VLOOKUP('1. SUMMARY'!$C$20,rate,Sheet1!V$21,0),((IF(($B$16+$C$16)&gt;=25000,0,((25000-($B$16+$C$16))/+AH17)*$S$17)*VLOOKUP('1. SUMMARY'!$C$20,rate,Sheet1!V$21,0))))))</f>
        <v>0</v>
      </c>
      <c r="T18" s="509">
        <f>IF(T17=0,0,(IF(($B$16+$C$16+$D$16)&lt;=25000,(($D$16/+$AH$17)*T17)*VLOOKUP('1. SUMMARY'!$C$20,rate,Sheet1!W$21,0),((IF(($B$16+$C$16)&gt;=25000,0,((25000-($B$16+$C$16))/+AH17)*$T$17)*VLOOKUP('1. SUMMARY'!$C$20,rate,Sheet1!W$21,0))))))</f>
        <v>0</v>
      </c>
      <c r="U18" s="509">
        <f>IF(U17=0,0,(IF(($B$16+$C$16+$D$16)&lt;=25000,(($D$16/+$AH$17)*U17)*VLOOKUP('1. SUMMARY'!$C$20,rate,Sheet1!X$21,0),((IF(($B$16+$C$16)&gt;=25000,0,((25000-($B$16+$C$16))/+AH17)*$U$17)*VLOOKUP('1. SUMMARY'!$C$20,rate,Sheet1!X$21,0))))))</f>
        <v>0</v>
      </c>
      <c r="V18" s="509">
        <f>IF(V17=0,0,(IF(($B$16+$C$16+$D$16)&lt;=25000,(($D$16/+$AH$17)*V17)*VLOOKUP('1. SUMMARY'!$C$20,rate,Sheet1!Y$21,0),((IF(($B$16+$C$16)&gt;=25000,0,((25000-($B$16+$C$16))/+AH17)*$V$17)*VLOOKUP('1. SUMMARY'!$C$20,rate,Sheet1!Y$21,0))))))</f>
        <v>0</v>
      </c>
      <c r="W18" s="509">
        <f>IF(W17=0,0,(IF(($B$16+$C$16+$D$16)&lt;=25000,(($D$16/+$AH$17)*W17)*VLOOKUP('1. SUMMARY'!$C$20,rate,Sheet1!Z$21,0),((IF(($B$16+$C$16)&gt;=25000,0,((25000-($B$16+$C$16))/+AH17)*$W$17)*VLOOKUP('1. SUMMARY'!$C$20,rate,Sheet1!Z$21,0))))))</f>
        <v>0</v>
      </c>
      <c r="X18" s="509">
        <f>IF(X17=0,0,(IF(($B$16+$C$16+$D$16)&lt;=25000,(($D$16/+$AH$17)*X17)*VLOOKUP('1. SUMMARY'!$C$20,rate,Sheet1!AA$21,0),((IF(($B$16+$C$16)&gt;=25000,0,((25000-($B$16+$C$16))/+AH17)*$X$17)*VLOOKUP('1. SUMMARY'!$C$20,rate,Sheet1!AA$21,0))))))</f>
        <v>0</v>
      </c>
      <c r="Y18" s="509">
        <f>IF(Y17=0,0,(IF(($B$16+$C$16+$D$16)&lt;=25000,(($D$16/+$AH$17)*Y17)*VLOOKUP('1. SUMMARY'!$C$20,rate,Sheet1!AB$21,0),((IF(($B$16+$C$16)&gt;=25000,0,((25000-($B$16+$C$16))/+AH17)*$Y$17)*VLOOKUP('1. SUMMARY'!$C$20,rate,Sheet1!AB$21,0))))))</f>
        <v>0</v>
      </c>
      <c r="Z18" s="509">
        <f>IF(Z17=0,0,(IF(($B$16+$C$16+$D$16)&lt;=25000,(($D$16/+$AH$17)*Z17)*VLOOKUP('1. SUMMARY'!$C$20,rate,Sheet1!AC$21,0),((IF(($B$16+$C$16)&gt;=25000,0,((25000-($B$16+$C$16))/+AH17)*$Z$17)*VLOOKUP('1. SUMMARY'!$C$20,rate,Sheet1!AC$21,0))))))</f>
        <v>0</v>
      </c>
      <c r="AA18" s="509">
        <f>IF(AA17=0,0,(IF(($B$16+$C$16+$D$16)&lt;=25000,(($D$16/+$AH$17)*AA17)*VLOOKUP('1. SUMMARY'!$C$20,rate,Sheet1!AD$21,0),((IF(($B$16+$C$16)&gt;=25000,0,((25000-($B$16+$C$16))/+AH17)*$AA$17)*VLOOKUP('1. SUMMARY'!$C$20,rate,Sheet1!AD$21,0))))))</f>
        <v>0</v>
      </c>
      <c r="AB18" s="509">
        <f>IF(AB17=0,0,(IF(($B$16+$C$16+$D$16)&lt;=25000,(($D$16/+$AH$17)*AB17)*VLOOKUP('1. SUMMARY'!$C$20,rate,Sheet1!AE$21,0),((IF(($B$16+$C$16)&gt;=25000,0,((25000-($B$16+$C$16))/+AH17)*$AB$17)*VLOOKUP('1. SUMMARY'!$C$20,rate,Sheet1!AE$21,0))))))</f>
        <v>0</v>
      </c>
      <c r="AC18" s="509">
        <f>IF(AC17=0,0,(IF(($B$16+$C$16+$D$16)&lt;=25000,(($D$16/+$AH$17)*AC17)*VLOOKUP('1. SUMMARY'!$C$20,rate,Sheet1!AF$21,0),((IF(($B$16+$C$16)&gt;=25000,0,((25000-($B$16+$C$16))/+AH17)*$AC$17)*VLOOKUP('1. SUMMARY'!$C$20,rate,Sheet1!AF$21,0))))))</f>
        <v>0</v>
      </c>
      <c r="AD18" s="509">
        <f>IF(AD17=0,0,(IF(($B$16+$C$16+$D$16)&lt;=25000,(($D$16/+$AH$17)*AD17)*VLOOKUP('1. SUMMARY'!$C$20,rate,Sheet1!AG$21,0),((IF(($B$16+$C$16)&gt;=25000,0,((25000-($B$16+$C$16))/+AH17)*$AD$17)*VLOOKUP('1. SUMMARY'!$C$20,rate,Sheet1!AG$21,0))))))</f>
        <v>0</v>
      </c>
      <c r="AE18" s="509">
        <f>IF(AE17=0,0,(IF(($B$16+$C$16+$D$16)&lt;=25000,(($D$16/+$AH$17)*AE17)*VLOOKUP('1. SUMMARY'!$C$20,rate,Sheet1!AH$21,0),((IF(($B$16+$C$16)&gt;=25000,0,((25000-($B$16+$C$16))/+AH17)*$AE$17)*VLOOKUP('1. SUMMARY'!$C$20,rate,Sheet1!AH$21,0))))))</f>
        <v>0</v>
      </c>
      <c r="AF18" s="509">
        <f>IF(AF17=0,0,(IF(($B$16+$C$16+$D$16)&lt;=25000,(($D$16/+$AH$17)*AF17)*VLOOKUP('1. SUMMARY'!$C$20,rate,Sheet1!AI$21,0),((IF(($B$16+$C$16)&gt;=25000,0,((25000-($B$16+$C$16))/+AH17)*$AF$17)*VLOOKUP('1. SUMMARY'!$C$20,rate,Sheet1!AI$21,0))))))</f>
        <v>0</v>
      </c>
      <c r="AG18" s="509">
        <f>IF(AG17=0,0,(IF(($B$16+$C$16+$D$16)&lt;=25000,(($D$16/+$AH$17)*AG17)*VLOOKUP('1. SUMMARY'!$C$20,rate,Sheet1!AJ$21,0),((IF(($B$16+$C$16)&gt;=25000,0,((25000-($B$16+$C$16))/+AH17)*$AG$17)*VLOOKUP('1. SUMMARY'!$C$20,rate,Sheet1!AJ$21,0))))))</f>
        <v>0</v>
      </c>
      <c r="AH18" s="219">
        <f>SUM(Q18:AG18)</f>
        <v>0</v>
      </c>
      <c r="AI18" s="401">
        <f>IF(Q17=0,0,((+$D16/$AZ$17)*AI17)*VLOOKUP('1. SUMMARY'!$C$20,rate,Sheet1!T$21,0))</f>
        <v>0</v>
      </c>
      <c r="AJ18" s="401">
        <f>IF(R17=0,0,((+$D16/$AZ$17)*AJ17)*VLOOKUP('1. SUMMARY'!$C$20,rate,Sheet1!U$21,0))</f>
        <v>0</v>
      </c>
      <c r="AK18" s="401">
        <f>IF(S17=0,0,((+$D16/$AZ$17)*AK17)*VLOOKUP('1. SUMMARY'!$C$20,rate,Sheet1!V$21,0))</f>
        <v>0</v>
      </c>
      <c r="AL18" s="401">
        <f>IF(T17=0,0,((+$D16/$AZ$17)*AL17)*VLOOKUP('1. SUMMARY'!$C$20,rate,Sheet1!W$21,0))</f>
        <v>0</v>
      </c>
      <c r="AM18" s="401">
        <f>IF(U17=0,0,((+$D16/$AZ$17)*AM17)*VLOOKUP('1. SUMMARY'!$C$20,rate,Sheet1!X$21,0))</f>
        <v>0</v>
      </c>
      <c r="AN18" s="401">
        <f>IF(V17=0,0,((+$D16/$AZ$17)*AN17)*VLOOKUP('1. SUMMARY'!$C$20,rate,Sheet1!Y$21,0))</f>
        <v>0</v>
      </c>
      <c r="AO18" s="401">
        <f>IF(W17=0,0,((+$D16/$AZ$17)*AO17)*VLOOKUP('1. SUMMARY'!$C$20,rate,Sheet1!Z$21,0))</f>
        <v>0</v>
      </c>
      <c r="AP18" s="401">
        <f>IF(X17=0,0,((+$D16/$AZ$17)*AP17)*VLOOKUP('1. SUMMARY'!$C$20,rate,Sheet1!AA$21,0))</f>
        <v>0</v>
      </c>
      <c r="AQ18" s="401">
        <f>IF(Y17=0,0,((+$D16/$AZ$17)*AQ17)*VLOOKUP('1. SUMMARY'!$C$20,rate,Sheet1!AB$21,0))</f>
        <v>0</v>
      </c>
      <c r="AR18" s="401">
        <f>IF(Z17=0,0,((+$D16/$AZ$17)*AR17)*VLOOKUP('1. SUMMARY'!$C$20,rate,Sheet1!AC$21,0))</f>
        <v>0</v>
      </c>
      <c r="AS18" s="401">
        <f>IF(AA17=0,0,((+$D16/$AZ$17)*AS17)*VLOOKUP('1. SUMMARY'!$C$20,rate,Sheet1!AD$21,0))</f>
        <v>0</v>
      </c>
      <c r="AT18" s="401">
        <f>IF(AB17=0,0,((+$D16/$AZ$17)*AT17)*VLOOKUP('1. SUMMARY'!$C$20,rate,Sheet1!AE$21,0))</f>
        <v>0</v>
      </c>
      <c r="AU18" s="401">
        <f>IF(AC17=0,0,((+$D16/$AZ$17)*AU17)*VLOOKUP('1. SUMMARY'!$C$20,rate,Sheet1!AF$21,0))</f>
        <v>0</v>
      </c>
      <c r="AV18" s="401">
        <f>IF(AD17=0,0,((+$D16/$AZ$17)*AV17)*VLOOKUP('1. SUMMARY'!$C$20,rate,Sheet1!AG$21,0))</f>
        <v>0</v>
      </c>
      <c r="AW18" s="401">
        <f>IF(AE17=0,0,((+$D16/$AZ$17)*AW17)*VLOOKUP('1. SUMMARY'!$C$20,rate,Sheet1!AH$21,0))</f>
        <v>0</v>
      </c>
      <c r="AX18" s="401">
        <f>IF(AF17=0,0,((+$D16/$AZ$17)*AX17)*VLOOKUP('1. SUMMARY'!$C$20,rate,Sheet1!AI$21,0))</f>
        <v>0</v>
      </c>
      <c r="AY18" s="401">
        <f>IF(AG17=0,0,((+$D16/$AZ$17)*AY17)*VLOOKUP('1. SUMMARY'!$C$20,rate,Sheet1!AJ$21,0))</f>
        <v>0</v>
      </c>
      <c r="AZ18" s="219">
        <f>SUM(AI18:AY18)</f>
        <v>0</v>
      </c>
    </row>
    <row r="19" spans="1:52" ht="12.75" customHeight="1">
      <c r="A19" s="216"/>
      <c r="B19" s="234"/>
      <c r="C19" s="234"/>
      <c r="D19" s="234"/>
      <c r="E19" s="234"/>
      <c r="F19" s="234"/>
      <c r="G19" s="234"/>
      <c r="H19" s="234"/>
      <c r="I19" s="234"/>
      <c r="J19" s="234"/>
      <c r="K19" s="234"/>
      <c r="L19" s="235"/>
      <c r="P19" s="207">
        <f t="shared" si="2"/>
        <v>1</v>
      </c>
      <c r="Q19" s="401">
        <f>+Q18/VLOOKUP('1. SUMMARY'!$C$20,rate,Sheet1!T$21,0)</f>
        <v>0</v>
      </c>
      <c r="R19" s="401">
        <f>+R18/VLOOKUP('1. SUMMARY'!$C$20,rate,Sheet1!U$21,0)</f>
        <v>0</v>
      </c>
      <c r="S19" s="401">
        <f>+S18/VLOOKUP('1. SUMMARY'!$C$20,rate,Sheet1!V$21,0)</f>
        <v>0</v>
      </c>
      <c r="T19" s="401">
        <f>+T18/VLOOKUP('1. SUMMARY'!$C$20,rate,Sheet1!W$21,0)</f>
        <v>0</v>
      </c>
      <c r="U19" s="401">
        <f>+U18/VLOOKUP('1. SUMMARY'!$C$20,rate,Sheet1!X$21,0)</f>
        <v>0</v>
      </c>
      <c r="V19" s="401">
        <f>+V18/VLOOKUP('1. SUMMARY'!$C$20,rate,Sheet1!Y$21,0)</f>
        <v>0</v>
      </c>
      <c r="W19" s="401">
        <f>+W18/VLOOKUP('1. SUMMARY'!$C$20,rate,Sheet1!Z$21,0)</f>
        <v>0</v>
      </c>
      <c r="X19" s="401">
        <f>+X18/VLOOKUP('1. SUMMARY'!$C$20,rate,Sheet1!AA$21,0)</f>
        <v>0</v>
      </c>
      <c r="Y19" s="401">
        <f>+Y18/VLOOKUP('1. SUMMARY'!$C$20,rate,Sheet1!AB$21,0)</f>
        <v>0</v>
      </c>
      <c r="Z19" s="401">
        <f>+Z18/VLOOKUP('1. SUMMARY'!$C$20,rate,Sheet1!AC$21,0)</f>
        <v>0</v>
      </c>
      <c r="AA19" s="401">
        <f>+AA18/VLOOKUP('1. SUMMARY'!$C$20,rate,Sheet1!AD$21,0)</f>
        <v>0</v>
      </c>
      <c r="AB19" s="401">
        <f>+AB18/VLOOKUP('1. SUMMARY'!$C$20,rate,Sheet1!AE$21,0)</f>
        <v>0</v>
      </c>
      <c r="AC19" s="401">
        <f>+AC18/VLOOKUP('1. SUMMARY'!$C$20,rate,Sheet1!AF$21,0)</f>
        <v>0</v>
      </c>
      <c r="AD19" s="401">
        <f>+AD18/VLOOKUP('1. SUMMARY'!$C$20,rate,Sheet1!AG$21,0)</f>
        <v>0</v>
      </c>
      <c r="AE19" s="401">
        <f>+AE18/VLOOKUP('1. SUMMARY'!$C$20,rate,Sheet1!AH$21,0)</f>
        <v>0</v>
      </c>
      <c r="AF19" s="401">
        <f>+AF18/VLOOKUP('1. SUMMARY'!$C$20,rate,Sheet1!AI$21,0)</f>
        <v>0</v>
      </c>
      <c r="AG19" s="401">
        <f>+AG18/VLOOKUP('1. SUMMARY'!$C$20,rate,Sheet1!AJ$21,0)</f>
        <v>0</v>
      </c>
      <c r="AH19" s="219"/>
      <c r="AI19" s="401">
        <v>0</v>
      </c>
      <c r="AJ19" s="401">
        <v>0</v>
      </c>
      <c r="AK19" s="401">
        <v>0</v>
      </c>
      <c r="AL19" s="401">
        <v>0</v>
      </c>
      <c r="AM19" s="401">
        <v>0</v>
      </c>
      <c r="AN19" s="401">
        <v>0</v>
      </c>
      <c r="AO19" s="401">
        <v>0</v>
      </c>
      <c r="AP19" s="401">
        <v>0</v>
      </c>
      <c r="AQ19" s="401"/>
      <c r="AR19" s="401"/>
      <c r="AS19" s="401"/>
      <c r="AT19" s="401"/>
      <c r="AU19" s="401"/>
      <c r="AV19" s="401"/>
      <c r="AW19" s="401"/>
      <c r="AX19" s="401"/>
      <c r="AY19" s="401"/>
      <c r="AZ19" s="219"/>
    </row>
    <row r="20" spans="1:52" ht="12.75" customHeight="1" thickBot="1">
      <c r="A20" s="236" t="s">
        <v>154</v>
      </c>
      <c r="B20" s="237">
        <f>SUM(B16:B18)</f>
        <v>0</v>
      </c>
      <c r="C20" s="237" t="str">
        <f>IF(C10="No Year 2","",SUM(C16:C18))</f>
        <v/>
      </c>
      <c r="D20" s="237" t="str">
        <f>IF(D10="No Year 3","",SUM(D16:D18))</f>
        <v/>
      </c>
      <c r="E20" s="237" t="str">
        <f>IF(E10="No Year 4","",SUM(E16:E18))</f>
        <v/>
      </c>
      <c r="F20" s="237" t="str">
        <f>IF(F10="No Year 5","",SUM(F16:F18))</f>
        <v/>
      </c>
      <c r="G20" s="237" t="str">
        <f>IF(G10="No Year 6","",SUM(G16:G18))</f>
        <v/>
      </c>
      <c r="H20" s="237" t="str">
        <f>IF(H10="No Year 7","",SUM(H16:H18))</f>
        <v/>
      </c>
      <c r="I20" s="237" t="str">
        <f>IF(I10="No Year 8","",SUM(I16:I18))</f>
        <v/>
      </c>
      <c r="J20" s="237" t="str">
        <f>IF(J10="No Year 9","",SUM(J16:J18))</f>
        <v/>
      </c>
      <c r="K20" s="237" t="str">
        <f>IF(K10="No Year 10","",SUM(K16:K18))</f>
        <v/>
      </c>
      <c r="L20" s="238">
        <f>SUM(B20:K20)</f>
        <v>0</v>
      </c>
      <c r="N20" s="86">
        <f>IF(L20&gt;0,1,0)</f>
        <v>0</v>
      </c>
      <c r="P20" s="207">
        <f t="shared" si="2"/>
        <v>1</v>
      </c>
      <c r="Q20" s="405">
        <f>Sheet1!$T$8</f>
        <v>44105</v>
      </c>
      <c r="R20" s="405">
        <f>Sheet1!$U$8</f>
        <v>44470</v>
      </c>
      <c r="S20" s="405">
        <f>Sheet1!$V$8</f>
        <v>44835</v>
      </c>
      <c r="T20" s="405">
        <f>Sheet1!$W$8</f>
        <v>45200</v>
      </c>
      <c r="U20" s="405">
        <f>Sheet1!$X$8</f>
        <v>45566</v>
      </c>
      <c r="V20" s="405">
        <f>Sheet1!$Y$8</f>
        <v>45931</v>
      </c>
      <c r="W20" s="405">
        <f>Sheet1!$Z$8</f>
        <v>46296</v>
      </c>
      <c r="X20" s="405">
        <f>Sheet1!$AA$8</f>
        <v>46661</v>
      </c>
      <c r="Y20" s="405">
        <f>Sheet1!$AB$8</f>
        <v>47027</v>
      </c>
      <c r="Z20" s="405">
        <f>Sheet1!$AC$8</f>
        <v>47392</v>
      </c>
      <c r="AA20" s="405">
        <f>$AA$5</f>
        <v>47757</v>
      </c>
      <c r="AB20" s="405">
        <f>$AB$5</f>
        <v>48122</v>
      </c>
      <c r="AC20" s="405">
        <f>$AC$5</f>
        <v>48488</v>
      </c>
      <c r="AD20" s="405">
        <f>$AD$5</f>
        <v>48853</v>
      </c>
      <c r="AE20" s="405">
        <f>$AE$5</f>
        <v>49218</v>
      </c>
      <c r="AF20" s="405">
        <f>$AF$5</f>
        <v>49583</v>
      </c>
      <c r="AG20" s="405">
        <f>$AG$5</f>
        <v>49949</v>
      </c>
      <c r="AH20" s="211"/>
      <c r="AI20" s="405">
        <f t="shared" ref="AI20:AR22" si="8">+Q20</f>
        <v>44105</v>
      </c>
      <c r="AJ20" s="405">
        <f t="shared" si="8"/>
        <v>44470</v>
      </c>
      <c r="AK20" s="405">
        <f t="shared" si="8"/>
        <v>44835</v>
      </c>
      <c r="AL20" s="405">
        <f t="shared" si="8"/>
        <v>45200</v>
      </c>
      <c r="AM20" s="405">
        <f t="shared" si="8"/>
        <v>45566</v>
      </c>
      <c r="AN20" s="405">
        <f t="shared" si="8"/>
        <v>45931</v>
      </c>
      <c r="AO20" s="405">
        <f t="shared" si="8"/>
        <v>46296</v>
      </c>
      <c r="AP20" s="405">
        <f t="shared" si="8"/>
        <v>46661</v>
      </c>
      <c r="AQ20" s="405">
        <f t="shared" si="8"/>
        <v>47027</v>
      </c>
      <c r="AR20" s="405">
        <f t="shared" si="8"/>
        <v>47392</v>
      </c>
      <c r="AS20" s="405">
        <f t="shared" ref="AS20:AY22" si="9">+AA20</f>
        <v>47757</v>
      </c>
      <c r="AT20" s="405">
        <f t="shared" si="9"/>
        <v>48122</v>
      </c>
      <c r="AU20" s="405">
        <f t="shared" si="9"/>
        <v>48488</v>
      </c>
      <c r="AV20" s="405">
        <f t="shared" si="9"/>
        <v>48853</v>
      </c>
      <c r="AW20" s="405">
        <f t="shared" si="9"/>
        <v>49218</v>
      </c>
      <c r="AX20" s="405">
        <f t="shared" si="9"/>
        <v>49583</v>
      </c>
      <c r="AY20" s="405">
        <f t="shared" si="9"/>
        <v>49949</v>
      </c>
      <c r="AZ20" s="211"/>
    </row>
    <row r="21" spans="1:52" ht="12.75" customHeight="1" thickTop="1">
      <c r="P21" s="207">
        <f t="shared" si="2"/>
        <v>1</v>
      </c>
      <c r="Q21" s="405">
        <f>Sheet1!$T$9</f>
        <v>44469</v>
      </c>
      <c r="R21" s="405">
        <f>Sheet1!$U$9</f>
        <v>44834</v>
      </c>
      <c r="S21" s="405">
        <f>Sheet1!$V$9</f>
        <v>45199</v>
      </c>
      <c r="T21" s="405">
        <f>Sheet1!$W$9</f>
        <v>45565</v>
      </c>
      <c r="U21" s="405">
        <f>Sheet1!$X$9</f>
        <v>45930</v>
      </c>
      <c r="V21" s="405">
        <f>Sheet1!$Y$9</f>
        <v>46295</v>
      </c>
      <c r="W21" s="405">
        <f>Sheet1!$Z$9</f>
        <v>46660</v>
      </c>
      <c r="X21" s="405">
        <f>Sheet1!$AA$9</f>
        <v>47026</v>
      </c>
      <c r="Y21" s="405">
        <f>Sheet1!$AB$9</f>
        <v>47391</v>
      </c>
      <c r="Z21" s="405">
        <f>Sheet1!$AC$9</f>
        <v>47756</v>
      </c>
      <c r="AA21" s="405">
        <f>$AA$6</f>
        <v>48121</v>
      </c>
      <c r="AB21" s="405">
        <f>$AB$6</f>
        <v>48487</v>
      </c>
      <c r="AC21" s="405">
        <f>$AC$6</f>
        <v>48852</v>
      </c>
      <c r="AD21" s="405">
        <f>$AD$6</f>
        <v>49217</v>
      </c>
      <c r="AE21" s="405">
        <f>$AE$6</f>
        <v>49582</v>
      </c>
      <c r="AF21" s="405">
        <f>$AF$6</f>
        <v>49948</v>
      </c>
      <c r="AG21" s="405">
        <f>$AG$6</f>
        <v>50313</v>
      </c>
      <c r="AH21" s="211"/>
      <c r="AI21" s="405">
        <f t="shared" si="8"/>
        <v>44469</v>
      </c>
      <c r="AJ21" s="405">
        <f t="shared" si="8"/>
        <v>44834</v>
      </c>
      <c r="AK21" s="405">
        <f t="shared" si="8"/>
        <v>45199</v>
      </c>
      <c r="AL21" s="405">
        <f t="shared" si="8"/>
        <v>45565</v>
      </c>
      <c r="AM21" s="405">
        <f t="shared" si="8"/>
        <v>45930</v>
      </c>
      <c r="AN21" s="405">
        <f t="shared" si="8"/>
        <v>46295</v>
      </c>
      <c r="AO21" s="405">
        <f t="shared" si="8"/>
        <v>46660</v>
      </c>
      <c r="AP21" s="405">
        <f t="shared" si="8"/>
        <v>47026</v>
      </c>
      <c r="AQ21" s="405">
        <f t="shared" si="8"/>
        <v>47391</v>
      </c>
      <c r="AR21" s="405">
        <f t="shared" si="8"/>
        <v>47756</v>
      </c>
      <c r="AS21" s="405">
        <f t="shared" si="9"/>
        <v>48121</v>
      </c>
      <c r="AT21" s="405">
        <f t="shared" si="9"/>
        <v>48487</v>
      </c>
      <c r="AU21" s="405">
        <f t="shared" si="9"/>
        <v>48852</v>
      </c>
      <c r="AV21" s="405">
        <f t="shared" si="9"/>
        <v>49217</v>
      </c>
      <c r="AW21" s="405">
        <f t="shared" si="9"/>
        <v>49582</v>
      </c>
      <c r="AX21" s="405">
        <f t="shared" si="9"/>
        <v>49948</v>
      </c>
      <c r="AY21" s="405">
        <f t="shared" si="9"/>
        <v>50313</v>
      </c>
      <c r="AZ21" s="211"/>
    </row>
    <row r="22" spans="1:52" ht="12.75" customHeight="1" thickBot="1">
      <c r="P22" s="207">
        <f t="shared" si="2"/>
        <v>1</v>
      </c>
      <c r="Q22" s="406">
        <f>IF(IF(Q21&lt;E10,0,DATEDIF(E10,Q21+1,"m"))&lt;0,0,IF(Q21&lt;E10,0,DATEDIF(E10,Q21+1,"m")))</f>
        <v>0</v>
      </c>
      <c r="R22" s="406">
        <f>IF(IF(Q22=12,0,IF(R21&gt;E11,12-DATEDIF(E11,R21+1,"m"),IF(R21&lt;E10,0,DATEDIF(E10,R21+1,"m"))))&lt;0,0,IF(Q22=12,0,IF(R21&gt;E11,12-DATEDIF(E11,R21+1,"m"),IF(R21&lt;E10,0,DATEDIF(E10,R21+1,"m")))))</f>
        <v>0</v>
      </c>
      <c r="S22" s="406">
        <f>IF(IF(Q22+R22=12,0,IF(S21&gt;E11,12-DATEDIF(E11,S21+1,"m"),IF(S21&lt;E10,0,DATEDIF(E10,S21+1,"m"))))&lt;0,0,IF(Q22+R22=12,0,IF(S21&gt;E11,12-DATEDIF(E11,S21+1,"m"),IF(S21&lt;E10,0,DATEDIF(E10,S21+1,"m")))))</f>
        <v>0</v>
      </c>
      <c r="T22" s="406">
        <f>IF(IF(R22+S22+Q22=12,0,IF(T21&gt;E11,12-DATEDIF(E11,T21+1,"m"),IF(T21&lt;E10,0,DATEDIF(E10,T21+1,"m"))))&lt;0,0,IF(R22+S22+Q22=12,0,IF(T21&gt;E11,12-DATEDIF(E11,T21+1,"m"),IF(T21&lt;E10,0,DATEDIF(E10,T21+1,"m")))))</f>
        <v>0</v>
      </c>
      <c r="U22" s="406">
        <f>IF(IF(S22+T22+R22+Q22=12,0,IF(U21&gt;$E$11,12-DATEDIF($E$11,U21+1,"m"),IF(U21&lt;$E$10,0,DATEDIF($E$10,U21+1,"m"))))&lt;0,0,IF(S22+T22+R22+Q22=12,0,IF(U21&gt;$E$11,12-DATEDIF($E$11,U21+1,"m"),IF(U21&lt;$E$10,0,DATEDIF($E$10,U21+1,"m")))))</f>
        <v>0</v>
      </c>
      <c r="V22" s="406">
        <f>IF(IF(T22+U22+S22+R22+Q22=12,0,IF(V21&gt;$E$11,12-DATEDIF($E$11,V21+1,"m"),IF(V21&lt;$E$10,0,DATEDIF($E$10,V21+1,"m"))))&lt;0,0,IF(T22+U22+S22+R22+Q22=12,0,IF(V21&gt;$E$11,12-DATEDIF($E$11,V21+1,"m"),IF(V21&lt;$E$10,0,DATEDIF($E$10,V21+1,"m")))))</f>
        <v>0</v>
      </c>
      <c r="W22" s="406">
        <f>IF(IF(U22+V22+T22+S22+R22+Q22=12,0,IF(W21&gt;$E$11,12-DATEDIF($E$11,W21+1,"m"),IF(W21&lt;$E$10,0,DATEDIF($E$10,W21+1,"m"))))&lt;0,0,IF(U22+V22+T22+S22+R22+Q22=12,0,IF(W21&gt;$E$11,12-DATEDIF($E$11,W21+1,"m"),IF(W21&lt;$E$10,0,DATEDIF($E$10,W21+1,"m")))))</f>
        <v>0</v>
      </c>
      <c r="X22" s="406">
        <f>IF(IF(V22+W22+U22+T22+S22+R22+Q22=12,0,IF(X21&gt;$E$11,12-DATEDIF($E$11,X21+1,"m"),IF(X21&lt;$E$10,0,DATEDIF($E$10,X21+1,"m"))))&lt;0,0,IF(V22+W22+U22+T22+S22+R22+Q22=12,0,IF(X21&gt;$E$11,12-DATEDIF($E$11,X21+1,"m"),IF(X21&lt;$E$10,0,DATEDIF($E$10,X21+1,"m")))))</f>
        <v>0</v>
      </c>
      <c r="Y22" s="406">
        <f>IF(IF(+Q22+W22+X22+V22+U22+T22+S22+R22=12,0,IF(Y21&gt;$E$11,12-DATEDIF($E$11,Y21+1,"m"),IF(Y21&lt;$E$10,0,DATEDIF($E$10,Y21+1,"m"))))&lt;0,0,IF(Q22+W22+X22+V22+U22+T22+S22+R22=12,0,IF(Y21&gt;$E$11,12-DATEDIF($E$11,Y21+1,"m"),IF(Y21&lt;$E$10,0,DATEDIF($E$10,Y21+1,"m")))))</f>
        <v>0</v>
      </c>
      <c r="Z22" s="406">
        <f>IF(IF(Q22+R22+X22+Y22+W22+V22+U22+T22+S22=12,0,IF(Z21&gt;$E$11,12-DATEDIF($E$11,Z21+1,"m"),IF(Z21&lt;$E$10,0,DATEDIF($E$10,Z21+1,"m"))))&lt;0,0,IF(Q22+R22+X22+Y22+W22+V22+U22+T22+S22=12,0,IF(Z21&gt;$E$11,12-DATEDIF($E$11,Z21+1,"m"),IF(Z21&lt;$E$10,0,DATEDIF($E$10,Z21+1,"m")))))</f>
        <v>0</v>
      </c>
      <c r="AA22" s="406">
        <f>IF(IF(+Q22+R22+S22+Y22+Z22+X22+W22+V22+U22+T22=12,0,IF(AA21&gt;$E$11,12-DATEDIF($E$11,AA21+1,"m"),IF(AA21&lt;$E$10,0,DATEDIF($E$10,AA21+1,"m"))))&lt;0,0,IF(Q22+R22+S22+Y22+Z22+X22+W22+V22+U22+T22=12,0,IF(AA21&gt;$E$11,12-DATEDIF($E$11,AA21+1,"m"),IF(AA21&lt;$E$10,0,DATEDIF($E$10,AA21+1,"m")))))</f>
        <v>0</v>
      </c>
      <c r="AB22" s="406">
        <f>IF(IF(Q22+R22+S22+T22+Z22+AA22+Y22+X22+W22+V22+U22=12,0,IF(AB21&gt;$E$11,12-DATEDIF($E$11,AB21+1,"m"),IF(AB21&lt;$E$10,0,DATEDIF($E$10,AB21+1,"m"))))&lt;0,0,IF(Q22+R22+S22+T22+Z22+AA22+Y22+X22+W22+V22+U22=12,0,IF(AB21&gt;$E$11,12-DATEDIF($E$11,AB21+1,"m"),IF(AB21&lt;$E$10,0,DATEDIF($E$10,AB21+1,"m")))))</f>
        <v>0</v>
      </c>
      <c r="AC22" s="406">
        <f>IF(IF(+Q22+R22+S22+T22+U22+AA22+AB22+Z22+Y22+X22+W22+V22=12,0,IF(AC21&gt;$E$11,12-DATEDIF($E$11,AC21+1,"m"),IF(AC21&lt;$E$10,0,DATEDIF($E$10,AC21+1,"m"))))&lt;0,0,IF(Q22+R22+S22+T22+U22+AA22+AB22+Z22+Y22+X22+W22+V22=12,0,IF(AC21&gt;$E$11,12-DATEDIF($E$11,AC21+1,"m"),IF(AC21&lt;$E$10,0,DATEDIF($E$10,AC21+1,"m")))))</f>
        <v>0</v>
      </c>
      <c r="AD22" s="406">
        <f>IF(IF(Q22+R22+S22+T22+U22+V22+AB22+AC22+AA22+Z22+Y22+X22+W22=12,0,IF(AD21&gt;$E$11,12-DATEDIF($E$11,AD21+1,"m"),IF(AD21&lt;$E$10,0,DATEDIF($E$10,AD21+1,"m"))))&lt;0,0,IF(Q22+R22+S22+T22+U22+V22+AB22+AC22+AA22+Z22+Y22+X22+W22=12,0,IF(AD21&gt;$E$11,12-DATEDIF($E$11,AD21+1,"m"),IF(AD21&lt;$E$10,0,DATEDIF($E$10,AD21+1,"m")))))</f>
        <v>0</v>
      </c>
      <c r="AE22" s="406">
        <f>IF(IF(+Q22+R22+S22+T22+U22+V22+W22+AC22+AD22+AB22+AA22+Z22+Y22+X22=12,0,IF(AE21&gt;$E$11,12-DATEDIF($E$11,AE21+1,"m"),IF(AE21&lt;$E$10,0,DATEDIF($E$10,AE21+1,"m"))))&lt;0,0,IF(Q22+R22+S22+T22+U22+V22+W22+AC22+AD22+AB22+AA22+Z22+Y22+X22=12,0,IF(AE21&gt;$E$11,12-DATEDIF($E$11,AE21+1,"m"),IF(AE21&lt;$E$10,0,DATEDIF($E$10,AE21+1,"m")))))</f>
        <v>0</v>
      </c>
      <c r="AF22" s="406">
        <f>IF(IF(Q22+R22+S22+T22+U22+V22+W22+X22+AD22+AE22+AC22+AB22+AA22+Z22+Y22=12,0,IF(AF21&gt;$E$11,12-DATEDIF($E$11,AF21+1,"m"),IF(AF21&lt;$E$10,0,DATEDIF($E$10,AF21+1,"m"))))&lt;0,0,IF(Q22+R22+S22+T22+U22+V22+W22+X22+AD22+AE22+AC22+AB22+AA22+Z22+Y22=12,0,IF(AF21&gt;$E$11,12-DATEDIF($E$11,AF21+1,"m"),IF(AF21&lt;$E$10,0,DATEDIF($E$10,AF21+1,"m")))))</f>
        <v>0</v>
      </c>
      <c r="AG22" s="406">
        <f>IF(IF(Q22+R22+S22+T22+U22+V22+W22+X22+Y22+AE22+AF22+AD22+AC22+AB22+AA22+Z22=12,0,IF(AG21&gt;$E$11,12-DATEDIF($E$11,AG21+1,"m"),IF(AG21&lt;$E$10,0,DATEDIF($E$10,AG21+1,"m"))))&lt;0,0,IF(Q22+R22+S22+T22+U22+V22+W22+X22+Y22+AE22+AF22+AD22+AC22+AB22+AA22+Z22=12,0,IF(AG21&gt;$E$11,12-DATEDIF($E$11,AG21+1,"m"),IF(AG21&lt;$E$10,0,DATEDIF($E$10,AG21+1,"m")))))</f>
        <v>0</v>
      </c>
      <c r="AH22" s="211">
        <f>SUM(Q22:AG22)</f>
        <v>0</v>
      </c>
      <c r="AI22" s="406">
        <f t="shared" si="8"/>
        <v>0</v>
      </c>
      <c r="AJ22" s="406">
        <f t="shared" si="8"/>
        <v>0</v>
      </c>
      <c r="AK22" s="406">
        <f t="shared" si="8"/>
        <v>0</v>
      </c>
      <c r="AL22" s="406">
        <f t="shared" si="8"/>
        <v>0</v>
      </c>
      <c r="AM22" s="406">
        <f t="shared" si="8"/>
        <v>0</v>
      </c>
      <c r="AN22" s="406">
        <f t="shared" si="8"/>
        <v>0</v>
      </c>
      <c r="AO22" s="406">
        <f t="shared" si="8"/>
        <v>0</v>
      </c>
      <c r="AP22" s="406">
        <f t="shared" si="8"/>
        <v>0</v>
      </c>
      <c r="AQ22" s="406">
        <f t="shared" si="8"/>
        <v>0</v>
      </c>
      <c r="AR22" s="406">
        <f t="shared" si="8"/>
        <v>0</v>
      </c>
      <c r="AS22" s="406">
        <f t="shared" si="9"/>
        <v>0</v>
      </c>
      <c r="AT22" s="406">
        <f t="shared" si="9"/>
        <v>0</v>
      </c>
      <c r="AU22" s="406">
        <f t="shared" si="9"/>
        <v>0</v>
      </c>
      <c r="AV22" s="406">
        <f t="shared" si="9"/>
        <v>0</v>
      </c>
      <c r="AW22" s="406">
        <f t="shared" si="9"/>
        <v>0</v>
      </c>
      <c r="AX22" s="406">
        <f t="shared" si="9"/>
        <v>0</v>
      </c>
      <c r="AY22" s="406">
        <f t="shared" si="9"/>
        <v>0</v>
      </c>
      <c r="AZ22" s="211">
        <f>SUM(AI22:AY22)</f>
        <v>0</v>
      </c>
    </row>
    <row r="23" spans="1:52" ht="12.75" customHeight="1" thickTop="1">
      <c r="A23" s="212" t="s">
        <v>155</v>
      </c>
      <c r="B23" s="213"/>
      <c r="C23" s="213"/>
      <c r="D23" s="213"/>
      <c r="E23" s="213"/>
      <c r="F23" s="213"/>
      <c r="G23" s="213"/>
      <c r="H23" s="213"/>
      <c r="I23" s="213"/>
      <c r="J23" s="213"/>
      <c r="K23" s="213"/>
      <c r="L23" s="214"/>
      <c r="P23" s="207">
        <f t="shared" si="2"/>
        <v>1</v>
      </c>
      <c r="Q23" s="407">
        <f>IF(Q22=0,0,(IF(($C$16+$B$16+$D$16+$E$16)&lt;=25000,(($E$16/+$AH$22)*Q22)*VLOOKUP('1. SUMMARY'!$C$20,rate,Sheet1!T$21,0),((IF(($B$16+$C$16+$D$16)&gt;=25000,0,(((25000-($B$16+$C$16+$D$16))/+$AH$22)*Q22)*VLOOKUP('1. SUMMARY'!$C$20,rate,Sheet1!T$21,0)))))))</f>
        <v>0</v>
      </c>
      <c r="R23" s="407">
        <f>IF(R22=0,0,(IF(($C$16+$B$16+$D$16+$E$16)&lt;=25000,(($E$16/+$AH$22)*R22)*VLOOKUP('1. SUMMARY'!$C$20,rate,Sheet1!U$21,0),((IF(($B$16+$C$16+$D$16)&gt;=25000,0,(((25000-($B$16+$C$16+$D$16))/+$AH$22)*R22)*VLOOKUP('1. SUMMARY'!$C$20,rate,Sheet1!U$21,0)))))))</f>
        <v>0</v>
      </c>
      <c r="S23" s="407">
        <f>IF(S22=0,0,(IF(($C$16+$B$16+$D$16+$E$16)&lt;=25000,(($E$16/+$AH$22)*S22)*VLOOKUP('1. SUMMARY'!$C$20,rate,Sheet1!V$21,0),((IF(($B$16+$C$16+$D$16)&gt;=25000,0,(((25000-($B$16+$C$16+$D$16))/+$AH$22)*S22)*VLOOKUP('1. SUMMARY'!$C$20,rate,Sheet1!V$21,0)))))))</f>
        <v>0</v>
      </c>
      <c r="T23" s="407">
        <f>IF(T22=0,0,(IF(($C$16+$B$16+$D$16+$E$16)&lt;=25000,(($E$16/+$AH$22)*T22)*VLOOKUP('1. SUMMARY'!$C$20,rate,Sheet1!W$21,0),((IF(($B$16+$C$16+$D$16)&gt;=25000,0,(((25000-($B$16+$C$16+$D$16))/+$AH$22)*T22)*VLOOKUP('1. SUMMARY'!$C$20,rate,Sheet1!W$21,0)))))))</f>
        <v>0</v>
      </c>
      <c r="U23" s="407">
        <f>IF(U22=0,0,(IF(($C$16+$B$16+$D$16+$E$16)&lt;=25000,(($E$16/+$AH$22)*U22)*VLOOKUP('1. SUMMARY'!$C$20,rate,Sheet1!X$21,0),((IF(($B$16+$C$16+$D$16)&gt;=25000,0,(((25000-($B$16+$C$16+$D$16))/+$AH$22)*U22)*VLOOKUP('1. SUMMARY'!$C$20,rate,Sheet1!X$21,0)))))))</f>
        <v>0</v>
      </c>
      <c r="V23" s="407">
        <f>IF(V22=0,0,(IF(($C$16+$B$16+$D$16+$E$16)&lt;=25000,(($E$16/+$AH$22)*V22)*VLOOKUP('1. SUMMARY'!$C$20,rate,Sheet1!Y$21,0),((IF(($B$16+$C$16+$D$16)&gt;=25000,0,(((25000-($B$16+$C$16+$D$16))/+$AH$22)*V22)*VLOOKUP('1. SUMMARY'!$C$20,rate,Sheet1!Y$21,0)))))))</f>
        <v>0</v>
      </c>
      <c r="W23" s="407">
        <f>IF(W22=0,0,(IF(($C$16+$B$16+$D$16+$E$16)&lt;=25000,(($E$16/+$AH$22)*W22)*VLOOKUP('1. SUMMARY'!$C$20,rate,Sheet1!Z$21,0),((IF(($B$16+$C$16+$D$16)&gt;=25000,0,(((25000-($B$16+$C$16+$D$16))/+$AH$22)*W22)*VLOOKUP('1. SUMMARY'!$C$20,rate,Sheet1!Z$21,0)))))))</f>
        <v>0</v>
      </c>
      <c r="X23" s="407">
        <f>IF(X22=0,0,(IF(($C$16+$B$16+$D$16+$E$16)&lt;=25000,(($E$16/+$AH$22)*X22)*VLOOKUP('1. SUMMARY'!$C$20,rate,Sheet1!AA$21,0),((IF(($B$16+$C$16+$D$16)&gt;=25000,0,(((25000-($B$16+$C$16+$D$16))/+$AH$22)*X22)*VLOOKUP('1. SUMMARY'!$C$20,rate,Sheet1!AA$21,0)))))))</f>
        <v>0</v>
      </c>
      <c r="Y23" s="407">
        <f>IF(Y22=0,0,(IF(($C$16+$B$16+$D$16+$E$16)&lt;=25000,(($E$16/+$AH$22)*Y22)*VLOOKUP('1. SUMMARY'!$C$20,rate,Sheet1!AB$21,0),((IF(($B$16+$C$16+$D$16)&gt;=25000,0,(((25000-($B$16+$C$16+$D$16))/+$AH$22)*Y22)*VLOOKUP('1. SUMMARY'!$C$20,rate,Sheet1!AB$21,0)))))))</f>
        <v>0</v>
      </c>
      <c r="Z23" s="407">
        <f>IF(Z22=0,0,(IF(($C$16+$B$16+$D$16+$E$16)&lt;=25000,(($E$16/+$AH$22)*Z22)*VLOOKUP('1. SUMMARY'!$C$20,rate,Sheet1!AC$21,0),((IF(($B$16+$C$16+$D$16)&gt;=25000,0,(((25000-($B$16+$C$16+$D$16))/+$AH$22)*Z22)*VLOOKUP('1. SUMMARY'!$C$20,rate,Sheet1!AC$21,0)))))))</f>
        <v>0</v>
      </c>
      <c r="AA23" s="407">
        <f>IF(AA22=0,0,(IF(($C$16+$B$16+$D$16+$E$16)&lt;=25000,(($E$16/+$AH$22)*AA22)*VLOOKUP('1. SUMMARY'!$C$20,rate,Sheet1!AD$21,0),((IF(($B$16+$C$16+$D$16)&gt;=25000,0,(((25000-($B$16+$C$16+$D$16))/+$AH$22)*AA22)*VLOOKUP('1. SUMMARY'!$C$20,rate,Sheet1!AD$21,0)))))))</f>
        <v>0</v>
      </c>
      <c r="AB23" s="407">
        <f>IF(AB22=0,0,(IF(($C$16+$B$16+$D$16+$E$16)&lt;=25000,(($E$16/+$AH$22)*AB22)*VLOOKUP('1. SUMMARY'!$C$20,rate,Sheet1!AE$21,0),((IF(($B$16+$C$16+$D$16)&gt;=25000,0,(((25000-($B$16+$C$16+$D$16))/+$AH$22)*AB22)*VLOOKUP('1. SUMMARY'!$C$20,rate,Sheet1!AE$21,0)))))))</f>
        <v>0</v>
      </c>
      <c r="AC23" s="407">
        <f>IF(AC22=0,0,(IF(($C$16+$B$16+$D$16+$E$16)&lt;=25000,(($E$16/+$AH$22)*AC22)*VLOOKUP('1. SUMMARY'!$C$20,rate,Sheet1!AF$21,0),((IF(($B$16+$C$16+$D$16)&gt;=25000,0,(((25000-($B$16+$C$16+$D$16))/+$AH$22)*AC22)*VLOOKUP('1. SUMMARY'!$C$20,rate,Sheet1!AF$21,0)))))))</f>
        <v>0</v>
      </c>
      <c r="AD23" s="407">
        <f>IF(AD22=0,0,(IF(($C$16+$B$16+$D$16+$E$16)&lt;=25000,(($E$16/+$AH$22)*AD22)*VLOOKUP('1. SUMMARY'!$C$20,rate,Sheet1!AG$21,0),((IF(($B$16+$C$16+$D$16)&gt;=25000,0,(((25000-($B$16+$C$16+$D$16))/+$AH$22)*AD22)*VLOOKUP('1. SUMMARY'!$C$20,rate,Sheet1!AG$21,0)))))))</f>
        <v>0</v>
      </c>
      <c r="AE23" s="407">
        <f>IF(AE22=0,0,(IF(($C$16+$B$16+$D$16+$E$16)&lt;=25000,(($E$16/+$AH$22)*AE22)*VLOOKUP('1. SUMMARY'!$C$20,rate,Sheet1!AH$21,0),((IF(($B$16+$C$16+$D$16)&gt;=25000,0,(((25000-($B$16+$C$16+$D$16))/+$AH$22)*AE22)*VLOOKUP('1. SUMMARY'!$C$20,rate,Sheet1!AH$21,0)))))))</f>
        <v>0</v>
      </c>
      <c r="AF23" s="407">
        <f>IF(AF22=0,0,(IF(($C$16+$B$16+$D$16+$E$16)&lt;=25000,(($E$16/+$AH$22)*AF22)*VLOOKUP('1. SUMMARY'!$C$20,rate,Sheet1!AI$21,0),((IF(($B$16+$C$16+$D$16)&gt;=25000,0,(((25000-($B$16+$C$16+$D$16))/+$AH$22)*AF22)*VLOOKUP('1. SUMMARY'!$C$20,rate,Sheet1!AI$21,0)))))))</f>
        <v>0</v>
      </c>
      <c r="AG23" s="407">
        <f>IF(AG22=0,0,(IF(($C$16+$B$16+$D$16+$E$16)&lt;=25000,(($E$16/+$AH$22)*AG22)*VLOOKUP('1. SUMMARY'!$C$20,rate,Sheet1!AJ$21,0),((IF(($B$16+$C$16+$D$16)&gt;=25000,0,(((25000-($B$16+$C$16+$D$16))/+$AH$22)*AG22)*VLOOKUP('1. SUMMARY'!$C$20,rate,Sheet1!AJ$21,0)))))))</f>
        <v>0</v>
      </c>
      <c r="AH23" s="219">
        <f>SUM(Q23:AG23)</f>
        <v>0</v>
      </c>
      <c r="AI23" s="407">
        <f>IF(AI22=0,0,((+$E16/$AZ$22)*AI22)*VLOOKUP('1. SUMMARY'!$C$20,rate,Sheet1!T$21,0))</f>
        <v>0</v>
      </c>
      <c r="AJ23" s="407">
        <f>IF(AJ22=0,0,((+$E16/$AZ$22)*AJ22)*VLOOKUP('1. SUMMARY'!$C$20,rate,Sheet1!U$21,0))</f>
        <v>0</v>
      </c>
      <c r="AK23" s="407">
        <f>IF(AK22=0,0,((+$E16/$AZ$22)*AK22)*VLOOKUP('1. SUMMARY'!$C$20,rate,Sheet1!V$21,0))</f>
        <v>0</v>
      </c>
      <c r="AL23" s="407">
        <f>IF(AL22=0,0,((+$E16/$AZ$22)*AL22)*VLOOKUP('1. SUMMARY'!$C$20,rate,Sheet1!W$21,0))</f>
        <v>0</v>
      </c>
      <c r="AM23" s="407">
        <f>IF(AM22=0,0,((+$E16/$AZ$22)*AM22)*VLOOKUP('1. SUMMARY'!$C$20,rate,Sheet1!X$21,0))</f>
        <v>0</v>
      </c>
      <c r="AN23" s="407">
        <f>IF(AN22=0,0,((+$E16/$AZ$22)*AN22)*VLOOKUP('1. SUMMARY'!$C$20,rate,Sheet1!Y$21,0))</f>
        <v>0</v>
      </c>
      <c r="AO23" s="407">
        <f>IF(AO22=0,0,((+$E16/$AZ$22)*AO22)*VLOOKUP('1. SUMMARY'!$C$20,rate,Sheet1!Z$21,0))</f>
        <v>0</v>
      </c>
      <c r="AP23" s="407">
        <f>IF(AP22=0,0,((+$E16/$AZ$22)*AP22)*VLOOKUP('1. SUMMARY'!$C$20,rate,Sheet1!AA$21,0))</f>
        <v>0</v>
      </c>
      <c r="AQ23" s="407">
        <f>IF(AQ22=0,0,((+$E16/$AZ$22)*AQ22)*VLOOKUP('1. SUMMARY'!$C$20,rate,Sheet1!AB$21,0))</f>
        <v>0</v>
      </c>
      <c r="AR23" s="407">
        <f>IF(AR22=0,0,((+$E16/$AZ$22)*AR22)*VLOOKUP('1. SUMMARY'!$C$20,rate,Sheet1!AC$21,0))</f>
        <v>0</v>
      </c>
      <c r="AS23" s="407">
        <f>IF(AS22=0,0,((+$E16/$AZ$22)*AS22)*VLOOKUP('1. SUMMARY'!$C$20,rate,Sheet1!AD$21,0))</f>
        <v>0</v>
      </c>
      <c r="AT23" s="407">
        <f>IF(AT22=0,0,((+$E16/$AZ$22)*AT22)*VLOOKUP('1. SUMMARY'!$C$20,rate,Sheet1!AE$21,0))</f>
        <v>0</v>
      </c>
      <c r="AU23" s="407">
        <f>IF(AU22=0,0,((+$E16/$AZ$22)*AU22)*VLOOKUP('1. SUMMARY'!$C$20,rate,Sheet1!AF$21,0))</f>
        <v>0</v>
      </c>
      <c r="AV23" s="407">
        <f>IF(AV22=0,0,((+$E16/$AZ$22)*AV22)*VLOOKUP('1. SUMMARY'!$C$20,rate,Sheet1!AG$21,0))</f>
        <v>0</v>
      </c>
      <c r="AW23" s="407">
        <f>IF(AW22=0,0,((+$E16/$AZ$22)*AW22)*VLOOKUP('1. SUMMARY'!$C$20,rate,Sheet1!AH$21,0))</f>
        <v>0</v>
      </c>
      <c r="AX23" s="407">
        <f>IF(AX22=0,0,((+$E16/$AZ$22)*AX22)*VLOOKUP('1. SUMMARY'!$C$20,rate,Sheet1!AI$21,0))</f>
        <v>0</v>
      </c>
      <c r="AY23" s="407">
        <f>IF(AY22=0,0,((+$E16/$AZ$22)*AY22)*VLOOKUP('1. SUMMARY'!$C$20,rate,Sheet1!AJ$21,0))</f>
        <v>0</v>
      </c>
      <c r="AZ23" s="219">
        <f>SUM(AI23:AY23)</f>
        <v>0</v>
      </c>
    </row>
    <row r="24" spans="1:52" ht="23.25" customHeight="1">
      <c r="A24" s="215" t="s">
        <v>149</v>
      </c>
      <c r="B24" s="575"/>
      <c r="C24" s="575"/>
      <c r="D24" s="575"/>
      <c r="E24" s="575"/>
      <c r="F24" s="575"/>
      <c r="G24" s="575"/>
      <c r="H24" s="575"/>
      <c r="I24" s="575"/>
      <c r="J24" s="575"/>
      <c r="K24" s="575"/>
      <c r="L24" s="576"/>
      <c r="P24" s="207">
        <f t="shared" si="2"/>
        <v>1</v>
      </c>
      <c r="Q24" s="407">
        <f>+Q23/VLOOKUP('1. SUMMARY'!$C$20,rate,Sheet1!T$21,0)</f>
        <v>0</v>
      </c>
      <c r="R24" s="407">
        <f>+R23/VLOOKUP('1. SUMMARY'!$C$20,rate,Sheet1!U$21,0)</f>
        <v>0</v>
      </c>
      <c r="S24" s="407">
        <f>+S23/VLOOKUP('1. SUMMARY'!$C$20,rate,Sheet1!V$21,0)</f>
        <v>0</v>
      </c>
      <c r="T24" s="407">
        <f>+T23/VLOOKUP('1. SUMMARY'!$C$20,rate,Sheet1!W$21,0)</f>
        <v>0</v>
      </c>
      <c r="U24" s="407">
        <f>+U23/VLOOKUP('1. SUMMARY'!$C$20,rate,Sheet1!X$21,0)</f>
        <v>0</v>
      </c>
      <c r="V24" s="407">
        <f>+V23/VLOOKUP('1. SUMMARY'!$C$20,rate,Sheet1!Y$21,0)</f>
        <v>0</v>
      </c>
      <c r="W24" s="407">
        <f>+W23/VLOOKUP('1. SUMMARY'!$C$20,rate,Sheet1!Z$21,0)</f>
        <v>0</v>
      </c>
      <c r="X24" s="407">
        <f>+X23/VLOOKUP('1. SUMMARY'!$C$20,rate,Sheet1!AA$21,0)</f>
        <v>0</v>
      </c>
      <c r="Y24" s="407">
        <f>+Y23/VLOOKUP('1. SUMMARY'!$C$20,rate,Sheet1!AB$21,0)</f>
        <v>0</v>
      </c>
      <c r="Z24" s="407">
        <f>+Z23/VLOOKUP('1. SUMMARY'!$C$20,rate,Sheet1!AC$21,0)</f>
        <v>0</v>
      </c>
      <c r="AA24" s="407">
        <f>+AA23/VLOOKUP('1. SUMMARY'!$C$20,rate,Sheet1!AD$21,0)</f>
        <v>0</v>
      </c>
      <c r="AB24" s="407">
        <f>+AB23/VLOOKUP('1. SUMMARY'!$C$20,rate,Sheet1!AE$21,0)</f>
        <v>0</v>
      </c>
      <c r="AC24" s="407">
        <f>+AC23/VLOOKUP('1. SUMMARY'!$C$20,rate,Sheet1!AF$21,0)</f>
        <v>0</v>
      </c>
      <c r="AD24" s="407">
        <f>+AD23/VLOOKUP('1. SUMMARY'!$C$20,rate,Sheet1!AG$21,0)</f>
        <v>0</v>
      </c>
      <c r="AE24" s="407">
        <f>+AE23/VLOOKUP('1. SUMMARY'!$C$20,rate,Sheet1!AH$21,0)</f>
        <v>0</v>
      </c>
      <c r="AF24" s="407">
        <f>+AF23/VLOOKUP('1. SUMMARY'!$C$20,rate,Sheet1!AI$21,0)</f>
        <v>0</v>
      </c>
      <c r="AG24" s="407">
        <f>+AG23/VLOOKUP('1. SUMMARY'!$C$20,rate,Sheet1!AJ$21,0)</f>
        <v>0</v>
      </c>
      <c r="AH24" s="219"/>
      <c r="AI24" s="407">
        <v>0</v>
      </c>
      <c r="AJ24" s="407">
        <v>0</v>
      </c>
      <c r="AK24" s="407">
        <v>0</v>
      </c>
      <c r="AL24" s="407">
        <v>0</v>
      </c>
      <c r="AM24" s="407">
        <v>0</v>
      </c>
      <c r="AN24" s="407">
        <v>0</v>
      </c>
      <c r="AO24" s="407">
        <v>0</v>
      </c>
      <c r="AP24" s="407">
        <v>0</v>
      </c>
      <c r="AQ24" s="407"/>
      <c r="AR24" s="407"/>
      <c r="AS24" s="407"/>
      <c r="AT24" s="407"/>
      <c r="AU24" s="407"/>
      <c r="AV24" s="407"/>
      <c r="AW24" s="407"/>
      <c r="AX24" s="407"/>
      <c r="AY24" s="407"/>
      <c r="AZ24" s="219"/>
    </row>
    <row r="25" spans="1:52" ht="12.75" customHeight="1">
      <c r="A25" s="216"/>
      <c r="B25" s="217"/>
      <c r="C25" s="217"/>
      <c r="D25" s="217"/>
      <c r="E25" s="217"/>
      <c r="F25" s="217"/>
      <c r="G25" s="217"/>
      <c r="H25" s="217"/>
      <c r="I25" s="217"/>
      <c r="J25" s="217"/>
      <c r="K25" s="217"/>
      <c r="L25" s="218"/>
      <c r="P25" s="207">
        <f t="shared" si="2"/>
        <v>1</v>
      </c>
      <c r="Q25" s="408">
        <f>Sheet1!$T$8</f>
        <v>44105</v>
      </c>
      <c r="R25" s="408">
        <f>Sheet1!$U$8</f>
        <v>44470</v>
      </c>
      <c r="S25" s="408">
        <f>Sheet1!$V$8</f>
        <v>44835</v>
      </c>
      <c r="T25" s="408">
        <f>Sheet1!$W$8</f>
        <v>45200</v>
      </c>
      <c r="U25" s="408">
        <f>Sheet1!$X$8</f>
        <v>45566</v>
      </c>
      <c r="V25" s="408">
        <f>Sheet1!$Y$8</f>
        <v>45931</v>
      </c>
      <c r="W25" s="408">
        <f>Sheet1!$Z$8</f>
        <v>46296</v>
      </c>
      <c r="X25" s="408">
        <f>Sheet1!$AA$8</f>
        <v>46661</v>
      </c>
      <c r="Y25" s="408">
        <f>Sheet1!$AB$8</f>
        <v>47027</v>
      </c>
      <c r="Z25" s="408">
        <f>Sheet1!$AC$8</f>
        <v>47392</v>
      </c>
      <c r="AA25" s="408">
        <f>$AA$5</f>
        <v>47757</v>
      </c>
      <c r="AB25" s="408">
        <f>$AB$5</f>
        <v>48122</v>
      </c>
      <c r="AC25" s="408">
        <f>$AC$5</f>
        <v>48488</v>
      </c>
      <c r="AD25" s="408">
        <f>$AD$5</f>
        <v>48853</v>
      </c>
      <c r="AE25" s="408">
        <f>$AE$5</f>
        <v>49218</v>
      </c>
      <c r="AF25" s="408">
        <f>$AF$5</f>
        <v>49583</v>
      </c>
      <c r="AG25" s="408">
        <f>$AG$5</f>
        <v>49949</v>
      </c>
      <c r="AH25" s="211"/>
      <c r="AI25" s="408">
        <f t="shared" ref="AI25:AR27" si="10">+Q25</f>
        <v>44105</v>
      </c>
      <c r="AJ25" s="408">
        <f t="shared" si="10"/>
        <v>44470</v>
      </c>
      <c r="AK25" s="408">
        <f t="shared" si="10"/>
        <v>44835</v>
      </c>
      <c r="AL25" s="408">
        <f t="shared" si="10"/>
        <v>45200</v>
      </c>
      <c r="AM25" s="408">
        <f t="shared" si="10"/>
        <v>45566</v>
      </c>
      <c r="AN25" s="408">
        <f t="shared" si="10"/>
        <v>45931</v>
      </c>
      <c r="AO25" s="408">
        <f t="shared" si="10"/>
        <v>46296</v>
      </c>
      <c r="AP25" s="408">
        <f t="shared" si="10"/>
        <v>46661</v>
      </c>
      <c r="AQ25" s="408">
        <f t="shared" si="10"/>
        <v>47027</v>
      </c>
      <c r="AR25" s="408">
        <f t="shared" si="10"/>
        <v>47392</v>
      </c>
      <c r="AS25" s="408">
        <f t="shared" ref="AS25:AY27" si="11">+AA25</f>
        <v>47757</v>
      </c>
      <c r="AT25" s="408">
        <f t="shared" si="11"/>
        <v>48122</v>
      </c>
      <c r="AU25" s="408">
        <f t="shared" si="11"/>
        <v>48488</v>
      </c>
      <c r="AV25" s="408">
        <f t="shared" si="11"/>
        <v>48853</v>
      </c>
      <c r="AW25" s="408">
        <f t="shared" si="11"/>
        <v>49218</v>
      </c>
      <c r="AX25" s="408">
        <f t="shared" si="11"/>
        <v>49583</v>
      </c>
      <c r="AY25" s="408">
        <f t="shared" si="11"/>
        <v>49949</v>
      </c>
      <c r="AZ25" s="211"/>
    </row>
    <row r="26" spans="1:52" ht="12.75" customHeight="1">
      <c r="A26" s="216"/>
      <c r="B26" s="175" t="s">
        <v>81</v>
      </c>
      <c r="C26" s="175" t="s">
        <v>82</v>
      </c>
      <c r="D26" s="175" t="s">
        <v>83</v>
      </c>
      <c r="E26" s="175" t="s">
        <v>84</v>
      </c>
      <c r="F26" s="175" t="s">
        <v>85</v>
      </c>
      <c r="G26" s="175" t="s">
        <v>86</v>
      </c>
      <c r="H26" s="175" t="s">
        <v>87</v>
      </c>
      <c r="I26" s="175" t="s">
        <v>224</v>
      </c>
      <c r="J26" s="175" t="s">
        <v>225</v>
      </c>
      <c r="K26" s="175" t="s">
        <v>226</v>
      </c>
      <c r="L26" s="220" t="s">
        <v>47</v>
      </c>
      <c r="P26" s="207">
        <f t="shared" si="2"/>
        <v>1</v>
      </c>
      <c r="Q26" s="408">
        <f>Sheet1!$T$9</f>
        <v>44469</v>
      </c>
      <c r="R26" s="408">
        <f>Sheet1!$U$9</f>
        <v>44834</v>
      </c>
      <c r="S26" s="408">
        <f>Sheet1!$V$9</f>
        <v>45199</v>
      </c>
      <c r="T26" s="408">
        <f>Sheet1!$W$9</f>
        <v>45565</v>
      </c>
      <c r="U26" s="408">
        <f>Sheet1!$X$9</f>
        <v>45930</v>
      </c>
      <c r="V26" s="408">
        <f>Sheet1!$Y$9</f>
        <v>46295</v>
      </c>
      <c r="W26" s="408">
        <f>Sheet1!$Z$9</f>
        <v>46660</v>
      </c>
      <c r="X26" s="408">
        <f>Sheet1!$AA$9</f>
        <v>47026</v>
      </c>
      <c r="Y26" s="408">
        <f>Sheet1!$AB$9</f>
        <v>47391</v>
      </c>
      <c r="Z26" s="408">
        <f>Sheet1!$AC$9</f>
        <v>47756</v>
      </c>
      <c r="AA26" s="408">
        <f>$AA$6</f>
        <v>48121</v>
      </c>
      <c r="AB26" s="408">
        <f>$AB$6</f>
        <v>48487</v>
      </c>
      <c r="AC26" s="408">
        <f>$AC$6</f>
        <v>48852</v>
      </c>
      <c r="AD26" s="408">
        <f>$AD$6</f>
        <v>49217</v>
      </c>
      <c r="AE26" s="408">
        <f>$AE$6</f>
        <v>49582</v>
      </c>
      <c r="AF26" s="408">
        <f>$AF$6</f>
        <v>49948</v>
      </c>
      <c r="AG26" s="408">
        <f>$AG$6</f>
        <v>50313</v>
      </c>
      <c r="AH26" s="211"/>
      <c r="AI26" s="408">
        <f t="shared" si="10"/>
        <v>44469</v>
      </c>
      <c r="AJ26" s="408">
        <f t="shared" si="10"/>
        <v>44834</v>
      </c>
      <c r="AK26" s="408">
        <f t="shared" si="10"/>
        <v>45199</v>
      </c>
      <c r="AL26" s="408">
        <f t="shared" si="10"/>
        <v>45565</v>
      </c>
      <c r="AM26" s="408">
        <f t="shared" si="10"/>
        <v>45930</v>
      </c>
      <c r="AN26" s="408">
        <f t="shared" si="10"/>
        <v>46295</v>
      </c>
      <c r="AO26" s="408">
        <f t="shared" si="10"/>
        <v>46660</v>
      </c>
      <c r="AP26" s="408">
        <f t="shared" si="10"/>
        <v>47026</v>
      </c>
      <c r="AQ26" s="408">
        <f t="shared" si="10"/>
        <v>47391</v>
      </c>
      <c r="AR26" s="408">
        <f t="shared" si="10"/>
        <v>47756</v>
      </c>
      <c r="AS26" s="408">
        <f t="shared" si="11"/>
        <v>48121</v>
      </c>
      <c r="AT26" s="408">
        <f t="shared" si="11"/>
        <v>48487</v>
      </c>
      <c r="AU26" s="408">
        <f t="shared" si="11"/>
        <v>48852</v>
      </c>
      <c r="AV26" s="408">
        <f t="shared" si="11"/>
        <v>49217</v>
      </c>
      <c r="AW26" s="408">
        <f t="shared" si="11"/>
        <v>49582</v>
      </c>
      <c r="AX26" s="408">
        <f t="shared" si="11"/>
        <v>49948</v>
      </c>
      <c r="AY26" s="408">
        <f t="shared" si="11"/>
        <v>50313</v>
      </c>
      <c r="AZ26" s="211"/>
    </row>
    <row r="27" spans="1:52" ht="12.75" customHeight="1">
      <c r="A27" s="221"/>
      <c r="B27" s="222">
        <f>'1. SUMMARY'!C17</f>
        <v>0</v>
      </c>
      <c r="C27" s="222" t="str">
        <f>IF(+B28+1&gt;'1. SUMMARY'!$C$18,"No "&amp;C26,+B28+1)</f>
        <v>No Year 2</v>
      </c>
      <c r="D27" s="222" t="str">
        <f>IF(C27="No "&amp;C26,"No "&amp;D26,IF(+C28+1&gt;'1. SUMMARY'!$C$18,"No "&amp;D26,+C28+1))</f>
        <v>No Year 3</v>
      </c>
      <c r="E27" s="222" t="str">
        <f>IF(D27="No "&amp;D26,"No "&amp;E26,IF(+D28+1&gt;'1. SUMMARY'!$C$18,"No "&amp;E26,+D28+1))</f>
        <v>No Year 4</v>
      </c>
      <c r="F27" s="222" t="str">
        <f>IF(E27="No "&amp;E26,"No "&amp;F26,IF(+E28+1&gt;'1. SUMMARY'!$C$18,"No "&amp;F26,+E28+1))</f>
        <v>No Year 5</v>
      </c>
      <c r="G27" s="222" t="str">
        <f>IF(F27="No "&amp;F26,"No "&amp;G26,IF(+F28+1&gt;'1. SUMMARY'!$C$18,"No "&amp;G26,+F28+1))</f>
        <v>No Year 6</v>
      </c>
      <c r="H27" s="222" t="str">
        <f>IF(G27="No "&amp;G26,"No "&amp;H26,IF(+G28+1&gt;'1. SUMMARY'!$C$18,"No "&amp;H26,+G28+1))</f>
        <v>No Year 7</v>
      </c>
      <c r="I27" s="222" t="str">
        <f>IF(H27="No "&amp;H26,"No "&amp;I26,IF(+H28+1&gt;'1. SUMMARY'!$C$18,"No "&amp;I26,+H28+1))</f>
        <v>No Year 8</v>
      </c>
      <c r="J27" s="222" t="str">
        <f>IF(I27="No "&amp;I26,"No "&amp;J26,IF(+I28+1&gt;'1. SUMMARY'!$C$18,"No "&amp;J26,+I28+1))</f>
        <v>No Year 9</v>
      </c>
      <c r="K27" s="222" t="str">
        <f>IF(J27="No "&amp;J26,"No "&amp;K26,IF(+J28+1&gt;'1. SUMMARY'!$C$18,"No "&amp;K26,+J28+1))</f>
        <v>No Year 10</v>
      </c>
      <c r="L27" s="223"/>
      <c r="O27" s="207">
        <v>5</v>
      </c>
      <c r="P27" s="207">
        <f t="shared" si="2"/>
        <v>1</v>
      </c>
      <c r="Q27" s="409">
        <f>IF(IF(Q26&lt;F10,0,DATEDIF(F10,Q26+1,"m"))&lt;0,0,IF(Q26&lt;F10,0,DATEDIF(F10,Q26+1,"m")))</f>
        <v>0</v>
      </c>
      <c r="R27" s="409">
        <f>IF(IF(Q27=12,0,IF(R26&gt;F11,12-DATEDIF(F11,R26+1,"m"),IF(R26&lt;F10,0,DATEDIF(F10,R26+1,"m"))))&lt;0,0,IF(Q27=12,0,IF(R26&gt;F11,12-DATEDIF(F11,R26+1,"m"),IF(R26&lt;F10,0,DATEDIF(F10,R26+1,"m")))))</f>
        <v>0</v>
      </c>
      <c r="S27" s="409">
        <f>IF(IF(Q27+R27=12,0,IF(S26&gt;F11,12-DATEDIF(F11,S26+1,"m"),IF(S26&lt;F10,0,DATEDIF(F10,S26+1,"m"))))&lt;0,0,IF(Q27+R27=12,0,IF(S26&gt;F11,12-DATEDIF(F11,S26+1,"m"),IF(S26&lt;F10,0,DATEDIF(F10,S26+1,"m")))))</f>
        <v>0</v>
      </c>
      <c r="T27" s="409">
        <f>IF(IF(R27+S27+Q27=12,0,IF(T26&gt;F11,12-DATEDIF(F11,T26+1,"m"),IF(T26&lt;F10,0,DATEDIF(F10,T26+1,"m"))))&lt;0,0,IF(R27+S27+Q27=12,0,IF(T26&gt;F11,12-DATEDIF(F11,T26+1,"m"),IF(T26&lt;F10,0,DATEDIF(F10,T26+1,"m")))))</f>
        <v>0</v>
      </c>
      <c r="U27" s="409">
        <f>IF(IF(S27+T27+R27+Q27=12,0,IF(U26&gt;$F$11,12-DATEDIF($F$11,U26+1,"m"),IF(U26&lt;$F$10,0,DATEDIF($F$10,U26+1,"m"))))&lt;0,0,IF(S27+T27+R27+Q27=12,0,IF(U26&gt;$F$11,12-DATEDIF($F$11,U26+1,"m"),IF(U26&lt;$F$10,0,DATEDIF($F$10,U26+1,"m")))))</f>
        <v>0</v>
      </c>
      <c r="V27" s="409">
        <f>IF(IF(T27+U27+S27+R27+Q27=12,0,IF(V26&gt;$F$11,12-DATEDIF($F$11,V26+1,"m"),IF(V26&lt;$F$10,0,DATEDIF($F$10,V26+1,"m"))))&lt;0,0,IF(T27+U27+S27+R27+Q27=12,0,IF(V26&gt;$F$11,12-DATEDIF($F$11,V26+1,"m"),IF(V26&lt;$F$10,0,DATEDIF($F$10,V26+1,"m")))))</f>
        <v>0</v>
      </c>
      <c r="W27" s="409">
        <f>IF(IF(U27+V27+T27+S27+R27+Q27=12,0,IF(W26&gt;$F$11,12-DATEDIF($F$11,W26+1,"m"),IF(W26&lt;$F$10,0,DATEDIF($F$10,W26+1,"m"))))&lt;0,0,IF(U27+V27+T27+S27+R27+Q27=12,0,IF(W26&gt;$F$11,12-DATEDIF($F$11,W26+1,"m"),IF(W26&lt;$F$10,0,DATEDIF($F$10,W26+1,"m")))))</f>
        <v>0</v>
      </c>
      <c r="X27" s="409">
        <f>IF(IF(V27+W27+U27+T27+S27+R27+Q27=12,0,IF(X26&gt;$F$11,12-DATEDIF($F$11,X26+1,"m"),IF(X26&lt;$F$10,0,DATEDIF($F$10,X26+1,"m"))))&lt;0,0,IF(V27+W27+U27+T27+S27+R27+Q27=12,0,IF(X26&gt;$F$11,12-DATEDIF($F$11,X26+1,"m"),IF(X26&lt;$F$10,0,DATEDIF($F$10,X26+1,"m")))))</f>
        <v>0</v>
      </c>
      <c r="Y27" s="409">
        <f>IF(IF(Q27+W27+X27+V27+U27+T27+S27+R27=12,0,IF(Y26&gt;$F$11,12-DATEDIF($F$11,Y26+1,"m"),IF(Y26&lt;$F$10,0,DATEDIF($F$10,Y26+1,"m"))))&lt;0,0,IF(Q27+W27+X27+V27+U27+T27+S27+R27=12,0,IF(Y26&gt;$F$11,12-DATEDIF($F$11,Y26+1,"m"),IF(Y26&lt;$F$10,0,DATEDIF($F$10,Y26+1,"m")))))</f>
        <v>0</v>
      </c>
      <c r="Z27" s="409">
        <f>IF(IF(Q27+R27+X27+Y27+W27+V27+U27+T27+S27=12,0,IF(Z26&gt;$F$11,12-DATEDIF($F$11,Z26+1,"m"),IF(Z26&lt;$F$10,0,DATEDIF($F$10,Z26+1,"m"))))&lt;0,0,IF(Q27+R27+X27+Y27+W27+V27+U27+T27+S27=12,0,IF(Z26&gt;$F$11,12-DATEDIF($F$11,Z26+1,"m"),IF(Z26&lt;$F$10,0,DATEDIF($F$10,Z26+1,"m")))))</f>
        <v>0</v>
      </c>
      <c r="AA27" s="409">
        <f>IF(IF(Q27+R27+S27+Y27+Z27+X27+W27+V27+U27+T27=12,0,IF(AA26&gt;$F$11,12-DATEDIF($F$11,AA26+1,"m"),IF(AA26&lt;$F$10,0,DATEDIF($F$10,AA26+1,"m"))))&lt;0,0,IF(Q27+R27+S27+Y27+Z27+X27+W27+V27+U27+T27=12,0,IF(AA26&gt;$F$11,12-DATEDIF($F$11,AA26+1,"m"),IF(AA26&lt;$F$10,0,DATEDIF($F$10,AA26+1,"m")))))</f>
        <v>0</v>
      </c>
      <c r="AB27" s="409">
        <f>IF(IF(Q27+R27+S27+T27+Z27+AA27+Y27+X27+W27+V27+U27=12,0,IF(AB26&gt;$F$11,12-DATEDIF($F$11,AB26+1,"m"),IF(AB26&lt;$F$10,0,DATEDIF($F$10,AB26+1,"m"))))&lt;0,0,IF(Q27+R27+S27+T27+Z27+AA27+Y27+X27+W27+V27+U27=12,0,IF(AB26&gt;$F$11,12-DATEDIF($F$11,AB26+1,"m"),IF(AB26&lt;$F$10,0,DATEDIF($F$10,AB26+1,"m")))))</f>
        <v>0</v>
      </c>
      <c r="AC27" s="409">
        <f>IF(IF(Q27+R27+S27+T27+U27+AA27+AB27+Z27+Y27+X27+W27+V27=12,0,IF(AC26&gt;$F$11,12-DATEDIF($F$11,AC26+1,"m"),IF(AC26&lt;$F$10,0,DATEDIF($F$10,AC26+1,"m"))))&lt;0,0,IF(Q27+R27+S27+T27+U27+AA27+AB27+Z27+Y27+X27+W27+V27=12,0,IF(AC26&gt;$F$11,12-DATEDIF($F$11,AC26+1,"m"),IF(AC26&lt;$F$10,0,DATEDIF($F$10,AC26+1,"m")))))</f>
        <v>0</v>
      </c>
      <c r="AD27" s="409">
        <f>IF(IF(Q27+R27+S27+T27+U27+V27+AB27+AC27+AA27+Z27+Y27+X27+W27=12,0,IF(AD26&gt;$F$11,12-DATEDIF($F$11,AD26+1,"m"),IF(AD26&lt;$F$10,0,DATEDIF($F$10,AD26+1,"m"))))&lt;0,0,IF(Q27+R27+S27+T27+U27+V27+AB27+AC27+AA27+Z27+Y27+X27+W27=12,0,IF(AD26&gt;$F$11,12-DATEDIF($F$11,AD26+1,"m"),IF(AD26&lt;$F$10,0,DATEDIF($F$10,AD26+1,"m")))))</f>
        <v>0</v>
      </c>
      <c r="AE27" s="409">
        <f>IF(IF(Q27+R27+S27+T27+U27+V27+W27+AC27+AD27+AB27+AA27+Z27+Y27+X27=12,0,IF(AE26&gt;$F$11,12-DATEDIF($F$11,AE26+1,"m"),IF(AE26&lt;$F$10,0,DATEDIF($F$10,AE26+1,"m"))))&lt;0,0,IF(Q27+R27+S27+T27+U27+V27+W27+AC27+AD27+AB27+AA27+Z27+Y27+X27=12,0,IF(AE26&gt;$F$11,12-DATEDIF($F$11,AE26+1,"m"),IF(AE26&lt;$F$10,0,DATEDIF($F$10,AE26+1,"m")))))</f>
        <v>0</v>
      </c>
      <c r="AF27" s="409">
        <f>IF(IF(Q27+R27+S27+T27+U27+V27+W27+X27+AD27+AE27+AC27+AB27+AA27+Z27+Y27=12,0,IF(AF26&gt;$F$11,12-DATEDIF($F$11,AF26+1,"m"),IF(AF26&lt;$F$10,0,DATEDIF($F$10,AF26+1,"m"))))&lt;0,0,IF(Q27+R27+S27+T27+U27+V27+W27+X27+AD27+AE27+AC27+AB27+AA27+Z27+Y27=12,0,IF(AF26&gt;$F$11,12-DATEDIF($F$11,AF26+1,"m"),IF(AF26&lt;$F$10,0,DATEDIF($F$10,AF26+1,"m")))))</f>
        <v>0</v>
      </c>
      <c r="AG27" s="409">
        <f>IF(IF(Q27+R27+S27+T27+U27+V27+W27+X27+Y27+AE27+AF27+AD27+AC27+AB27+AA27+Z27=12,0,IF(AG26&gt;$F$11,12-DATEDIF($F$11,AG26+1,"m"),IF(AG26&lt;$F$10,0,DATEDIF($F$10,AG26+1,"m"))))&lt;0,0,IF(Q27+R27+S27+T27+U27+V27+W27+X27+Y27+AE27+AF27+AD27+AC27+AB27+AA27+Z27=12,0,IF(AG26&gt;$F$11,12-DATEDIF($F$11,AG26+1,"m"),IF(AG26&lt;$F$10,0,DATEDIF($F$10,AG26+1,"m")))))</f>
        <v>0</v>
      </c>
      <c r="AH27" s="211">
        <f>SUM(Q27:AG27)</f>
        <v>0</v>
      </c>
      <c r="AI27" s="409">
        <f t="shared" si="10"/>
        <v>0</v>
      </c>
      <c r="AJ27" s="409">
        <f t="shared" si="10"/>
        <v>0</v>
      </c>
      <c r="AK27" s="409">
        <f t="shared" si="10"/>
        <v>0</v>
      </c>
      <c r="AL27" s="409">
        <f t="shared" si="10"/>
        <v>0</v>
      </c>
      <c r="AM27" s="409">
        <f t="shared" si="10"/>
        <v>0</v>
      </c>
      <c r="AN27" s="409">
        <f t="shared" si="10"/>
        <v>0</v>
      </c>
      <c r="AO27" s="409">
        <f t="shared" si="10"/>
        <v>0</v>
      </c>
      <c r="AP27" s="409">
        <f t="shared" si="10"/>
        <v>0</v>
      </c>
      <c r="AQ27" s="409">
        <f t="shared" si="10"/>
        <v>0</v>
      </c>
      <c r="AR27" s="409">
        <f t="shared" si="10"/>
        <v>0</v>
      </c>
      <c r="AS27" s="409">
        <f t="shared" si="11"/>
        <v>0</v>
      </c>
      <c r="AT27" s="409">
        <f t="shared" si="11"/>
        <v>0</v>
      </c>
      <c r="AU27" s="409">
        <f t="shared" si="11"/>
        <v>0</v>
      </c>
      <c r="AV27" s="409">
        <f t="shared" si="11"/>
        <v>0</v>
      </c>
      <c r="AW27" s="409">
        <f t="shared" si="11"/>
        <v>0</v>
      </c>
      <c r="AX27" s="409">
        <f t="shared" si="11"/>
        <v>0</v>
      </c>
      <c r="AY27" s="409">
        <f t="shared" si="11"/>
        <v>0</v>
      </c>
      <c r="AZ27" s="211">
        <f>SUM(AI27:AY27)</f>
        <v>0</v>
      </c>
    </row>
    <row r="28" spans="1:52" ht="12.75" customHeight="1">
      <c r="A28" s="221"/>
      <c r="B28" s="224">
        <f>IF((DATE(YEAR(B27), MONTH(B27)+12, DAY(B27)-1))&lt;=('1. SUMMARY'!$C$18),DATE(YEAR(B27), MONTH(B27)+12, DAY(B27)-1),'1. SUMMARY'!$C$18)</f>
        <v>0</v>
      </c>
      <c r="C28" s="224" t="str">
        <f>IF(C27="No "&amp;C26,"No "&amp;C26,IF(B28='1. SUMMARY'!B53,"a",IF((DATE(YEAR(C27),MONTH(C27)+12,DAY(C27)-1))&lt;=('1. SUMMARY'!$C$18),DATE(YEAR(C27),MONTH(C27)+12,DAY(C27)-1),'1. SUMMARY'!$C$18)))</f>
        <v>No Year 2</v>
      </c>
      <c r="D28" s="224" t="str">
        <f>IF(D27="No "&amp;D26,"No "&amp;D26,IF(C28='1. SUMMARY'!C53,"a",IF((DATE(YEAR(D27),MONTH(D27)+12,DAY(D27)-1))&lt;=('1. SUMMARY'!$C$18),DATE(YEAR(D27),MONTH(D27)+12,DAY(D27)-1),'1. SUMMARY'!$C$18)))</f>
        <v>No Year 3</v>
      </c>
      <c r="E28" s="224" t="str">
        <f>IF(E27="No "&amp;E26,"No "&amp;E26,IF(D28='1. SUMMARY'!E53,"a",IF((DATE(YEAR(E27),MONTH(E27)+12,DAY(E27)-1))&lt;=('1. SUMMARY'!$C$18),DATE(YEAR(E27),MONTH(E27)+12,DAY(E27)-1),'1. SUMMARY'!$C$18)))</f>
        <v>No Year 4</v>
      </c>
      <c r="F28" s="224" t="str">
        <f>IF(F27="No "&amp;F26,"No "&amp;F26,IF(E28='1. SUMMARY'!F53,"a",IF((DATE(YEAR(F27),MONTH(F27)+12,DAY(F27)-1))&lt;=('1. SUMMARY'!$C$18),DATE(YEAR(F27),MONTH(F27)+12,DAY(F27)-1),'1. SUMMARY'!$C$18)))</f>
        <v>No Year 5</v>
      </c>
      <c r="G28" s="224" t="str">
        <f>IF(G27="No "&amp;G26,"No "&amp;G26,IF(F28='1. SUMMARY'!G53,"a",IF((DATE(YEAR(G27),MONTH(G27)+12,DAY(G27)-1))&lt;=('1. SUMMARY'!$C$18),DATE(YEAR(G27),MONTH(G27)+12,DAY(G27)-1),'1. SUMMARY'!$C$18)))</f>
        <v>No Year 6</v>
      </c>
      <c r="H28" s="224" t="str">
        <f>IF(H27="No "&amp;H26,"No "&amp;H26,IF(G28='1. SUMMARY'!H53,"a",IF((DATE(YEAR(H27),MONTH(H27)+12,DAY(H27)-1))&lt;=('1. SUMMARY'!$C$18),DATE(YEAR(H27),MONTH(H27)+12,DAY(H27)-1),'1. SUMMARY'!$C$18)))</f>
        <v>No Year 7</v>
      </c>
      <c r="I28" s="224" t="str">
        <f>IF(I27="No "&amp;I26,"No "&amp;I26,IF(H28='1. SUMMARY'!N53,"a",IF((DATE(YEAR(I27),MONTH(I27)+12,DAY(I27)-1))&lt;=('1. SUMMARY'!$C$18),DATE(YEAR(I27),MONTH(I27)+12,DAY(I27)-1),'1. SUMMARY'!$C$18)))</f>
        <v>No Year 8</v>
      </c>
      <c r="J28" s="224" t="str">
        <f>IF(J27="No "&amp;J26,"No "&amp;J26,IF(I28='1. SUMMARY'!O53,"a",IF((DATE(YEAR(J27),MONTH(J27)+12,DAY(J27)-1))&lt;=('1. SUMMARY'!$C$18),DATE(YEAR(J27),MONTH(J27)+12,DAY(J27)-1),'1. SUMMARY'!$C$18)))</f>
        <v>No Year 9</v>
      </c>
      <c r="K28" s="224" t="str">
        <f>IF(K27="No "&amp;K26,"No "&amp;K26,IF(J28='1. SUMMARY'!P51,"a",IF((DATE(YEAR(K27),MONTH(K27)+12,DAY(K27)-1))&lt;=('1. SUMMARY'!$C$18),DATE(YEAR(K27),MONTH(K27)+12,DAY(K27)-1),'1. SUMMARY'!$C$18)))</f>
        <v>No Year 10</v>
      </c>
      <c r="L28" s="218"/>
      <c r="P28" s="207">
        <f t="shared" si="2"/>
        <v>1</v>
      </c>
      <c r="Q28" s="410">
        <f>IF(Q27=0,0,(IF(($C$16+$B$16+$D$16+$E$16+$F$16)&lt;=25000,(($F$16/+$AH27)*Q27)*VLOOKUP('1. SUMMARY'!$C$20,rate,Sheet1!T$21,0),((IF(($B$16+$C$16+$D$16+$E$16)&gt;=25000,0,(((25000-($B$16+$C$16+$D$16+$E$16))/+$AH27)*Q27)*(VLOOKUP('1. SUMMARY'!$C$20,rate,Sheet1!T$21,0))))))))</f>
        <v>0</v>
      </c>
      <c r="R28" s="410">
        <f>IF(R27=0,0,(IF(($C$16+$B$16+$D$16+$E$16+$F$16)&lt;=25000,(($F$16/+$AH27)*R27)*VLOOKUP('1. SUMMARY'!$C$20,rate,Sheet1!U$21,0),((IF(($B$16+$C$16+$D$16+$E$16)&gt;=25000,0,(((25000-($B$16+$C$16+$D$16+$E$16))/+$AH27)*R27)*(VLOOKUP('1. SUMMARY'!$C$20,rate,Sheet1!U$21,0))))))))</f>
        <v>0</v>
      </c>
      <c r="S28" s="410">
        <f>IF(S27=0,0,(IF(($C$16+$B$16+$D$16+$E$16+$F$16)&lt;=25000,(($F$16/+$AH27)*S27)*VLOOKUP('1. SUMMARY'!$C$20,rate,Sheet1!V$21,0),((IF(($B$16+$C$16+$D$16+$E$16)&gt;=25000,0,(((25000-($B$16+$C$16+$D$16+$E$16))/+$AH27)*S27)*(VLOOKUP('1. SUMMARY'!$C$20,rate,Sheet1!V$21,0))))))))</f>
        <v>0</v>
      </c>
      <c r="T28" s="410">
        <f>IF(T27=0,0,(IF(($C$16+$B$16+$D$16+$E$16+$F$16)&lt;=25000,(($F$16/+$AH27)*T27)*VLOOKUP('1. SUMMARY'!$C$20,rate,Sheet1!W$21,0),((IF(($B$16+$C$16+$D$16+$E$16)&gt;=25000,0,(((25000-($B$16+$C$16+$D$16+$E$16))/+$AH27)*T27)*(VLOOKUP('1. SUMMARY'!$C$20,rate,Sheet1!W$21,0))))))))</f>
        <v>0</v>
      </c>
      <c r="U28" s="410">
        <f>IF(U27=0,0,(IF(($C$16+$B$16+$D$16+$E$16+$F$16)&lt;=25000,(($F$16/+$AH27)*U27)*VLOOKUP('1. SUMMARY'!$C$20,rate,Sheet1!X$21,0),((IF(($B$16+$C$16+$D$16+$E$16)&gt;=25000,0,(((25000-($B$16+$C$16+$D$16+$E$16))/+$AH27)*U27)*(VLOOKUP('1. SUMMARY'!$C$20,rate,Sheet1!X$21,0))))))))</f>
        <v>0</v>
      </c>
      <c r="V28" s="410">
        <f>IF(V27=0,0,(IF(($C$16+$B$16+$D$16+$E$16+$F$16)&lt;=25000,(($F$16/+$AH27)*V27)*VLOOKUP('1. SUMMARY'!$C$20,rate,Sheet1!Y$21,0),((IF(($B$16+$C$16+$D$16+$E$16)&gt;=25000,0,(((25000-($B$16+$C$16+$D$16+$E$16))/+$AH27)*V27)*(VLOOKUP('1. SUMMARY'!$C$20,rate,Sheet1!Y$21,0))))))))</f>
        <v>0</v>
      </c>
      <c r="W28" s="410">
        <f>IF(W27=0,0,(IF(($C$16+$B$16+$D$16+$E$16+$F$16)&lt;=25000,(($F$16/+$AH27)*W27)*VLOOKUP('1. SUMMARY'!$C$20,rate,Sheet1!Z$21,0),((IF(($B$16+$C$16+$D$16+$E$16)&gt;=25000,0,(((25000-($B$16+$C$16+$D$16+$E$16))/+$AH27)*W27)*(VLOOKUP('1. SUMMARY'!$C$20,rate,Sheet1!Z$21,0))))))))</f>
        <v>0</v>
      </c>
      <c r="X28" s="410">
        <f>IF(X27=0,0,(IF(($C$16+$B$16+$D$16+$E$16+$F$16)&lt;=25000,(($F$16/+$AH27)*X27)*VLOOKUP('1. SUMMARY'!$C$20,rate,Sheet1!AA$21,0),((IF(($B$16+$C$16+$D$16+$E$16)&gt;=25000,0,(((25000-($B$16+$C$16+$D$16+$E$16))/+$AH27)*X27)*(VLOOKUP('1. SUMMARY'!$C$20,rate,Sheet1!AA$21,0))))))))</f>
        <v>0</v>
      </c>
      <c r="Y28" s="410">
        <f>IF(Y27=0,0,(IF(($C$16+$B$16+$D$16+$E$16+$F$16)&lt;=25000,(($F$16/+$AH27)*Y27)*VLOOKUP('1. SUMMARY'!$C$20,rate,Sheet1!AB$21,0),((IF(($B$16+$C$16+$D$16+$E$16)&gt;=25000,0,(((25000-($B$16+$C$16+$D$16+$E$16))/+$AH27)*Y27)*(VLOOKUP('1. SUMMARY'!$C$20,rate,Sheet1!AB$21,0))))))))</f>
        <v>0</v>
      </c>
      <c r="Z28" s="410">
        <f>IF(Z27=0,0,(IF(($C$16+$B$16+$D$16+$E$16+$F$16)&lt;=25000,(($F$16/+$AH27)*Z27)*VLOOKUP('1. SUMMARY'!$C$20,rate,Sheet1!AC$21,0),((IF(($B$16+$C$16+$D$16+$E$16)&gt;=25000,0,(((25000-($B$16+$C$16+$D$16+$E$16))/+$AH27)*Z27)*(VLOOKUP('1. SUMMARY'!$C$20,rate,Sheet1!AC$21,0))))))))</f>
        <v>0</v>
      </c>
      <c r="AA28" s="410">
        <f>IF(AA27=0,0,(IF(($C$16+$B$16+$D$16+$E$16+$F$16)&lt;=25000,(($F$16/+$AH27)*AA27)*VLOOKUP('1. SUMMARY'!$C$20,rate,Sheet1!AD$21,0),((IF(($B$16+$C$16+$D$16+$E$16)&gt;=25000,0,(((25000-($B$16+$C$16+$D$16+$E$16))/+$AH27)*AA27)*(VLOOKUP('1. SUMMARY'!$C$20,rate,Sheet1!AD$21,0))))))))</f>
        <v>0</v>
      </c>
      <c r="AB28" s="410">
        <f>IF(AB27=0,0,(IF(($C$16+$B$16+$D$16+$E$16+$F$16)&lt;=25000,(($F$16/+$AH27)*AB27)*VLOOKUP('1. SUMMARY'!$C$20,rate,Sheet1!AE$21,0),((IF(($B$16+$C$16+$D$16+$E$16)&gt;=25000,0,(((25000-($B$16+$C$16+$D$16+$E$16))/+$AH27)*AB27)*(VLOOKUP('1. SUMMARY'!$C$20,rate,Sheet1!AE$21,0))))))))</f>
        <v>0</v>
      </c>
      <c r="AC28" s="410">
        <f>IF(AC27=0,0,(IF(($C$16+$B$16+$D$16+$E$16+$F$16)&lt;=25000,(($F$16/+$AH27)*AC27)*VLOOKUP('1. SUMMARY'!$C$20,rate,Sheet1!AF$21,0),((IF(($B$16+$C$16+$D$16+$E$16)&gt;=25000,0,(((25000-($B$16+$C$16+$D$16+$E$16))/+$AH27)*AC27)*(VLOOKUP('1. SUMMARY'!$C$20,rate,Sheet1!AF$21,0))))))))</f>
        <v>0</v>
      </c>
      <c r="AD28" s="410">
        <f>IF(AD27=0,0,(IF(($C$16+$B$16+$D$16+$E$16+$F$16)&lt;=25000,(($F$16/+$AH27)*AD27)*VLOOKUP('1. SUMMARY'!$C$20,rate,Sheet1!AG$21,0),((IF(($B$16+$C$16+$D$16+$E$16)&gt;=25000,0,(((25000-($B$16+$C$16+$D$16+$E$16))/+$AH27)*AD27)*(VLOOKUP('1. SUMMARY'!$C$20,rate,Sheet1!AG$21,0))))))))</f>
        <v>0</v>
      </c>
      <c r="AE28" s="410">
        <f>IF(AE27=0,0,(IF(($C$16+$B$16+$D$16+$E$16+$F$16)&lt;=25000,(($F$16/+$AH27)*AE27)*VLOOKUP('1. SUMMARY'!$C$20,rate,Sheet1!AH$21,0),((IF(($B$16+$C$16+$D$16+$E$16)&gt;=25000,0,(((25000-($B$16+$C$16+$D$16+$E$16))/+$AH27)*AE27)*(VLOOKUP('1. SUMMARY'!$C$20,rate,Sheet1!AH$21,0))))))))</f>
        <v>0</v>
      </c>
      <c r="AF28" s="410">
        <f>IF(AF27=0,0,(IF(($C$16+$B$16+$D$16+$E$16+$F$16)&lt;=25000,(($F$16/+$AH27)*AF27)*VLOOKUP('1. SUMMARY'!$C$20,rate,Sheet1!AI$21,0),((IF(($B$16+$C$16+$D$16+$E$16)&gt;=25000,0,(((25000-($B$16+$C$16+$D$16+$E$16))/+$AH27)*AF27)*(VLOOKUP('1. SUMMARY'!$C$20,rate,Sheet1!AI$21,0))))))))</f>
        <v>0</v>
      </c>
      <c r="AG28" s="410">
        <f>IF(AG27=0,0,(IF(($C$16+$B$16+$D$16+$E$16+$F$16)&lt;=25000,(($F$16/+$AH27)*AG27)*VLOOKUP('1. SUMMARY'!$C$20,rate,Sheet1!AJ$21,0),((IF(($B$16+$C$16+$D$16+$E$16)&gt;=25000,0,(((25000-($B$16+$C$16+$D$16+$E$16))/+$AH27)*AG27)*(VLOOKUP('1. SUMMARY'!$C$20,rate,Sheet1!AJ$21,0))))))))</f>
        <v>0</v>
      </c>
      <c r="AH28" s="219">
        <f>SUM(Q28:AG28)</f>
        <v>0</v>
      </c>
      <c r="AI28" s="410">
        <f>IF(AI27=0,0,((+$F16/$AZ27)*AI27)*VLOOKUP('1. SUMMARY'!$C$20,rate,Sheet1!T$21,0))</f>
        <v>0</v>
      </c>
      <c r="AJ28" s="410">
        <f>IF(AJ27=0,0,((+$F16/$AZ27)*AJ27)*VLOOKUP('1. SUMMARY'!$C$20,rate,Sheet1!U$21,0))</f>
        <v>0</v>
      </c>
      <c r="AK28" s="410">
        <f>IF(AK27=0,0,((+$F16/$AZ27)*AK27)*VLOOKUP('1. SUMMARY'!$C$20,rate,Sheet1!V$21,0))</f>
        <v>0</v>
      </c>
      <c r="AL28" s="410">
        <f>IF(AL27=0,0,((+$F16/$AZ27)*AL27)*VLOOKUP('1. SUMMARY'!$C$20,rate,Sheet1!W$21,0))</f>
        <v>0</v>
      </c>
      <c r="AM28" s="410">
        <f>IF(AM27=0,0,((+$F16/$AZ27)*AM27)*VLOOKUP('1. SUMMARY'!$C$20,rate,Sheet1!X$21,0))</f>
        <v>0</v>
      </c>
      <c r="AN28" s="410">
        <f>IF(AN27=0,0,((+$F16/$AZ27)*AN27)*VLOOKUP('1. SUMMARY'!$C$20,rate,Sheet1!Y$21,0))</f>
        <v>0</v>
      </c>
      <c r="AO28" s="410">
        <f>IF(AO27=0,0,((+$F16/$AZ27)*AO27)*VLOOKUP('1. SUMMARY'!$C$20,rate,Sheet1!Z$21,0))</f>
        <v>0</v>
      </c>
      <c r="AP28" s="410">
        <f>IF(AP27=0,0,((+$F16/$AZ27)*AP27)*VLOOKUP('1. SUMMARY'!$C$20,rate,Sheet1!AA$21,0))</f>
        <v>0</v>
      </c>
      <c r="AQ28" s="410">
        <f>IF(AQ27=0,0,((+$F16/$AZ27)*AQ27)*VLOOKUP('1. SUMMARY'!$C$20,rate,Sheet1!AB$21,0))</f>
        <v>0</v>
      </c>
      <c r="AR28" s="410">
        <f>IF(AR27=0,0,((+$F16/$AZ27)*AR27)*VLOOKUP('1. SUMMARY'!$C$20,rate,Sheet1!AC$21,0))</f>
        <v>0</v>
      </c>
      <c r="AS28" s="410">
        <f>IF(AS27=0,0,((+$F16/$AZ27)*AS27)*VLOOKUP('1. SUMMARY'!$C$20,rate,Sheet1!AD$21,0))</f>
        <v>0</v>
      </c>
      <c r="AT28" s="410">
        <f>IF(AT27=0,0,((+$F16/$AZ27)*AT27)*VLOOKUP('1. SUMMARY'!$C$20,rate,Sheet1!AE$21,0))</f>
        <v>0</v>
      </c>
      <c r="AU28" s="410">
        <f>IF(AU27=0,0,((+$F16/$AZ27)*AU27)*VLOOKUP('1. SUMMARY'!$C$20,rate,Sheet1!AF$21,0))</f>
        <v>0</v>
      </c>
      <c r="AV28" s="410">
        <f>IF(AV27=0,0,((+$F16/$AZ27)*AV27)*VLOOKUP('1. SUMMARY'!$C$20,rate,Sheet1!AG$21,0))</f>
        <v>0</v>
      </c>
      <c r="AW28" s="410">
        <f>IF(AW27=0,0,((+$F16/$AZ27)*AW27)*VLOOKUP('1. SUMMARY'!$C$20,rate,Sheet1!AH$21,0))</f>
        <v>0</v>
      </c>
      <c r="AX28" s="410">
        <f>IF(AX27=0,0,((+$F16/$AZ27)*AX27)*VLOOKUP('1. SUMMARY'!$C$20,rate,Sheet1!AI$21,0))</f>
        <v>0</v>
      </c>
      <c r="AY28" s="410">
        <f>IF(AY27=0,0,((+$F16/$AZ27)*AY27)*VLOOKUP('1. SUMMARY'!$C$20,rate,Sheet1!AJ$21,0))</f>
        <v>0</v>
      </c>
      <c r="AZ28" s="219">
        <f>SUM(AI28:AY28)</f>
        <v>0</v>
      </c>
    </row>
    <row r="29" spans="1:52" ht="12.75" customHeight="1">
      <c r="A29" s="216"/>
      <c r="B29" s="225"/>
      <c r="C29" s="225"/>
      <c r="D29" s="225"/>
      <c r="E29" s="225"/>
      <c r="F29" s="225"/>
      <c r="G29" s="225"/>
      <c r="H29" s="225"/>
      <c r="I29" s="225"/>
      <c r="J29" s="225"/>
      <c r="K29" s="225"/>
      <c r="L29" s="223"/>
      <c r="P29" s="207">
        <f t="shared" si="2"/>
        <v>1</v>
      </c>
      <c r="Q29" s="410">
        <f>+Q28/VLOOKUP('1. SUMMARY'!$C$20,rate,Sheet1!T$21,0)</f>
        <v>0</v>
      </c>
      <c r="R29" s="410">
        <f>+R28/VLOOKUP('1. SUMMARY'!$C$20,rate,Sheet1!U$21,0)</f>
        <v>0</v>
      </c>
      <c r="S29" s="410">
        <f>+S28/VLOOKUP('1. SUMMARY'!$C$20,rate,Sheet1!V$21,0)</f>
        <v>0</v>
      </c>
      <c r="T29" s="410">
        <f>+T28/VLOOKUP('1. SUMMARY'!$C$20,rate,Sheet1!W$21,0)</f>
        <v>0</v>
      </c>
      <c r="U29" s="410">
        <f>+U28/VLOOKUP('1. SUMMARY'!$C$20,rate,Sheet1!X$21,0)</f>
        <v>0</v>
      </c>
      <c r="V29" s="410">
        <f>+V28/VLOOKUP('1. SUMMARY'!$C$20,rate,Sheet1!Y$21,0)</f>
        <v>0</v>
      </c>
      <c r="W29" s="410">
        <f>+W28/VLOOKUP('1. SUMMARY'!$C$20,rate,Sheet1!Z$21,0)</f>
        <v>0</v>
      </c>
      <c r="X29" s="410">
        <f>+X28/VLOOKUP('1. SUMMARY'!$C$20,rate,Sheet1!AA$21,0)</f>
        <v>0</v>
      </c>
      <c r="Y29" s="410">
        <f>+Y28/VLOOKUP('1. SUMMARY'!$C$20,rate,Sheet1!AB$21,0)</f>
        <v>0</v>
      </c>
      <c r="Z29" s="410">
        <f>+Z28/VLOOKUP('1. SUMMARY'!$C$20,rate,Sheet1!AC$21,0)</f>
        <v>0</v>
      </c>
      <c r="AA29" s="410">
        <f>+AA28/VLOOKUP('1. SUMMARY'!$C$20,rate,Sheet1!AD$21,0)</f>
        <v>0</v>
      </c>
      <c r="AB29" s="410">
        <f>+AB28/VLOOKUP('1. SUMMARY'!$C$20,rate,Sheet1!AE$21,0)</f>
        <v>0</v>
      </c>
      <c r="AC29" s="410">
        <f>+AC28/VLOOKUP('1. SUMMARY'!$C$20,rate,Sheet1!AF$21,0)</f>
        <v>0</v>
      </c>
      <c r="AD29" s="410">
        <f>+AD28/VLOOKUP('1. SUMMARY'!$C$20,rate,Sheet1!AG$21,0)</f>
        <v>0</v>
      </c>
      <c r="AE29" s="410">
        <f>+AE28/VLOOKUP('1. SUMMARY'!$C$20,rate,Sheet1!AH$21,0)</f>
        <v>0</v>
      </c>
      <c r="AF29" s="410">
        <f>+AF28/VLOOKUP('1. SUMMARY'!$C$20,rate,Sheet1!AI$21,0)</f>
        <v>0</v>
      </c>
      <c r="AG29" s="410">
        <f>+AG28/VLOOKUP('1. SUMMARY'!$C$20,rate,Sheet1!AJ$21,0)</f>
        <v>0</v>
      </c>
      <c r="AH29" s="219"/>
      <c r="AI29" s="410">
        <v>0</v>
      </c>
      <c r="AJ29" s="410">
        <v>0</v>
      </c>
      <c r="AK29" s="410">
        <v>0</v>
      </c>
      <c r="AL29" s="410">
        <v>0</v>
      </c>
      <c r="AM29" s="410">
        <v>0</v>
      </c>
      <c r="AN29" s="410">
        <v>0</v>
      </c>
      <c r="AO29" s="410">
        <v>0</v>
      </c>
      <c r="AP29" s="410">
        <v>0</v>
      </c>
      <c r="AQ29" s="410"/>
      <c r="AR29" s="410"/>
      <c r="AS29" s="410"/>
      <c r="AT29" s="410"/>
      <c r="AU29" s="410"/>
      <c r="AV29" s="410"/>
      <c r="AW29" s="410"/>
      <c r="AX29" s="410"/>
      <c r="AY29" s="410"/>
      <c r="AZ29" s="219"/>
    </row>
    <row r="30" spans="1:52" ht="12.75" customHeight="1">
      <c r="A30" s="226" t="s">
        <v>150</v>
      </c>
      <c r="B30" s="227"/>
      <c r="C30" s="227"/>
      <c r="D30" s="227"/>
      <c r="E30" s="227"/>
      <c r="F30" s="227"/>
      <c r="G30" s="228"/>
      <c r="H30" s="228"/>
      <c r="I30" s="228"/>
      <c r="J30" s="228"/>
      <c r="K30" s="228"/>
      <c r="L30" s="229">
        <f>SUM(B30:K30)</f>
        <v>0</v>
      </c>
      <c r="Q30" s="413">
        <f>Sheet1!$T$8</f>
        <v>44105</v>
      </c>
      <c r="R30" s="413">
        <f>Sheet1!$U$8</f>
        <v>44470</v>
      </c>
      <c r="S30" s="413">
        <f>Sheet1!$V$8</f>
        <v>44835</v>
      </c>
      <c r="T30" s="413">
        <f>Sheet1!$W$8</f>
        <v>45200</v>
      </c>
      <c r="U30" s="413">
        <f>Sheet1!$X$8</f>
        <v>45566</v>
      </c>
      <c r="V30" s="413">
        <f>Sheet1!$Y$8</f>
        <v>45931</v>
      </c>
      <c r="W30" s="413">
        <f>Sheet1!$Z$8</f>
        <v>46296</v>
      </c>
      <c r="X30" s="413">
        <f>Sheet1!$AA$8</f>
        <v>46661</v>
      </c>
      <c r="Y30" s="413">
        <f>Sheet1!$AB$8</f>
        <v>47027</v>
      </c>
      <c r="Z30" s="413">
        <f>Sheet1!$AC$8</f>
        <v>47392</v>
      </c>
      <c r="AA30" s="413">
        <f>$AA$5</f>
        <v>47757</v>
      </c>
      <c r="AB30" s="413">
        <f>$AB$5</f>
        <v>48122</v>
      </c>
      <c r="AC30" s="413">
        <f>$AC$5</f>
        <v>48488</v>
      </c>
      <c r="AD30" s="413">
        <f>$AD$5</f>
        <v>48853</v>
      </c>
      <c r="AE30" s="413">
        <f>$AE$5</f>
        <v>49218</v>
      </c>
      <c r="AF30" s="413">
        <f>$AF$5</f>
        <v>49583</v>
      </c>
      <c r="AG30" s="413">
        <f>$AG$5</f>
        <v>49949</v>
      </c>
      <c r="AH30" s="219"/>
      <c r="AI30" s="413">
        <f t="shared" ref="AI30:AR32" si="12">+Q30</f>
        <v>44105</v>
      </c>
      <c r="AJ30" s="413">
        <f t="shared" si="12"/>
        <v>44470</v>
      </c>
      <c r="AK30" s="413">
        <f t="shared" si="12"/>
        <v>44835</v>
      </c>
      <c r="AL30" s="413">
        <f t="shared" si="12"/>
        <v>45200</v>
      </c>
      <c r="AM30" s="413">
        <f t="shared" si="12"/>
        <v>45566</v>
      </c>
      <c r="AN30" s="413">
        <f t="shared" si="12"/>
        <v>45931</v>
      </c>
      <c r="AO30" s="413">
        <f t="shared" si="12"/>
        <v>46296</v>
      </c>
      <c r="AP30" s="413">
        <f t="shared" si="12"/>
        <v>46661</v>
      </c>
      <c r="AQ30" s="413">
        <f t="shared" si="12"/>
        <v>47027</v>
      </c>
      <c r="AR30" s="413">
        <f t="shared" si="12"/>
        <v>47392</v>
      </c>
      <c r="AS30" s="413">
        <f t="shared" ref="AS30:AY32" si="13">+AA30</f>
        <v>47757</v>
      </c>
      <c r="AT30" s="413">
        <f t="shared" si="13"/>
        <v>48122</v>
      </c>
      <c r="AU30" s="413">
        <f t="shared" si="13"/>
        <v>48488</v>
      </c>
      <c r="AV30" s="413">
        <f t="shared" si="13"/>
        <v>48853</v>
      </c>
      <c r="AW30" s="413">
        <f t="shared" si="13"/>
        <v>49218</v>
      </c>
      <c r="AX30" s="413">
        <f t="shared" si="13"/>
        <v>49583</v>
      </c>
      <c r="AY30" s="413">
        <f t="shared" si="13"/>
        <v>49949</v>
      </c>
      <c r="AZ30" s="211"/>
    </row>
    <row r="31" spans="1:52" ht="12.75" customHeight="1">
      <c r="A31" s="221" t="s">
        <v>151</v>
      </c>
      <c r="B31" s="227"/>
      <c r="C31" s="227"/>
      <c r="D31" s="227"/>
      <c r="E31" s="227"/>
      <c r="F31" s="227"/>
      <c r="G31" s="228"/>
      <c r="H31" s="228"/>
      <c r="I31" s="228"/>
      <c r="J31" s="228"/>
      <c r="K31" s="228"/>
      <c r="L31" s="229">
        <f>SUM(B31:K31)</f>
        <v>0</v>
      </c>
      <c r="Q31" s="413">
        <f>Sheet1!$T$9</f>
        <v>44469</v>
      </c>
      <c r="R31" s="413">
        <f>Sheet1!$U$9</f>
        <v>44834</v>
      </c>
      <c r="S31" s="413">
        <f>Sheet1!$V$9</f>
        <v>45199</v>
      </c>
      <c r="T31" s="413">
        <f>Sheet1!$W$9</f>
        <v>45565</v>
      </c>
      <c r="U31" s="413">
        <f>Sheet1!$X$9</f>
        <v>45930</v>
      </c>
      <c r="V31" s="413">
        <f>Sheet1!$Y$9</f>
        <v>46295</v>
      </c>
      <c r="W31" s="413">
        <f>Sheet1!$Z$9</f>
        <v>46660</v>
      </c>
      <c r="X31" s="413">
        <f>Sheet1!$AA$9</f>
        <v>47026</v>
      </c>
      <c r="Y31" s="413">
        <f>Sheet1!$AB$9</f>
        <v>47391</v>
      </c>
      <c r="Z31" s="413">
        <f>Sheet1!$AC$9</f>
        <v>47756</v>
      </c>
      <c r="AA31" s="413">
        <f>$AA$6</f>
        <v>48121</v>
      </c>
      <c r="AB31" s="413">
        <f>$AB$6</f>
        <v>48487</v>
      </c>
      <c r="AC31" s="413">
        <f>$AC$6</f>
        <v>48852</v>
      </c>
      <c r="AD31" s="413">
        <f>$AD$6</f>
        <v>49217</v>
      </c>
      <c r="AE31" s="413">
        <f>$AE$6</f>
        <v>49582</v>
      </c>
      <c r="AF31" s="413">
        <f>$AF$6</f>
        <v>49948</v>
      </c>
      <c r="AG31" s="413">
        <f>$AG$6</f>
        <v>50313</v>
      </c>
      <c r="AH31" s="219"/>
      <c r="AI31" s="413">
        <f t="shared" si="12"/>
        <v>44469</v>
      </c>
      <c r="AJ31" s="413">
        <f t="shared" si="12"/>
        <v>44834</v>
      </c>
      <c r="AK31" s="413">
        <f t="shared" si="12"/>
        <v>45199</v>
      </c>
      <c r="AL31" s="413">
        <f t="shared" si="12"/>
        <v>45565</v>
      </c>
      <c r="AM31" s="413">
        <f t="shared" si="12"/>
        <v>45930</v>
      </c>
      <c r="AN31" s="413">
        <f t="shared" si="12"/>
        <v>46295</v>
      </c>
      <c r="AO31" s="413">
        <f t="shared" si="12"/>
        <v>46660</v>
      </c>
      <c r="AP31" s="413">
        <f t="shared" si="12"/>
        <v>47026</v>
      </c>
      <c r="AQ31" s="413">
        <f t="shared" si="12"/>
        <v>47391</v>
      </c>
      <c r="AR31" s="413">
        <f t="shared" si="12"/>
        <v>47756</v>
      </c>
      <c r="AS31" s="413">
        <f t="shared" si="13"/>
        <v>48121</v>
      </c>
      <c r="AT31" s="413">
        <f t="shared" si="13"/>
        <v>48487</v>
      </c>
      <c r="AU31" s="413">
        <f t="shared" si="13"/>
        <v>48852</v>
      </c>
      <c r="AV31" s="413">
        <f t="shared" si="13"/>
        <v>49217</v>
      </c>
      <c r="AW31" s="413">
        <f t="shared" si="13"/>
        <v>49582</v>
      </c>
      <c r="AX31" s="413">
        <f t="shared" si="13"/>
        <v>49948</v>
      </c>
      <c r="AY31" s="413">
        <f t="shared" si="13"/>
        <v>50313</v>
      </c>
      <c r="AZ31" s="211"/>
    </row>
    <row r="32" spans="1:52" ht="12.75" customHeight="1">
      <c r="A32" s="216"/>
      <c r="B32" s="217"/>
      <c r="C32" s="217"/>
      <c r="D32" s="217"/>
      <c r="E32" s="217"/>
      <c r="F32" s="217"/>
      <c r="G32" s="217"/>
      <c r="H32" s="217"/>
      <c r="I32" s="217"/>
      <c r="J32" s="217"/>
      <c r="K32" s="217"/>
      <c r="L32" s="218"/>
      <c r="O32" s="207">
        <v>6</v>
      </c>
      <c r="Q32" s="414">
        <f>IF(IF(Q31&lt;G10,0,DATEDIF(G10,Q31+1,"m"))&lt;0,0,IF(Q31&lt;G10,0,DATEDIF(G10,Q31+1,"m")))</f>
        <v>0</v>
      </c>
      <c r="R32" s="414">
        <f>IF(IF(Q32=12,0,IF(R31&gt;G11,12-DATEDIF(G11,R31+1,"m"),IF(R31&lt;G10,0,DATEDIF(G10,R31+1,"m"))))&lt;0,0,IF(Q32=12,0,IF(R31&gt;G11,12-DATEDIF(G11,R31+1,"m"),IF(R31&lt;G10,0,DATEDIF(G10,R31+1,"m")))))</f>
        <v>0</v>
      </c>
      <c r="S32" s="414">
        <f>IF(IF(Q32+R32=12,0,IF(S31&gt;G11,12-DATEDIF(G11,S31+1,"m"),IF(S31&lt;G10,0,DATEDIF(G10,S31+1,"m"))))&lt;0,0,IF(Q32+R32=12,0,IF(S31&gt;G11,12-DATEDIF(G11,S31+1,"m"),IF(S31&lt;G10,0,DATEDIF(G10,S31+1,"m")))))</f>
        <v>0</v>
      </c>
      <c r="T32" s="414">
        <f>IF(IF(R32+S32+Q32=12,0,IF(T31&gt;G11,12-DATEDIF(G11,T31+1,"m"),IF(T31&lt;G10,0,DATEDIF(G10,T31+1,"m"))))&lt;0,0,IF(R32+S32+Q32=12,0,IF(T31&gt;G11,12-DATEDIF(G11,T31+1,"m"),IF(T31&lt;G10,0,DATEDIF(G10,T31+1,"m")))))</f>
        <v>0</v>
      </c>
      <c r="U32" s="414">
        <f>IF(IF(S32+T32+R32+Q32=12,0,IF(U31&gt;$G$11,12-DATEDIF($G$11,U31+1,"m"),IF(U31&lt;$G$10,0,DATEDIF($G$10,U31+1,"m"))))&lt;0,0,IF(S32+T32+R32+Q32=12,0,IF(U31&gt;$G$11,12-DATEDIF($G$11,U31+1,"m"),IF(U31&lt;$G$10,0,DATEDIF($G$10,U31+1,"m")))))</f>
        <v>0</v>
      </c>
      <c r="V32" s="414">
        <f>IF(IF(T32+U32+S32+R32+Q32=12,0,IF(V31&gt;$G$11,12-DATEDIF($G$11,V31+1,"m"),IF(V31&lt;$G$10,0,DATEDIF($G$10,V31+1,"m"))))&lt;0,0,IF(T32+U32+S32+R32+Q32=12,0,IF(V31&gt;$G$11,12-DATEDIF($G$11,V31+1,"m"),IF(V31&lt;$G$10,0,DATEDIF($G$10,V31+1,"m")))))</f>
        <v>0</v>
      </c>
      <c r="W32" s="414">
        <f>IF(IF(U32+V32+T32+S32+R32+Q32=12,0,IF(W31&gt;$G$11,12-DATEDIF($G$11,W31+1,"m"),IF(W31&lt;$G$10,0,DATEDIF($G$10,W31+1,"m"))))&lt;0,0,IF(U32+V32+T32+S32+R32+Q32=12,0,IF(W31&gt;$G$11,12-DATEDIF($G$11,W31+1,"m"),IF(W31&lt;$G$10,0,DATEDIF($G$10,W31+1,"m")))))</f>
        <v>0</v>
      </c>
      <c r="X32" s="414">
        <f>IF(IF(V32+W32+U32+T32+S32+R32+Q32=12,0,IF(X31&gt;$G$11,12-DATEDIF($G$11,X31+1,"m"),IF(X31&lt;$G$10,0,DATEDIF($G$10,X31+1,"m"))))&lt;0,0,IF(V32+W32+U32+T32+S32+R32+Q32=12,0,IF(X31&gt;$G$11,12-DATEDIF($G$11,X31+1,"m"),IF(X31&lt;$G$10,0,DATEDIF($G$10,X31+1,"m")))))</f>
        <v>0</v>
      </c>
      <c r="Y32" s="414">
        <f>IF(IF(W32+X32+V32+U32+T32+S32+R32+Q32=12,0,IF(Y31&gt;$G$11,12-DATEDIF($G$11,Y31+1,"m"),IF(Y31&lt;$G$10,0,DATEDIF($G$10,Y31+1,"m"))))&lt;0,0,IF(W32+X32+V32+U32+T32+S32+R32+Q32=12,0,IF(Y31&gt;$G$11,12-DATEDIF($G$11,Y31+1,"m"),IF(Y31&lt;$G$10,0,DATEDIF($G$10,Y31+1,"m")))))</f>
        <v>0</v>
      </c>
      <c r="Z32" s="414">
        <f>IF(IF(X32+Y32+W32+V32+U32+T32+S32+R32+Q32=12,0,IF(Z31&gt;$G$11,12-DATEDIF($G$11,Z31+1,"m"),IF(Z31&lt;$G$10,0,DATEDIF($G$10,Z31+1,"m"))))&lt;0,0,IF(X32+Y32+W32+V32+U32+T32+S32+R32+Q32=12,0,IF(Z31&gt;$G$11,12-DATEDIF($G$11,Z31+1,"m"),IF(Z31&lt;$G$10,0,DATEDIF($G$10,Z31+1,"m")))))</f>
        <v>0</v>
      </c>
      <c r="AA32" s="414">
        <f>IF(IF(Q32+R32+S32+Y32+Z32+X32+W32+V32+U32+T32=12,0,IF(AA31&gt;$G$11,12-DATEDIF($G$11,AA31+1,"m"),IF(AA31&lt;$G$10,0,DATEDIF($G$10,AA31+1,"m"))))&lt;0,0,IF(Q32+R32+S32+Y32+Z32+X32+W32+V32+U32+T32=12,0,IF(AA31&gt;$G$11,12-DATEDIF($G$11,AA31+1,"m"),IF(AA31&lt;$G$10,0,DATEDIF($G$10,AA31+1,"m")))))</f>
        <v>0</v>
      </c>
      <c r="AB32" s="414">
        <f>IF(IF(Q32+R32+S32+T32+Z32+AA32+Y32+X32+W32+V32+U32=12,0,IF(AB31&gt;$G$11,12-DATEDIF($G$11,AB31+1,"m"),IF(AB31&lt;$G$10,0,DATEDIF($G$10,AB31+1,"m"))))&lt;0,0,IF(Q32+R32+S32+T32+Z32+AA32+Y32+X32+W32+V32+U32=12,0,IF(AB31&gt;$G$11,12-DATEDIF($G$11,AB31+1,"m"),IF(AB31&lt;$G$10,0,DATEDIF($G$10,AB31+1,"m")))))</f>
        <v>0</v>
      </c>
      <c r="AC32" s="414">
        <f>IF(IF(Q32+R32+S32+T32+U32+AA32+AB32+Z32+Y32+X32+W32+V32=12,0,IF(AC31&gt;$G$11,12-DATEDIF($G$11,AC31+1,"m"),IF(AC31&lt;$G$10,0,DATEDIF($G$10,AC31+1,"m"))))&lt;0,0,IF(Q32+R32+S32+T32+U32+AA32+AB32+Z32+Y32+X32+W32+V32=12,0,IF(AC31&gt;$G$11,12-DATEDIF($G$11,AC31+1,"m"),IF(AC31&lt;$G$10,0,DATEDIF($G$10,AC31+1,"m")))))</f>
        <v>0</v>
      </c>
      <c r="AD32" s="414">
        <f>IF(IF(Q32+R32+S32+T32+U32+V32+AB32+AC32+AA32+Z32+Y32+X32+W32=12,0,IF(AD31&gt;$G$11,12-DATEDIF($G$11,AD31+1,"m"),IF(AD31&lt;$G$10,0,DATEDIF($G$10,AD31+1,"m"))))&lt;0,0,IF(Q32+R32+S32+T32+U32+V32+AB32+AC32+AA32+Z32+Y32+X32+W32=12,0,IF(AD31&gt;$G$11,12-DATEDIF($G$11,AD31+1,"m"),IF(AD31&lt;$G$10,0,DATEDIF($G$10,AD31+1,"m")))))</f>
        <v>0</v>
      </c>
      <c r="AE32" s="414">
        <f>IF(IF(Q32+R32+S32+T32+U32+V32+W32+AC32+AD32+AB32+AA32+Z32+Y32+X32=12,0,IF(AE31&gt;$G$11,12-DATEDIF($G$11,AE31+1,"m"),IF(AE31&lt;$G$10,0,DATEDIF($G$10,AE31+1,"m"))))&lt;0,0,IF(Q32+R32+S32+T32+U32+V32+W32+AC32+AD32+AB32+AA32+Z32+Y32+X32=12,0,IF(AE31&gt;$G$11,12-DATEDIF($G$11,AE31+1,"m"),IF(AE31&lt;$G$10,0,DATEDIF($G$10,AE31+1,"m")))))</f>
        <v>0</v>
      </c>
      <c r="AF32" s="414">
        <f>IF(IF(Q32+R32+S32+T32+U32+V32+W32+X32+AD32+AE32+AC32+AB32+AA32+Z32+Y32=12,0,IF(AF31&gt;$G$11,12-DATEDIF($G$11,AF31+1,"m"),IF(AF31&lt;$G$10,0,DATEDIF($G$10,AF31+1,"m"))))&lt;0,0,IF(Q32+R32+S32+T32+U32+V32+W32+X32+AD32+AE32+AC32+AB32+AA32+Z32+Y32=12,0,IF(AF31&gt;$G$11,12-DATEDIF($G$11,AF31+1,"m"),IF(AF31&lt;$G$10,0,DATEDIF($G$10,AF31+1,"m")))))</f>
        <v>0</v>
      </c>
      <c r="AG32" s="414">
        <f>IF(IF(Q32+R32+S32+T32+U32+V32+W32+X32+Y32+AE32+AF32+AD32+AC32+AB32+AA32+Z32=12,0,IF(AG31&gt;$G$11,12-DATEDIF($G$11,AG31+1,"m"),IF(AG31&lt;$G$10,0,DATEDIF($G$10,AG31+1,"m"))))&lt;0,0,IF(Q32+R32+S32+T32+U32+V32+W32+X32+Y32+AE32+AF32+AD32+AC32+AB32+AA32+Z32=12,0,IF(AG31&gt;$G$11,12-DATEDIF($G$11,AG31+1,"m"),IF(AG31&lt;$G$10,0,DATEDIF($G$10,AG31+1,"m")))))</f>
        <v>0</v>
      </c>
      <c r="AH32" s="211">
        <f>SUM(Q32:AG32)</f>
        <v>0</v>
      </c>
      <c r="AI32" s="414">
        <f t="shared" si="12"/>
        <v>0</v>
      </c>
      <c r="AJ32" s="414">
        <f t="shared" si="12"/>
        <v>0</v>
      </c>
      <c r="AK32" s="414">
        <f t="shared" si="12"/>
        <v>0</v>
      </c>
      <c r="AL32" s="414">
        <f t="shared" si="12"/>
        <v>0</v>
      </c>
      <c r="AM32" s="414">
        <f t="shared" si="12"/>
        <v>0</v>
      </c>
      <c r="AN32" s="414">
        <f t="shared" si="12"/>
        <v>0</v>
      </c>
      <c r="AO32" s="414">
        <f t="shared" si="12"/>
        <v>0</v>
      </c>
      <c r="AP32" s="414">
        <f t="shared" si="12"/>
        <v>0</v>
      </c>
      <c r="AQ32" s="414">
        <f t="shared" si="12"/>
        <v>0</v>
      </c>
      <c r="AR32" s="414">
        <f t="shared" si="12"/>
        <v>0</v>
      </c>
      <c r="AS32" s="414">
        <f t="shared" si="13"/>
        <v>0</v>
      </c>
      <c r="AT32" s="414">
        <f t="shared" si="13"/>
        <v>0</v>
      </c>
      <c r="AU32" s="414">
        <f t="shared" si="13"/>
        <v>0</v>
      </c>
      <c r="AV32" s="414">
        <f t="shared" si="13"/>
        <v>0</v>
      </c>
      <c r="AW32" s="414">
        <f t="shared" si="13"/>
        <v>0</v>
      </c>
      <c r="AX32" s="414">
        <f t="shared" si="13"/>
        <v>0</v>
      </c>
      <c r="AY32" s="414">
        <f t="shared" si="13"/>
        <v>0</v>
      </c>
      <c r="AZ32" s="211">
        <f>SUM(AI32:AY32)</f>
        <v>0</v>
      </c>
    </row>
    <row r="33" spans="1:52" ht="12.75" customHeight="1">
      <c r="A33" s="231" t="s">
        <v>152</v>
      </c>
      <c r="B33" s="146">
        <f t="shared" ref="B33:K33" si="14">SUM(B30:B31)</f>
        <v>0</v>
      </c>
      <c r="C33" s="146">
        <f t="shared" si="14"/>
        <v>0</v>
      </c>
      <c r="D33" s="146">
        <f t="shared" si="14"/>
        <v>0</v>
      </c>
      <c r="E33" s="146">
        <f t="shared" si="14"/>
        <v>0</v>
      </c>
      <c r="F33" s="146">
        <f t="shared" si="14"/>
        <v>0</v>
      </c>
      <c r="G33" s="146">
        <f t="shared" si="14"/>
        <v>0</v>
      </c>
      <c r="H33" s="146">
        <f t="shared" si="14"/>
        <v>0</v>
      </c>
      <c r="I33" s="146">
        <f t="shared" si="14"/>
        <v>0</v>
      </c>
      <c r="J33" s="146">
        <f t="shared" si="14"/>
        <v>0</v>
      </c>
      <c r="K33" s="146">
        <f t="shared" si="14"/>
        <v>0</v>
      </c>
      <c r="L33" s="229">
        <f>SUM(B33:K33)</f>
        <v>0</v>
      </c>
      <c r="Q33" s="415">
        <f>IF(Q32=0,0,(IF(($G$16+$C$16+$B$16+$D$16+$E$16+$F$16)&lt;=25000,(($G$16/+$AH$32)*Q32)*VLOOKUP('1. SUMMARY'!$C$20,rate,Sheet1!T$21,0),((IF(($F$16+$B$16+$C$16+$D$16+$E$16)&gt;=25000,0,(((25000-($B$16+$C$16+$D$16+$E$16+$F$16))/+$AH$32)*Q32)*(VLOOKUP('1. SUMMARY'!$C$20,rate,Sheet1!T$21,0))))))))</f>
        <v>0</v>
      </c>
      <c r="R33" s="415">
        <f>IF(R32=0,0,(IF(($G$16+$C$16+$B$16+$D$16+$E$16+$F$16)&lt;=25000,(($G$16/+$AH$32)*R32)*VLOOKUP('1. SUMMARY'!$C$20,rate,Sheet1!U$21,0),((IF(($F$16+$B$16+$C$16+$D$16+$E$16)&gt;=25000,0,(((25000-($B$16+$C$16+$D$16+$E$16+$F$16))/+$AH$32)*R32)*(VLOOKUP('1. SUMMARY'!$C$20,rate,Sheet1!U$21,0))))))))</f>
        <v>0</v>
      </c>
      <c r="S33" s="415">
        <f>IF(S32=0,0,(IF(($G$16+$C$16+$B$16+$D$16+$E$16+$F$16)&lt;=25000,(($G$16/+$AH$32)*S32)*VLOOKUP('1. SUMMARY'!$C$20,rate,Sheet1!V$21,0),((IF(($F$16+$B$16+$C$16+$D$16+$E$16)&gt;=25000,0,(((25000-($B$16+$C$16+$D$16+$E$16+$F$16))/+$AH$32)*S32)*(VLOOKUP('1. SUMMARY'!$C$20,rate,Sheet1!V$21,0))))))))</f>
        <v>0</v>
      </c>
      <c r="T33" s="415">
        <f>IF(T32=0,0,(IF(($G$16+$C$16+$B$16+$D$16+$E$16+$F$16)&lt;=25000,(($G$16/+$AH$32)*T32)*VLOOKUP('1. SUMMARY'!$C$20,rate,Sheet1!W$21,0),((IF(($F$16+$B$16+$C$16+$D$16+$E$16)&gt;=25000,0,(((25000-($B$16+$C$16+$D$16+$E$16+$F$16))/+$AH$32)*T32)*(VLOOKUP('1. SUMMARY'!$C$20,rate,Sheet1!W$21,0))))))))</f>
        <v>0</v>
      </c>
      <c r="U33" s="415">
        <f>IF(U32=0,0,(IF(($G$16+$C$16+$B$16+$D$16+$E$16+$F$16)&lt;=25000,(($G$16/+$AH$32)*U32)*VLOOKUP('1. SUMMARY'!$C$20,rate,Sheet1!X$21,0),((IF(($F$16+$B$16+$C$16+$D$16+$E$16)&gt;=25000,0,(((25000-($B$16+$C$16+$D$16+$E$16+$F$16))/+$AH$32)*U32)*(VLOOKUP('1. SUMMARY'!$C$20,rate,Sheet1!X$21,0))))))))</f>
        <v>0</v>
      </c>
      <c r="V33" s="415">
        <f>IF(V32=0,0,(IF(($G$16+$C$16+$B$16+$D$16+$E$16+$F$16)&lt;=25000,(($G$16/+$AH$32)*V32)*VLOOKUP('1. SUMMARY'!$C$20,rate,Sheet1!Y$21,0),((IF(($F$16+$B$16+$C$16+$D$16+$E$16)&gt;=25000,0,(((25000-($B$16+$C$16+$D$16+$E$16+$F$16))/+$AH$32)*V32)*(VLOOKUP('1. SUMMARY'!$C$20,rate,Sheet1!Y$21,0))))))))</f>
        <v>0</v>
      </c>
      <c r="W33" s="415">
        <f>IF(W32=0,0,(IF(($G$16+$C$16+$B$16+$D$16+$E$16+$F$16)&lt;=25000,(($G$16/+$AH$32)*W32)*VLOOKUP('1. SUMMARY'!$C$20,rate,Sheet1!Z$21,0),((IF(($F$16+$B$16+$C$16+$D$16+$E$16)&gt;=25000,0,(((25000-($B$16+$C$16+$D$16+$E$16+$F$16))/+$AH$32)*W32)*(VLOOKUP('1. SUMMARY'!$C$20,rate,Sheet1!Z$21,0))))))))</f>
        <v>0</v>
      </c>
      <c r="X33" s="415">
        <f>IF(X32=0,0,(IF(($G$16+$C$16+$B$16+$D$16+$E$16+$F$16)&lt;=25000,(($G$16/+$AH$32)*X32)*VLOOKUP('1. SUMMARY'!$C$20,rate,Sheet1!AA$21,0),((IF(($F$16+$B$16+$C$16+$D$16+$E$16)&gt;=25000,0,(((25000-($B$16+$C$16+$D$16+$E$16+$F$16))/+$AH$32)*X32)*(VLOOKUP('1. SUMMARY'!$C$20,rate,Sheet1!AA$21,0))))))))</f>
        <v>0</v>
      </c>
      <c r="Y33" s="415">
        <f>IF(Y32=0,0,(IF(($G$16+$C$16+$B$16+$D$16+$E$16+$F$16)&lt;=25000,(($G$16/+$AH$32)*Y32)*VLOOKUP('1. SUMMARY'!$C$20,rate,Sheet1!AB$21,0),((IF(($F$16+$B$16+$C$16+$D$16+$E$16)&gt;=25000,0,(((25000-($B$16+$C$16+$D$16+$E$16+$F$16))/+$AH$32)*Y32)*(VLOOKUP('1. SUMMARY'!$C$20,rate,Sheet1!AB$21,0))))))))</f>
        <v>0</v>
      </c>
      <c r="Z33" s="415">
        <f>IF(Z32=0,0,(IF(($G$16+$C$16+$B$16+$D$16+$E$16+$F$16)&lt;=25000,(($G$16/+$AH$32)*Z32)*VLOOKUP('1. SUMMARY'!$C$20,rate,Sheet1!AC$21,0),((IF(($F$16+$B$16+$C$16+$D$16+$E$16)&gt;=25000,0,(((25000-($B$16+$C$16+$D$16+$E$16+$F$16))/+$AH$32)*Z32)*(VLOOKUP('1. SUMMARY'!$C$20,rate,Sheet1!AC$21,0))))))))</f>
        <v>0</v>
      </c>
      <c r="AA33" s="415">
        <f>IF(AA32=0,0,(IF(($G$16+$C$16+$B$16+$D$16+$E$16+$F$16)&lt;=25000,(($G$16/+$AH$32)*AA32)*VLOOKUP('1. SUMMARY'!$C$20,rate,Sheet1!AD$21,0),((IF(($F$16+$B$16+$C$16+$D$16+$E$16)&gt;=25000,0,(((25000-($B$16+$C$16+$D$16+$E$16+$F$16))/+$AH$32)*AA32)*(VLOOKUP('1. SUMMARY'!$C$20,rate,Sheet1!AD$21,0))))))))</f>
        <v>0</v>
      </c>
      <c r="AB33" s="415">
        <f>IF(AB32=0,0,(IF(($G$16+$C$16+$B$16+$D$16+$E$16+$F$16)&lt;=25000,(($G$16/+$AH$32)*AB32)*VLOOKUP('1. SUMMARY'!$C$20,rate,Sheet1!AE$21,0),((IF(($F$16+$B$16+$C$16+$D$16+$E$16)&gt;=25000,0,(((25000-($B$16+$C$16+$D$16+$E$16+$F$16))/+$AH$32)*AB32)*(VLOOKUP('1. SUMMARY'!$C$20,rate,Sheet1!AE$21,0))))))))</f>
        <v>0</v>
      </c>
      <c r="AC33" s="415">
        <f>IF(AC32=0,0,(IF(($G$16+$C$16+$B$16+$D$16+$E$16+$F$16)&lt;=25000,(($G$16/+$AH$32)*AC32)*VLOOKUP('1. SUMMARY'!$C$20,rate,Sheet1!AF$21,0),((IF(($F$16+$B$16+$C$16+$D$16+$E$16)&gt;=25000,0,(((25000-($B$16+$C$16+$D$16+$E$16+$F$16))/+$AH$32)*AC32)*(VLOOKUP('1. SUMMARY'!$C$20,rate,Sheet1!AF$21,0))))))))</f>
        <v>0</v>
      </c>
      <c r="AD33" s="415">
        <f>IF(AD32=0,0,(IF(($G$16+$C$16+$B$16+$D$16+$E$16+$F$16)&lt;=25000,(($G$16/+$AH$32)*AD32)*VLOOKUP('1. SUMMARY'!$C$20,rate,Sheet1!AG$21,0),((IF(($F$16+$B$16+$C$16+$D$16+$E$16)&gt;=25000,0,(((25000-($B$16+$C$16+$D$16+$E$16+$F$16))/+$AH$32)*AD32)*(VLOOKUP('1. SUMMARY'!$C$20,rate,Sheet1!AG$21,0))))))))</f>
        <v>0</v>
      </c>
      <c r="AE33" s="415">
        <f>IF(AE32=0,0,(IF(($G$16+$C$16+$B$16+$D$16+$E$16+$F$16)&lt;=25000,(($G$16/+$AH$32)*AE32)*VLOOKUP('1. SUMMARY'!$C$20,rate,Sheet1!AH$21,0),((IF(($F$16+$B$16+$C$16+$D$16+$E$16)&gt;=25000,0,(((25000-($B$16+$C$16+$D$16+$E$16+$F$16))/+$AH$32)*AE32)*(VLOOKUP('1. SUMMARY'!$C$20,rate,Sheet1!AH$21,0))))))))</f>
        <v>0</v>
      </c>
      <c r="AF33" s="415">
        <f>IF(AF32=0,0,(IF(($G$16+$C$16+$B$16+$D$16+$E$16+$F$16)&lt;=25000,(($G$16/+$AH$32)*AF32)*VLOOKUP('1. SUMMARY'!$C$20,rate,Sheet1!AI$21,0),((IF(($F$16+$B$16+$C$16+$D$16+$E$16)&gt;=25000,0,(((25000-($B$16+$C$16+$D$16+$E$16+$F$16))/+$AH$32)*AF32)*(VLOOKUP('1. SUMMARY'!$C$20,rate,Sheet1!AI$21,0))))))))</f>
        <v>0</v>
      </c>
      <c r="AG33" s="415">
        <f>IF(AG32=0,0,(IF(($G$16+$C$16+$B$16+$D$16+$E$16+$F$16)&lt;=25000,(($G$16/+$AH$32)*AG32)*VLOOKUP('1. SUMMARY'!$C$20,rate,Sheet1!AJ$21,0),((IF(($F$16+$B$16+$C$16+$D$16+$E$16)&gt;=25000,0,(((25000-($B$16+$C$16+$D$16+$E$16+$F$16))/+$AH$32)*AG32)*(VLOOKUP('1. SUMMARY'!$C$20,rate,Sheet1!AJ$21,0))))))))</f>
        <v>0</v>
      </c>
      <c r="AH33" s="219">
        <f>SUM(Q33:AG33)</f>
        <v>0</v>
      </c>
      <c r="AI33" s="415">
        <f>IF(AI32=0,0,((+$G16/$AZ32)*AI32)*VLOOKUP('1. SUMMARY'!$C$20,rate,Sheet1!T$21,0))</f>
        <v>0</v>
      </c>
      <c r="AJ33" s="415">
        <f>IF(AJ32=0,0,((+$G16/$AZ32)*AJ32)*VLOOKUP('1. SUMMARY'!$C$20,rate,Sheet1!U$21,0))</f>
        <v>0</v>
      </c>
      <c r="AK33" s="415">
        <f>IF(AK32=0,0,((+$G16/$AZ32)*AK32)*VLOOKUP('1. SUMMARY'!$C$20,rate,Sheet1!V$21,0))</f>
        <v>0</v>
      </c>
      <c r="AL33" s="415">
        <f>IF(AL32=0,0,((+$G16/$AZ32)*AL32)*VLOOKUP('1. SUMMARY'!$C$20,rate,Sheet1!W$21,0))</f>
        <v>0</v>
      </c>
      <c r="AM33" s="415">
        <f>IF(AM32=0,0,((+$G16/$AZ32)*AM32)*VLOOKUP('1. SUMMARY'!$C$20,rate,Sheet1!X$21,0))</f>
        <v>0</v>
      </c>
      <c r="AN33" s="415">
        <f>IF(AN32=0,0,((+$G16/$AZ32)*AN32)*VLOOKUP('1. SUMMARY'!$C$20,rate,Sheet1!Y$21,0))</f>
        <v>0</v>
      </c>
      <c r="AO33" s="415">
        <f>IF(AO32=0,0,((+$G16/$AZ32)*AO32)*VLOOKUP('1. SUMMARY'!$C$20,rate,Sheet1!Z$21,0))</f>
        <v>0</v>
      </c>
      <c r="AP33" s="415">
        <f>IF(AP32=0,0,((+$G16/$AZ32)*AP32)*VLOOKUP('1. SUMMARY'!$C$20,rate,Sheet1!AA$21,0))</f>
        <v>0</v>
      </c>
      <c r="AQ33" s="415">
        <f>IF(AQ32=0,0,((+$G16/$AZ32)*AQ32)*VLOOKUP('1. SUMMARY'!$C$20,rate,Sheet1!AB$21,0))</f>
        <v>0</v>
      </c>
      <c r="AR33" s="415">
        <f>IF(AR32=0,0,((+$G16/$AZ32)*AR32)*VLOOKUP('1. SUMMARY'!$C$20,rate,Sheet1!AC$21,0))</f>
        <v>0</v>
      </c>
      <c r="AS33" s="415">
        <f>IF(AS32=0,0,((+$G16/$AZ32)*AS32)*VLOOKUP('1. SUMMARY'!$C$20,rate,Sheet1!AD$21,0))</f>
        <v>0</v>
      </c>
      <c r="AT33" s="415">
        <f>IF(AT32=0,0,((+$G16/$AZ32)*AT32)*VLOOKUP('1. SUMMARY'!$C$20,rate,Sheet1!AE$21,0))</f>
        <v>0</v>
      </c>
      <c r="AU33" s="415">
        <f>IF(AU32=0,0,((+$G16/$AZ32)*AU32)*VLOOKUP('1. SUMMARY'!$C$20,rate,Sheet1!AF$21,0))</f>
        <v>0</v>
      </c>
      <c r="AV33" s="415">
        <f>IF(AV32=0,0,((+$G16/$AZ32)*AV32)*VLOOKUP('1. SUMMARY'!$C$20,rate,Sheet1!AG$21,0))</f>
        <v>0</v>
      </c>
      <c r="AW33" s="415">
        <f>IF(AW32=0,0,((+$G16/$AZ32)*AW32)*VLOOKUP('1. SUMMARY'!$C$20,rate,Sheet1!AH$21,0))</f>
        <v>0</v>
      </c>
      <c r="AX33" s="415">
        <f>IF(AX32=0,0,((+$G16/$AZ32)*AX32)*VLOOKUP('1. SUMMARY'!$C$20,rate,Sheet1!AI$21,0))</f>
        <v>0</v>
      </c>
      <c r="AY33" s="415">
        <f>IF(AY32=0,0,((+$G16/$AZ32)*AY32)*VLOOKUP('1. SUMMARY'!$C$20,rate,Sheet1!AJ$21,0))</f>
        <v>0</v>
      </c>
      <c r="AZ33" s="219">
        <f>SUM(AI33:AY33)</f>
        <v>0</v>
      </c>
    </row>
    <row r="34" spans="1:52" ht="12.75" customHeight="1">
      <c r="A34" s="216"/>
      <c r="B34" s="217"/>
      <c r="C34" s="217"/>
      <c r="D34" s="217"/>
      <c r="E34" s="217"/>
      <c r="F34" s="217"/>
      <c r="G34" s="217"/>
      <c r="H34" s="217"/>
      <c r="I34" s="217"/>
      <c r="J34" s="217"/>
      <c r="K34" s="217"/>
      <c r="L34" s="218"/>
      <c r="Q34" s="415">
        <f>+Q33/VLOOKUP('1. SUMMARY'!$C$20,rate,Sheet1!T$21,0)</f>
        <v>0</v>
      </c>
      <c r="R34" s="415">
        <f>+R33/VLOOKUP('1. SUMMARY'!$C$20,rate,Sheet1!U$21,0)</f>
        <v>0</v>
      </c>
      <c r="S34" s="415">
        <f>+S33/VLOOKUP('1. SUMMARY'!$C$20,rate,Sheet1!V$21,0)</f>
        <v>0</v>
      </c>
      <c r="T34" s="415">
        <f>+T33/VLOOKUP('1. SUMMARY'!$C$20,rate,Sheet1!W$21,0)</f>
        <v>0</v>
      </c>
      <c r="U34" s="415">
        <f>+U33/VLOOKUP('1. SUMMARY'!$C$20,rate,Sheet1!X$21,0)</f>
        <v>0</v>
      </c>
      <c r="V34" s="415">
        <f>+V33/VLOOKUP('1. SUMMARY'!$C$20,rate,Sheet1!Y$21,0)</f>
        <v>0</v>
      </c>
      <c r="W34" s="415">
        <f>+W33/VLOOKUP('1. SUMMARY'!$C$20,rate,Sheet1!Z$21,0)</f>
        <v>0</v>
      </c>
      <c r="X34" s="415">
        <f>+X33/VLOOKUP('1. SUMMARY'!$C$20,rate,Sheet1!AA$21,0)</f>
        <v>0</v>
      </c>
      <c r="Y34" s="415">
        <f>+Y33/VLOOKUP('1. SUMMARY'!$C$20,rate,Sheet1!AB$21,0)</f>
        <v>0</v>
      </c>
      <c r="Z34" s="415">
        <f>+Z33/VLOOKUP('1. SUMMARY'!$C$20,rate,Sheet1!AC$21,0)</f>
        <v>0</v>
      </c>
      <c r="AA34" s="415">
        <f>+AA33/VLOOKUP('1. SUMMARY'!$C$20,rate,Sheet1!AD$21,0)</f>
        <v>0</v>
      </c>
      <c r="AB34" s="415">
        <f>+AB33/VLOOKUP('1. SUMMARY'!$C$20,rate,Sheet1!AE$21,0)</f>
        <v>0</v>
      </c>
      <c r="AC34" s="415">
        <f>+AC33/VLOOKUP('1. SUMMARY'!$C$20,rate,Sheet1!AF$21,0)</f>
        <v>0</v>
      </c>
      <c r="AD34" s="415">
        <f>+AD33/VLOOKUP('1. SUMMARY'!$C$20,rate,Sheet1!AG$21,0)</f>
        <v>0</v>
      </c>
      <c r="AE34" s="415">
        <f>+AE33/VLOOKUP('1. SUMMARY'!$C$20,rate,Sheet1!AH$21,0)</f>
        <v>0</v>
      </c>
      <c r="AF34" s="415">
        <f>+AF33/VLOOKUP('1. SUMMARY'!$C$20,rate,Sheet1!AI$21,0)</f>
        <v>0</v>
      </c>
      <c r="AG34" s="415">
        <f>+AG33/VLOOKUP('1. SUMMARY'!$C$20,rate,Sheet1!AJ$21,0)</f>
        <v>0</v>
      </c>
      <c r="AH34" s="219"/>
      <c r="AI34" s="415">
        <v>0</v>
      </c>
      <c r="AJ34" s="415">
        <v>0</v>
      </c>
      <c r="AK34" s="415">
        <v>0</v>
      </c>
      <c r="AL34" s="415">
        <v>0</v>
      </c>
      <c r="AM34" s="415">
        <v>0</v>
      </c>
      <c r="AN34" s="415">
        <v>0</v>
      </c>
      <c r="AO34" s="415">
        <v>0</v>
      </c>
      <c r="AP34" s="415">
        <v>0</v>
      </c>
      <c r="AQ34" s="415"/>
      <c r="AR34" s="415"/>
      <c r="AS34" s="415"/>
      <c r="AT34" s="415"/>
      <c r="AU34" s="415"/>
      <c r="AV34" s="415"/>
      <c r="AW34" s="415"/>
      <c r="AX34" s="415"/>
      <c r="AY34" s="415"/>
      <c r="AZ34" s="219"/>
    </row>
    <row r="35" spans="1:52" ht="12.75" customHeight="1">
      <c r="A35" s="226" t="s">
        <v>153</v>
      </c>
      <c r="B35" s="233">
        <f>IF(B27="No "&amp;B26,0,IF('1. SUMMARY'!$Q$20=1,+AH63,AZ63))</f>
        <v>0</v>
      </c>
      <c r="C35" s="146">
        <f>IF(C27="No "&amp;C26,0,IF('1. SUMMARY'!$Q$20=1,+AH68,AZ68))</f>
        <v>0</v>
      </c>
      <c r="D35" s="233">
        <f>IF(D27="No "&amp;D26,0,IF('1. SUMMARY'!$Q$20=1,+AH73,AZ73))</f>
        <v>0</v>
      </c>
      <c r="E35" s="146">
        <f>IF(E27="No "&amp;E26,0,IF('1. SUMMARY'!$Q$20=1,+AH78,AZ78))</f>
        <v>0</v>
      </c>
      <c r="F35" s="146">
        <f>IF(F27="No "&amp;F26,0,IF('1. SUMMARY'!$Q$20=1,+AH83,+AZ83))</f>
        <v>0</v>
      </c>
      <c r="G35" s="146">
        <f>IF(G27="No "&amp;G26,0,IF('1. SUMMARY'!$Q$20=1,+$AH88,+$AZ88))</f>
        <v>0</v>
      </c>
      <c r="H35" s="146">
        <f>IF(H27="No "&amp;H26,0,IF('1. SUMMARY'!$Q$20=1,+$AH93,+$AZ93))</f>
        <v>0</v>
      </c>
      <c r="I35" s="146">
        <f>IF(I27="No "&amp;I26,0,IF('1. SUMMARY'!$Q$20=1,+$AH98,+$AZ98))</f>
        <v>0</v>
      </c>
      <c r="J35" s="146">
        <f>IF(J27="No "&amp;J26,0,IF('1. SUMMARY'!$Q$20=1,+$AH103,+$AZ103))</f>
        <v>0</v>
      </c>
      <c r="K35" s="146">
        <f>IF(K27="No "&amp;K26,0,IF('1. SUMMARY'!$Q$20=1,+$AH108,+$AZ108))</f>
        <v>0</v>
      </c>
      <c r="L35" s="229">
        <f>SUM(B35:K35)</f>
        <v>0</v>
      </c>
      <c r="Q35" s="411">
        <f>Sheet1!$T$8</f>
        <v>44105</v>
      </c>
      <c r="R35" s="411">
        <f>Sheet1!$U$8</f>
        <v>44470</v>
      </c>
      <c r="S35" s="411">
        <f>Sheet1!$V$8</f>
        <v>44835</v>
      </c>
      <c r="T35" s="411">
        <f>Sheet1!$W$8</f>
        <v>45200</v>
      </c>
      <c r="U35" s="411">
        <f>Sheet1!$X$8</f>
        <v>45566</v>
      </c>
      <c r="V35" s="411">
        <f>Sheet1!$Y$8</f>
        <v>45931</v>
      </c>
      <c r="W35" s="411">
        <f>Sheet1!$Z$8</f>
        <v>46296</v>
      </c>
      <c r="X35" s="411">
        <f>Sheet1!$AA$8</f>
        <v>46661</v>
      </c>
      <c r="Y35" s="411">
        <f>Sheet1!$AB$8</f>
        <v>47027</v>
      </c>
      <c r="Z35" s="411">
        <f>Sheet1!$AC$8</f>
        <v>47392</v>
      </c>
      <c r="AA35" s="411">
        <f>$AA$5</f>
        <v>47757</v>
      </c>
      <c r="AB35" s="411">
        <f>$AB$5</f>
        <v>48122</v>
      </c>
      <c r="AC35" s="411">
        <f>$AC$5</f>
        <v>48488</v>
      </c>
      <c r="AD35" s="411">
        <f>$AD$5</f>
        <v>48853</v>
      </c>
      <c r="AE35" s="411">
        <f>$AE$5</f>
        <v>49218</v>
      </c>
      <c r="AF35" s="411">
        <f>$AF$5</f>
        <v>49583</v>
      </c>
      <c r="AG35" s="411">
        <f>$AG$5</f>
        <v>49949</v>
      </c>
      <c r="AH35" s="219"/>
      <c r="AI35" s="411">
        <f t="shared" ref="AI35:AR37" si="15">+Q35</f>
        <v>44105</v>
      </c>
      <c r="AJ35" s="411">
        <f t="shared" si="15"/>
        <v>44470</v>
      </c>
      <c r="AK35" s="411">
        <f t="shared" si="15"/>
        <v>44835</v>
      </c>
      <c r="AL35" s="411">
        <f t="shared" si="15"/>
        <v>45200</v>
      </c>
      <c r="AM35" s="411">
        <f t="shared" si="15"/>
        <v>45566</v>
      </c>
      <c r="AN35" s="411">
        <f t="shared" si="15"/>
        <v>45931</v>
      </c>
      <c r="AO35" s="411">
        <f t="shared" si="15"/>
        <v>46296</v>
      </c>
      <c r="AP35" s="411">
        <f t="shared" si="15"/>
        <v>46661</v>
      </c>
      <c r="AQ35" s="411">
        <f t="shared" si="15"/>
        <v>47027</v>
      </c>
      <c r="AR35" s="411">
        <f t="shared" si="15"/>
        <v>47392</v>
      </c>
      <c r="AS35" s="411">
        <f t="shared" ref="AS35:AY37" si="16">+AA35</f>
        <v>47757</v>
      </c>
      <c r="AT35" s="411">
        <f t="shared" si="16"/>
        <v>48122</v>
      </c>
      <c r="AU35" s="411">
        <f t="shared" si="16"/>
        <v>48488</v>
      </c>
      <c r="AV35" s="411">
        <f t="shared" si="16"/>
        <v>48853</v>
      </c>
      <c r="AW35" s="411">
        <f t="shared" si="16"/>
        <v>49218</v>
      </c>
      <c r="AX35" s="411">
        <f t="shared" si="16"/>
        <v>49583</v>
      </c>
      <c r="AY35" s="411">
        <f t="shared" si="16"/>
        <v>49949</v>
      </c>
      <c r="AZ35" s="211"/>
    </row>
    <row r="36" spans="1:52" ht="12.75" customHeight="1">
      <c r="A36" s="216"/>
      <c r="B36" s="234"/>
      <c r="C36" s="234"/>
      <c r="D36" s="234"/>
      <c r="E36" s="234"/>
      <c r="F36" s="234"/>
      <c r="G36" s="234"/>
      <c r="H36" s="234"/>
      <c r="I36" s="234"/>
      <c r="J36" s="234"/>
      <c r="K36" s="234"/>
      <c r="L36" s="235"/>
      <c r="Q36" s="411">
        <f>Sheet1!$T$9</f>
        <v>44469</v>
      </c>
      <c r="R36" s="411">
        <f>Sheet1!$U$9</f>
        <v>44834</v>
      </c>
      <c r="S36" s="411">
        <f>Sheet1!$V$9</f>
        <v>45199</v>
      </c>
      <c r="T36" s="411">
        <f>Sheet1!$W$9</f>
        <v>45565</v>
      </c>
      <c r="U36" s="411">
        <f>Sheet1!$X$9</f>
        <v>45930</v>
      </c>
      <c r="V36" s="411">
        <f>Sheet1!$Y$9</f>
        <v>46295</v>
      </c>
      <c r="W36" s="411">
        <f>Sheet1!$Z$9</f>
        <v>46660</v>
      </c>
      <c r="X36" s="411">
        <f>Sheet1!$AA$9</f>
        <v>47026</v>
      </c>
      <c r="Y36" s="411">
        <f>Sheet1!$AB$9</f>
        <v>47391</v>
      </c>
      <c r="Z36" s="411">
        <f>Sheet1!$AC$9</f>
        <v>47756</v>
      </c>
      <c r="AA36" s="411">
        <f>$AA$6</f>
        <v>48121</v>
      </c>
      <c r="AB36" s="411">
        <f>$AB$6</f>
        <v>48487</v>
      </c>
      <c r="AC36" s="411">
        <f>$AC$6</f>
        <v>48852</v>
      </c>
      <c r="AD36" s="411">
        <f>$AD$6</f>
        <v>49217</v>
      </c>
      <c r="AE36" s="411">
        <f>$AE$6</f>
        <v>49582</v>
      </c>
      <c r="AF36" s="411">
        <f>$AF$6</f>
        <v>49948</v>
      </c>
      <c r="AG36" s="411">
        <f>$AG$6</f>
        <v>50313</v>
      </c>
      <c r="AH36" s="219"/>
      <c r="AI36" s="411">
        <f t="shared" si="15"/>
        <v>44469</v>
      </c>
      <c r="AJ36" s="411">
        <f t="shared" si="15"/>
        <v>44834</v>
      </c>
      <c r="AK36" s="411">
        <f t="shared" si="15"/>
        <v>45199</v>
      </c>
      <c r="AL36" s="411">
        <f t="shared" si="15"/>
        <v>45565</v>
      </c>
      <c r="AM36" s="411">
        <f t="shared" si="15"/>
        <v>45930</v>
      </c>
      <c r="AN36" s="411">
        <f t="shared" si="15"/>
        <v>46295</v>
      </c>
      <c r="AO36" s="411">
        <f t="shared" si="15"/>
        <v>46660</v>
      </c>
      <c r="AP36" s="411">
        <f t="shared" si="15"/>
        <v>47026</v>
      </c>
      <c r="AQ36" s="411">
        <f t="shared" si="15"/>
        <v>47391</v>
      </c>
      <c r="AR36" s="411">
        <f t="shared" si="15"/>
        <v>47756</v>
      </c>
      <c r="AS36" s="411">
        <f t="shared" si="16"/>
        <v>48121</v>
      </c>
      <c r="AT36" s="411">
        <f t="shared" si="16"/>
        <v>48487</v>
      </c>
      <c r="AU36" s="411">
        <f t="shared" si="16"/>
        <v>48852</v>
      </c>
      <c r="AV36" s="411">
        <f t="shared" si="16"/>
        <v>49217</v>
      </c>
      <c r="AW36" s="411">
        <f t="shared" si="16"/>
        <v>49582</v>
      </c>
      <c r="AX36" s="411">
        <f t="shared" si="16"/>
        <v>49948</v>
      </c>
      <c r="AY36" s="411">
        <f t="shared" si="16"/>
        <v>50313</v>
      </c>
      <c r="AZ36" s="211"/>
    </row>
    <row r="37" spans="1:52" ht="12.75" customHeight="1" thickBot="1">
      <c r="A37" s="236" t="s">
        <v>154</v>
      </c>
      <c r="B37" s="237">
        <f>SUM(B33:B35)</f>
        <v>0</v>
      </c>
      <c r="C37" s="237" t="str">
        <f>IF(C27="No Year 2","",SUM(C33:C35))</f>
        <v/>
      </c>
      <c r="D37" s="237" t="str">
        <f>IF(D27="No Year 3","",SUM(D33:D35))</f>
        <v/>
      </c>
      <c r="E37" s="237" t="str">
        <f>IF(E27="No Year 4","",SUM(E33:E35))</f>
        <v/>
      </c>
      <c r="F37" s="237" t="str">
        <f>IF(F27="No Year 5","",SUM(F33:F35))</f>
        <v/>
      </c>
      <c r="G37" s="237" t="str">
        <f>IF(G27="No Year 6","",SUM(G33:G35))</f>
        <v/>
      </c>
      <c r="H37" s="237" t="str">
        <f>IF(H27="No Year 7","",SUM(H33:H35))</f>
        <v/>
      </c>
      <c r="I37" s="237" t="str">
        <f>IF(I27="No Year 8","",SUM(I33:I35))</f>
        <v/>
      </c>
      <c r="J37" s="237" t="str">
        <f>IF(J27="No Year 9","",SUM(J33:J35))</f>
        <v/>
      </c>
      <c r="K37" s="237" t="str">
        <f>IF(K27="No Year 10","",SUM(K33:K35))</f>
        <v/>
      </c>
      <c r="L37" s="238">
        <f>SUM(B37:K37)</f>
        <v>0</v>
      </c>
      <c r="N37" s="86">
        <f>IF(L37&gt;0,1,0)</f>
        <v>0</v>
      </c>
      <c r="O37" s="207">
        <v>7</v>
      </c>
      <c r="Q37" s="412">
        <f>IF(IF(Q36&lt;H10,0,DATEDIF(H10,Q36+1,"m"))&lt;0,0,IF(Q36&lt;H10,0,DATEDIF(H10,Q36+1,"m")))</f>
        <v>0</v>
      </c>
      <c r="R37" s="412">
        <f>IF(IF(Q37=12,0,IF(R36&gt;H11,12-DATEDIF(H11,R36+1,"m"),IF(R36&lt;H10,0,DATEDIF(H10,R36+1,"m"))))&lt;0,0,IF(Q37=12,0,IF(R36&gt;H11,12-DATEDIF(H11,R36+1,"m"),IF(R36&lt;H10,0,DATEDIF(H10,R36+1,"m")))))</f>
        <v>0</v>
      </c>
      <c r="S37" s="412">
        <f>IF(IF(Q37+R37=12,0,IF(S36&gt;H11,12-DATEDIF(H11,S36+1,"m"),IF(S36&lt;H10,0,DATEDIF(H10,S36+1,"m"))))&lt;0,0,IF(Q37+R37=12,0,IF(S36&gt;H11,12-DATEDIF(H11,S36+1,"m"),IF(S36&lt;H10,0,DATEDIF(H10,S36+1,"m")))))</f>
        <v>0</v>
      </c>
      <c r="T37" s="412">
        <f>IF(IF(R37+S37+Q37=12,0,IF(T36&gt;H11,12-DATEDIF(H11,T36+1,"m"),IF(T36&lt;H10,0,DATEDIF(H10,T36+1,"m"))))&lt;0,0,IF(R37+S37+Q37=12,0,IF(T36&gt;H11,12-DATEDIF(H11,T36+1,"m"),IF(T36&lt;H10,0,DATEDIF(H10,T36+1,"m")))))</f>
        <v>0</v>
      </c>
      <c r="U37" s="412">
        <f>IF(IF(S37+T37+R37+Q37=12,0,IF(U36&gt;$H$11,12-DATEDIF($H$11,U36+1,"m"),IF(U36&lt;$H$10,0,DATEDIF($H$10,U36+1,"m"))))&lt;0,0,IF(S37+T37+R37+Q37=12,0,IF(U36&gt;$H$11,12-DATEDIF($H$11,U36+1,"m"),IF(U36&lt;$H$10,0,DATEDIF($H$10,U36+1,"m")))))</f>
        <v>0</v>
      </c>
      <c r="V37" s="412">
        <f>IF(IF(T37+U37+S37+R37+Q37=12,0,IF(V36&gt;$H$11,12-DATEDIF($H$11,V36+1,"m"),IF(V36&lt;$H$10,0,DATEDIF($H$10,V36+1,"m"))))&lt;0,0,IF(T37+U37+S37+R37+Q37=12,0,IF(V36&gt;$H$11,12-DATEDIF($H$11,V36+1,"m"),IF(V36&lt;$H$10,0,DATEDIF($H$10,V36+1,"m")))))</f>
        <v>0</v>
      </c>
      <c r="W37" s="412">
        <f>IF(IF(U37+V37+T37+S37+R37+Q37=12,0,IF(W36&gt;$H$11,12-DATEDIF($H$11,W36+1,"m"),IF(W36&lt;$H$10,0,DATEDIF($H$10,W36+1,"m"))))&lt;0,0,IF(U37+V37+T37+S37+R37+Q37=12,0,IF(W36&gt;$H$11,12-DATEDIF($H$11,W36+1,"m"),IF(W36&lt;$H$10,0,DATEDIF($H$10,W36+1,"m")))))</f>
        <v>0</v>
      </c>
      <c r="X37" s="412">
        <f>IF(IF(V37+W37+U37+T37+S37+R37+Q37=12,0,IF(X36&gt;$H$11,12-DATEDIF($H$11,X36+1,"m"),IF(X36&lt;$H$10,0,DATEDIF($H$10,X36+1,"m"))))&lt;0,0,IF(V37+W37+U37+T37+S37+R37+Q37=12,0,IF(X36&gt;$H$11,12-DATEDIF($H$11,X36+1,"m"),IF(X36&lt;$H$10,0,DATEDIF($H$10,X36+1,"m")))))</f>
        <v>0</v>
      </c>
      <c r="Y37" s="412">
        <f>IF(IF(W37+X37+V37+U37+T37+S37+R37+Q37=12,0,IF(Y36&gt;$H$11,12-DATEDIF($H$11,Y36+1,"m"),IF(Y36&lt;$H$10,0,DATEDIF($H$10,Y36+1,"m"))))&lt;0,0,IF(W37+X37+V37+U37+T37+S37+R37+Q37=12,0,IF(Y36&gt;$H$11,12-DATEDIF($H$11,Y36+1,"m"),IF(Y36&lt;$H$10,0,DATEDIF($H$10,Y36+1,"m")))))</f>
        <v>0</v>
      </c>
      <c r="Z37" s="412">
        <f>IF(IF(X37+Y37+W37+V37+U37+T37+S37+R37+Q37=12,0,IF(Z36&gt;$H$11,12-DATEDIF($H$11,Z36+1,"m"),IF(Z36&lt;$H$10,0,DATEDIF($H$10,Z36+1,"m"))))&lt;0,0,IF(X37+Y37+W37+V37+U37+T37+S37+R37+Q37=12,0,IF(Z36&gt;$H$11,12-DATEDIF($H$11,Z36+1,"m"),IF(Z36&lt;$H$10,0,DATEDIF($H$10,Z36+1,"m")))))</f>
        <v>0</v>
      </c>
      <c r="AA37" s="412">
        <f>IF(IF(Q37+R37+S37+Y37+Z37+X37+W37+V37+U37+T37=12,0,IF(AA36&gt;$H$11,12-DATEDIF($H$11,AA36+1,"m"),IF(AA36&lt;$H$10,0,DATEDIF($H$10,AA36+1,"m"))))&lt;0,0,IF(Q37+R37+S37+Y37+Z37+X37+W37+V37+U37+T37=12,0,IF(AA36&gt;$H$11,12-DATEDIF($H$11,AA36+1,"m"),IF(AA36&lt;$H$10,0,DATEDIF($H$10,AA36+1,"m")))))</f>
        <v>0</v>
      </c>
      <c r="AB37" s="412">
        <f>IF(IF(Q37+R37+S37+T37+Z37+AA37+Y37+X37+W37+V37+U37=12,0,IF(AB36&gt;$H$11,12-DATEDIF($H$11,AB36+1,"m"),IF(AB36&lt;$H$10,0,DATEDIF($H$10,AB36+1,"m"))))&lt;0,0,IF(Q37+R37+S37+T37+Z37+AA37+Y37+X37+W37+V37+U37=12,0,IF(AB36&gt;$H$11,12-DATEDIF($H$11,AB36+1,"m"),IF(AB36&lt;$H$10,0,DATEDIF($H$10,AB36+1,"m")))))</f>
        <v>0</v>
      </c>
      <c r="AC37" s="412">
        <f>IF(IF(Q37+R37+S37+T37+U37+AA37+AB37+Z37+Y37+X37+W37+V37=12,0,IF(AC36&gt;$H$11,12-DATEDIF($H$11,AC36+1,"m"),IF(AC36&lt;$H$10,0,DATEDIF($H$10,AC36+1,"m"))))&lt;0,0,IF(Q37+R37+S37+T37+U37+AA37+AB37+Z37+Y37+X37+W37+V37=12,0,IF(AC36&gt;$H$11,12-DATEDIF($H$11,AC36+1,"m"),IF(AC36&lt;$H$10,0,DATEDIF($H$10,AC36+1,"m")))))</f>
        <v>0</v>
      </c>
      <c r="AD37" s="412">
        <f>IF(IF(Q37+R37+S37+T37+U37+V37+AB37+AC37+AA37+Z37+Y37+X37+W37=12,0,IF(AD36&gt;$H$11,12-DATEDIF($H$11,AD36+1,"m"),IF(AD36&lt;$H$10,0,DATEDIF($H$10,AD36+1,"m"))))&lt;0,0,IF(Q37+R37+S37+T37+U37+V37+AB37+AC37+AA37+Z37+Y37+X37+W37=12,0,IF(AD36&gt;$H$11,12-DATEDIF($H$11,AD36+1,"m"),IF(AD36&lt;$H$10,0,DATEDIF($H$10,AD36+1,"m")))))</f>
        <v>0</v>
      </c>
      <c r="AE37" s="412">
        <f>IF(IF(Q37+R37+S37+T37+U37+V37+W37+AC37+AD37+AB37+AA37+Z37+Y37+X37=12,0,IF(AE36&gt;$H$11,12-DATEDIF($H$11,AE36+1,"m"),IF(AE36&lt;$H$10,0,DATEDIF($H$10,AE36+1,"m"))))&lt;0,0,IF(Q37+R37+S37+T37+U37+V37+W37+AC37+AD37+AB37+AA37+Z37+Y37+X37=12,0,IF(AE36&gt;$H$11,12-DATEDIF($H$11,AE36+1,"m"),IF(AE36&lt;$H$10,0,DATEDIF($H$10,AE36+1,"m")))))</f>
        <v>0</v>
      </c>
      <c r="AF37" s="412">
        <f>IF(IF(Q37+R37+S37+T37+U37+V37+W37+X37+AD37+AE37+AC37+AB37+AA37+Z37+Y37=12,0,IF(AF36&gt;$H$11,12-DATEDIF($H$11,AF36+1,"m"),IF(AF36&lt;$H$10,0,DATEDIF($H$10,AF36+1,"m"))))&lt;0,0,IF(Q37+R37+S37+T37+U37+V37+W37+X37+AD37+AE37+AC37+AB37+AA37+Z37+Y37=12,0,IF(AF36&gt;$H$11,12-DATEDIF($H$11,AF36+1,"m"),IF(AF36&lt;$H$10,0,DATEDIF($H$10,AF36+1,"m")))))</f>
        <v>0</v>
      </c>
      <c r="AG37" s="412">
        <f>IF(IF(Q37+R37+S37+T37+U37+V37+W37+X37+Y37+AE37+AF37+AD37+AC37+AB37+AA37+Z37=12,0,IF(AG36&gt;$H$11,12-DATEDIF($H$11,AG36+1,"m"),IF(AG36&lt;$H$10,0,DATEDIF($H$10,AG36+1,"m"))))&lt;0,0,IF(Q37+R37+S37+T37+U37+V37+W37+X37+Y37+AE37+AF37+AD37+AC37+AB37+AA37+Z37=12,0,IF(AG36&gt;$H$11,12-DATEDIF($H$11,AG36+1,"m"),IF(AG36&lt;$H$10,0,DATEDIF($H$10,AG36+1,"m")))))</f>
        <v>0</v>
      </c>
      <c r="AH37" s="219">
        <f>SUM(Q37:AG37)</f>
        <v>0</v>
      </c>
      <c r="AI37" s="412">
        <f t="shared" si="15"/>
        <v>0</v>
      </c>
      <c r="AJ37" s="412">
        <f t="shared" si="15"/>
        <v>0</v>
      </c>
      <c r="AK37" s="412">
        <f t="shared" si="15"/>
        <v>0</v>
      </c>
      <c r="AL37" s="412">
        <f t="shared" si="15"/>
        <v>0</v>
      </c>
      <c r="AM37" s="412">
        <f t="shared" si="15"/>
        <v>0</v>
      </c>
      <c r="AN37" s="412">
        <f t="shared" si="15"/>
        <v>0</v>
      </c>
      <c r="AO37" s="412">
        <f t="shared" si="15"/>
        <v>0</v>
      </c>
      <c r="AP37" s="412">
        <f t="shared" si="15"/>
        <v>0</v>
      </c>
      <c r="AQ37" s="412">
        <f t="shared" si="15"/>
        <v>0</v>
      </c>
      <c r="AR37" s="412">
        <f t="shared" si="15"/>
        <v>0</v>
      </c>
      <c r="AS37" s="412">
        <f t="shared" si="16"/>
        <v>0</v>
      </c>
      <c r="AT37" s="412">
        <f t="shared" si="16"/>
        <v>0</v>
      </c>
      <c r="AU37" s="412">
        <f t="shared" si="16"/>
        <v>0</v>
      </c>
      <c r="AV37" s="412">
        <f t="shared" si="16"/>
        <v>0</v>
      </c>
      <c r="AW37" s="412">
        <f t="shared" si="16"/>
        <v>0</v>
      </c>
      <c r="AX37" s="412">
        <f t="shared" si="16"/>
        <v>0</v>
      </c>
      <c r="AY37" s="412">
        <f t="shared" si="16"/>
        <v>0</v>
      </c>
      <c r="AZ37" s="211">
        <f>SUM(AI37:AY37)</f>
        <v>0</v>
      </c>
    </row>
    <row r="38" spans="1:52" ht="12.75" customHeight="1" thickTop="1">
      <c r="Q38" s="412">
        <f>IF(Q37=0,0,(IF(($B$16+$C$16+$D$16+$E$16+$F$16+$G$16+$H$16)&lt;=25000,(($H$16/+$AH$37)*Q37)*VLOOKUP('1. SUMMARY'!$C$20,rate,Sheet1!T$21,0),((IF(($B$16+$C$16+$D$16+$E$16+$F$16+$G$16)&gt;=25000,0,(((25000-($B$16+$C$16+$D$16+$E$16+$F$16+$G$16))/+$AH$37)*Q37)*(VLOOKUP('1. SUMMARY'!$C$20,rate,Sheet1!T$21,0))))))))</f>
        <v>0</v>
      </c>
      <c r="R38" s="412">
        <f>IF(R37=0,0,(IF(($B$16+$C$16+$D$16+$E$16+$F$16+$G$16+$H$16)&lt;=25000,(($H$16/+$AH$37)*R37)*VLOOKUP('1. SUMMARY'!$C$20,rate,Sheet1!U$21,0),((IF(($B$16+$C$16+$D$16+$E$16+$F$16+$G$16)&gt;=25000,0,(((25000-($B$16+$C$16+$D$16+$E$16+$F$16+$G$16))/+$AH$37)*R37)*(VLOOKUP('1. SUMMARY'!$C$20,rate,Sheet1!U$21,0))))))))</f>
        <v>0</v>
      </c>
      <c r="S38" s="412">
        <f>IF(S37=0,0,(IF(($B$16+$C$16+$D$16+$E$16+$F$16+$G$16+$H$16)&lt;=25000,(($H$16/+$AH$37)*S37)*VLOOKUP('1. SUMMARY'!$C$20,rate,Sheet1!V$21,0),((IF(($B$16+$C$16+$D$16+$E$16+$F$16+$G$16)&gt;=25000,0,(((25000-($B$16+$C$16+$D$16+$E$16+$F$16+$G$16))/+$AH$37)*S37)*(VLOOKUP('1. SUMMARY'!$C$20,rate,Sheet1!V$21,0))))))))</f>
        <v>0</v>
      </c>
      <c r="T38" s="412">
        <f>IF(T37=0,0,(IF(($B$16+$C$16+$D$16+$E$16+$F$16+$G$16+$H$16)&lt;=25000,(($H$16/+$AH$37)*T37)*VLOOKUP('1. SUMMARY'!$C$20,rate,Sheet1!W$21,0),((IF(($B$16+$C$16+$D$16+$E$16+$F$16+$G$16)&gt;=25000,0,(((25000-($B$16+$C$16+$D$16+$E$16+$F$16+$G$16))/+$AH$37)*T37)*(VLOOKUP('1. SUMMARY'!$C$20,rate,Sheet1!W$21,0))))))))</f>
        <v>0</v>
      </c>
      <c r="U38" s="412">
        <f>IF(U37=0,0,(IF(($B$16+$C$16+$D$16+$E$16+$F$16+$G$16+$H$16)&lt;=25000,(($H$16/+$AH$37)*U37)*VLOOKUP('1. SUMMARY'!$C$20,rate,Sheet1!X$21,0),((IF(($B$16+$C$16+$D$16+$E$16+$F$16+$G$16)&gt;=25000,0,(((25000-($B$16+$C$16+$D$16+$E$16+$F$16+$G$16))/+$AH$37)*U37)*(VLOOKUP('1. SUMMARY'!$C$20,rate,Sheet1!X$21,0))))))))</f>
        <v>0</v>
      </c>
      <c r="V38" s="412">
        <f>IF(V37=0,0,(IF(($B$16+$C$16+$D$16+$E$16+$F$16+$G$16+$H$16)&lt;=25000,(($H$16/+$AH$37)*V37)*VLOOKUP('1. SUMMARY'!$C$20,rate,Sheet1!Y$21,0),((IF(($B$16+$C$16+$D$16+$E$16+$F$16+$G$16)&gt;=25000,0,(((25000-($B$16+$C$16+$D$16+$E$16+$F$16+$G$16))/+$AH$37)*V37)*(VLOOKUP('1. SUMMARY'!$C$20,rate,Sheet1!Y$21,0))))))))</f>
        <v>0</v>
      </c>
      <c r="W38" s="412">
        <f>IF(W37=0,0,(IF(($B$16+$C$16+$D$16+$E$16+$F$16+$G$16+$H$16)&lt;=25000,(($H$16/+$AH$37)*W37)*VLOOKUP('1. SUMMARY'!$C$20,rate,Sheet1!Z$21,0),((IF(($B$16+$C$16+$D$16+$E$16+$F$16+$G$16)&gt;=25000,0,(((25000-($B$16+$C$16+$D$16+$E$16+$F$16+$G$16))/+$AH$37)*W37)*(VLOOKUP('1. SUMMARY'!$C$20,rate,Sheet1!Z$21,0))))))))</f>
        <v>0</v>
      </c>
      <c r="X38" s="412">
        <f>IF(X37=0,0,(IF(($B$16+$C$16+$D$16+$E$16+$F$16+$G$16+$H$16)&lt;=25000,(($H$16/+$AH$37)*X37)*VLOOKUP('1. SUMMARY'!$C$20,rate,Sheet1!AA$21,0),((IF(($B$16+$C$16+$D$16+$E$16+$F$16+$G$16)&gt;=25000,0,(((25000-($B$16+$C$16+$D$16+$E$16+$F$16+$G$16))/+$AH$37)*X37)*(VLOOKUP('1. SUMMARY'!$C$20,rate,Sheet1!AA$21,0))))))))</f>
        <v>0</v>
      </c>
      <c r="Y38" s="412">
        <f>IF(Y37=0,0,(IF(($B$16+$C$16+$D$16+$E$16+$F$16+$G$16+$H$16)&lt;=25000,(($H$16/+$AH$37)*Y37)*VLOOKUP('1. SUMMARY'!$C$20,rate,Sheet1!AB$21,0),((IF(($B$16+$C$16+$D$16+$E$16+$F$16+$G$16)&gt;=25000,0,(((25000-($B$16+$C$16+$D$16+$E$16+$F$16+$G$16))/+$AH$37)*Y37)*(VLOOKUP('1. SUMMARY'!$C$20,rate,Sheet1!AB$21,0))))))))</f>
        <v>0</v>
      </c>
      <c r="Z38" s="412">
        <f>IF(Z37=0,0,(IF(($B$16+$C$16+$D$16+$E$16+$F$16+$G$16+$H$16)&lt;=25000,(($H$16/+$AH$37)*Z37)*VLOOKUP('1. SUMMARY'!$C$20,rate,Sheet1!AC$21,0),((IF(($B$16+$C$16+$D$16+$E$16+$F$16+$G$16)&gt;=25000,0,(((25000-($B$16+$C$16+$D$16+$E$16+$F$16+$G$16))/+$AH$37)*Z37)*(VLOOKUP('1. SUMMARY'!$C$20,rate,Sheet1!AC$21,0))))))))</f>
        <v>0</v>
      </c>
      <c r="AA38" s="412">
        <f>IF(AA37=0,0,(IF(($B$16+$C$16+$D$16+$E$16+$F$16+$G$16+$H$16)&lt;=25000,(($H$16/+$AH$37)*AA37)*VLOOKUP('1. SUMMARY'!$C$20,rate,Sheet1!AD$21,0),((IF(($B$16+$C$16+$D$16+$E$16+$F$16+$G$16)&gt;=25000,0,(((25000-($B$16+$C$16+$D$16+$E$16+$F$16+$G$16))/+$AH$37)*AA37)*(VLOOKUP('1. SUMMARY'!$C$20,rate,Sheet1!AD$21,0))))))))</f>
        <v>0</v>
      </c>
      <c r="AB38" s="412">
        <f>IF(AB37=0,0,(IF(($B$16+$C$16+$D$16+$E$16+$F$16+$G$16+$H$16)&lt;=25000,(($H$16/+$AH$37)*AB37)*VLOOKUP('1. SUMMARY'!$C$20,rate,Sheet1!AE$21,0),((IF(($B$16+$C$16+$D$16+$E$16+$F$16+$G$16)&gt;=25000,0,(((25000-($B$16+$C$16+$D$16+$E$16+$F$16+$G$16))/+$AH$37)*AB37)*(VLOOKUP('1. SUMMARY'!$C$20,rate,Sheet1!AE$21,0))))))))</f>
        <v>0</v>
      </c>
      <c r="AC38" s="412">
        <f>IF(AC37=0,0,(IF(($B$16+$C$16+$D$16+$E$16+$F$16+$G$16+$H$16)&lt;=25000,(($H$16/+$AH$37)*AC37)*VLOOKUP('1. SUMMARY'!$C$20,rate,Sheet1!AF$21,0),((IF(($B$16+$C$16+$D$16+$E$16+$F$16+$G$16)&gt;=25000,0,(((25000-($B$16+$C$16+$D$16+$E$16+$F$16+$G$16))/+$AH$37)*AC37)*(VLOOKUP('1. SUMMARY'!$C$20,rate,Sheet1!AF$21,0))))))))</f>
        <v>0</v>
      </c>
      <c r="AD38" s="412">
        <f>IF(AD37=0,0,(IF(($B$16+$C$16+$D$16+$E$16+$F$16+$G$16+$H$16)&lt;=25000,(($H$16/+$AH$37)*AD37)*VLOOKUP('1. SUMMARY'!$C$20,rate,Sheet1!AG$21,0),((IF(($B$16+$C$16+$D$16+$E$16+$F$16+$G$16)&gt;=25000,0,(((25000-($B$16+$C$16+$D$16+$E$16+$F$16+$G$16))/+$AH$37)*AD37)*(VLOOKUP('1. SUMMARY'!$C$20,rate,Sheet1!AG$21,0))))))))</f>
        <v>0</v>
      </c>
      <c r="AE38" s="412">
        <f>IF(AE37=0,0,(IF(($B$16+$C$16+$D$16+$E$16+$F$16+$G$16+$H$16)&lt;=25000,(($H$16/+$AH$37)*AE37)*VLOOKUP('1. SUMMARY'!$C$20,rate,Sheet1!AH$21,0),((IF(($B$16+$C$16+$D$16+$E$16+$F$16+$G$16)&gt;=25000,0,(((25000-($B$16+$C$16+$D$16+$E$16+$F$16+$G$16))/+$AH$37)*AE37)*(VLOOKUP('1. SUMMARY'!$C$20,rate,Sheet1!AH$21,0))))))))</f>
        <v>0</v>
      </c>
      <c r="AF38" s="412">
        <f>IF(AF37=0,0,(IF(($B$16+$C$16+$D$16+$E$16+$F$16+$G$16+$H$16)&lt;=25000,(($H$16/+$AH$37)*AF37)*VLOOKUP('1. SUMMARY'!$C$20,rate,Sheet1!AI$21,0),((IF(($B$16+$C$16+$D$16+$E$16+$F$16+$G$16)&gt;=25000,0,(((25000-($B$16+$C$16+$D$16+$E$16+$F$16+$G$16))/+$AH$37)*AF37)*(VLOOKUP('1. SUMMARY'!$C$20,rate,Sheet1!AI$21,0))))))))</f>
        <v>0</v>
      </c>
      <c r="AG38" s="412">
        <f>IF(AG37=0,0,(IF(($B$16+$C$16+$D$16+$E$16+$F$16+$G$16+$H$16)&lt;=25000,(($H$16/+$AH$37)*AG37)*VLOOKUP('1. SUMMARY'!$C$20,rate,Sheet1!AJ$21,0),((IF(($B$16+$C$16+$D$16+$E$16+$F$16+$G$16)&gt;=25000,0,(((25000-($B$16+$C$16+$D$16+$E$16+$F$16+$G$16))/+$AH$37)*AG37)*(VLOOKUP('1. SUMMARY'!$C$20,rate,Sheet1!AJ$21,0))))))))</f>
        <v>0</v>
      </c>
      <c r="AH38" s="219">
        <f>SUM(Q38:AG38)</f>
        <v>0</v>
      </c>
      <c r="AI38" s="412">
        <f>IF(AI37=0,0,((+$H16/$AZ37)*AI37)*VLOOKUP('1. SUMMARY'!$C$20,rate,Sheet1!T$21,0))</f>
        <v>0</v>
      </c>
      <c r="AJ38" s="412">
        <f>IF(AJ37=0,0,((+$H16/$AZ37)*AJ37)*VLOOKUP('1. SUMMARY'!$C$20,rate,Sheet1!U$21,0))</f>
        <v>0</v>
      </c>
      <c r="AK38" s="412">
        <f>IF(AK37=0,0,((+$H16/$AZ37)*AK37)*VLOOKUP('1. SUMMARY'!$C$20,rate,Sheet1!V$21,0))</f>
        <v>0</v>
      </c>
      <c r="AL38" s="412">
        <f>IF(AL37=0,0,((+$H16/$AZ37)*AL37)*VLOOKUP('1. SUMMARY'!$C$20,rate,Sheet1!W$21,0))</f>
        <v>0</v>
      </c>
      <c r="AM38" s="412">
        <f>IF(AM37=0,0,((+$H16/$AZ37)*AM37)*VLOOKUP('1. SUMMARY'!$C$20,rate,Sheet1!X$21,0))</f>
        <v>0</v>
      </c>
      <c r="AN38" s="412">
        <f>IF(AN37=0,0,((+$H16/$AZ37)*AN37)*VLOOKUP('1. SUMMARY'!$C$20,rate,Sheet1!Y$21,0))</f>
        <v>0</v>
      </c>
      <c r="AO38" s="412">
        <f>IF(AO37=0,0,((+$H16/$AZ37)*AO37)*VLOOKUP('1. SUMMARY'!$C$20,rate,Sheet1!Z$21,0))</f>
        <v>0</v>
      </c>
      <c r="AP38" s="412">
        <f>IF(AP37=0,0,((+$H16/$AZ37)*AP37)*VLOOKUP('1. SUMMARY'!$C$20,rate,Sheet1!AA$21,0))</f>
        <v>0</v>
      </c>
      <c r="AQ38" s="412">
        <f>IF(AQ37=0,0,((+$H16/$AZ37)*AQ37)*VLOOKUP('1. SUMMARY'!$C$20,rate,Sheet1!AB$21,0))</f>
        <v>0</v>
      </c>
      <c r="AR38" s="412">
        <f>IF(AR37=0,0,((+$H16/$AZ37)*AR37)*VLOOKUP('1. SUMMARY'!$C$20,rate,Sheet1!AC$21,0))</f>
        <v>0</v>
      </c>
      <c r="AS38" s="412">
        <f>IF(AS37=0,0,((+$H16/$AZ37)*AS37)*VLOOKUP('1. SUMMARY'!$C$20,rate,Sheet1!AD$21,0))</f>
        <v>0</v>
      </c>
      <c r="AT38" s="412">
        <f>IF(AT37=0,0,((+$H16/$AZ37)*AT37)*VLOOKUP('1. SUMMARY'!$C$20,rate,Sheet1!AE$21,0))</f>
        <v>0</v>
      </c>
      <c r="AU38" s="412">
        <f>IF(AU37=0,0,((+$H16/$AZ37)*AU37)*VLOOKUP('1. SUMMARY'!$C$20,rate,Sheet1!AF$21,0))</f>
        <v>0</v>
      </c>
      <c r="AV38" s="412">
        <f>IF(AV37=0,0,((+$H16/$AZ37)*AV37)*VLOOKUP('1. SUMMARY'!$C$20,rate,Sheet1!AG$21,0))</f>
        <v>0</v>
      </c>
      <c r="AW38" s="412">
        <f>IF(AW37=0,0,((+$H16/$AZ37)*AW37)*VLOOKUP('1. SUMMARY'!$C$20,rate,Sheet1!AH$21,0))</f>
        <v>0</v>
      </c>
      <c r="AX38" s="412">
        <f>IF(AX37=0,0,((+$H16/$AZ37)*AX37)*VLOOKUP('1. SUMMARY'!$C$20,rate,Sheet1!AI$21,0))</f>
        <v>0</v>
      </c>
      <c r="AY38" s="412">
        <f>IF(AY37=0,0,((+$H16/$AZ37)*AY37)*VLOOKUP('1. SUMMARY'!$C$20,rate,Sheet1!AJ$21,0))</f>
        <v>0</v>
      </c>
      <c r="AZ38" s="219">
        <f>SUM(AI38:AY38)</f>
        <v>0</v>
      </c>
    </row>
    <row r="39" spans="1:52" ht="12.75" customHeight="1" thickBot="1">
      <c r="Q39" s="412">
        <f>+Q38/VLOOKUP('1. SUMMARY'!$C$20,rate,Sheet1!T$21,0)</f>
        <v>0</v>
      </c>
      <c r="R39" s="412">
        <f>+R38/VLOOKUP('1. SUMMARY'!$C$20,rate,Sheet1!U$21,0)</f>
        <v>0</v>
      </c>
      <c r="S39" s="412">
        <f>+S38/VLOOKUP('1. SUMMARY'!$C$20,rate,Sheet1!V$21,0)</f>
        <v>0</v>
      </c>
      <c r="T39" s="412">
        <f>+T38/VLOOKUP('1. SUMMARY'!$C$20,rate,Sheet1!W$21,0)</f>
        <v>0</v>
      </c>
      <c r="U39" s="412">
        <f>+U38/VLOOKUP('1. SUMMARY'!$C$20,rate,Sheet1!X$21,0)</f>
        <v>0</v>
      </c>
      <c r="V39" s="412">
        <f>+V38/VLOOKUP('1. SUMMARY'!$C$20,rate,Sheet1!Y$21,0)</f>
        <v>0</v>
      </c>
      <c r="W39" s="412">
        <f>+W38/VLOOKUP('1. SUMMARY'!$C$20,rate,Sheet1!Z$21,0)</f>
        <v>0</v>
      </c>
      <c r="X39" s="412">
        <f>+X38/VLOOKUP('1. SUMMARY'!$C$20,rate,Sheet1!AA$21,0)</f>
        <v>0</v>
      </c>
      <c r="Y39" s="412">
        <f>+Y38/VLOOKUP('1. SUMMARY'!$C$20,rate,Sheet1!AB$21,0)</f>
        <v>0</v>
      </c>
      <c r="Z39" s="412">
        <f>+Z38/VLOOKUP('1. SUMMARY'!$C$20,rate,Sheet1!AC$21,0)</f>
        <v>0</v>
      </c>
      <c r="AA39" s="412">
        <f>+AA38/VLOOKUP('1. SUMMARY'!$C$20,rate,Sheet1!AD$21,0)</f>
        <v>0</v>
      </c>
      <c r="AB39" s="412">
        <f>+AB38/VLOOKUP('1. SUMMARY'!$C$20,rate,Sheet1!AE$21,0)</f>
        <v>0</v>
      </c>
      <c r="AC39" s="412">
        <f>+AC38/VLOOKUP('1. SUMMARY'!$C$20,rate,Sheet1!AF$21,0)</f>
        <v>0</v>
      </c>
      <c r="AD39" s="412">
        <f>+AD38/VLOOKUP('1. SUMMARY'!$C$20,rate,Sheet1!AG$21,0)</f>
        <v>0</v>
      </c>
      <c r="AE39" s="412">
        <f>+AE38/VLOOKUP('1. SUMMARY'!$C$20,rate,Sheet1!AH$21,0)</f>
        <v>0</v>
      </c>
      <c r="AF39" s="412">
        <f>+AF38/VLOOKUP('1. SUMMARY'!$C$20,rate,Sheet1!AI$21,0)</f>
        <v>0</v>
      </c>
      <c r="AG39" s="412">
        <f>+AG38/VLOOKUP('1. SUMMARY'!$C$20,rate,Sheet1!AJ$21,0)</f>
        <v>0</v>
      </c>
      <c r="AH39" s="219"/>
      <c r="AI39" s="412">
        <v>0</v>
      </c>
      <c r="AJ39" s="412">
        <v>0</v>
      </c>
      <c r="AK39" s="412">
        <v>0</v>
      </c>
      <c r="AL39" s="412">
        <v>0</v>
      </c>
      <c r="AM39" s="412">
        <v>0</v>
      </c>
      <c r="AN39" s="412">
        <v>0</v>
      </c>
      <c r="AO39" s="412">
        <v>0</v>
      </c>
      <c r="AP39" s="412">
        <v>0</v>
      </c>
      <c r="AQ39" s="412"/>
      <c r="AR39" s="412"/>
      <c r="AS39" s="412"/>
      <c r="AT39" s="412"/>
      <c r="AU39" s="412"/>
      <c r="AV39" s="412"/>
      <c r="AW39" s="412"/>
      <c r="AX39" s="412"/>
      <c r="AY39" s="412"/>
      <c r="AZ39" s="219"/>
    </row>
    <row r="40" spans="1:52" ht="12.75" customHeight="1" thickTop="1">
      <c r="A40" s="212" t="s">
        <v>156</v>
      </c>
      <c r="B40" s="213"/>
      <c r="C40" s="213"/>
      <c r="D40" s="213"/>
      <c r="E40" s="213"/>
      <c r="F40" s="213"/>
      <c r="G40" s="213"/>
      <c r="H40" s="213"/>
      <c r="I40" s="213"/>
      <c r="J40" s="213"/>
      <c r="K40" s="213"/>
      <c r="L40" s="214"/>
      <c r="Q40" s="418">
        <f>Sheet1!$T$8</f>
        <v>44105</v>
      </c>
      <c r="R40" s="418">
        <f>Sheet1!$U$8</f>
        <v>44470</v>
      </c>
      <c r="S40" s="418">
        <f>Sheet1!$V$8</f>
        <v>44835</v>
      </c>
      <c r="T40" s="418">
        <f>Sheet1!$W$8</f>
        <v>45200</v>
      </c>
      <c r="U40" s="418">
        <f>Sheet1!$X$8</f>
        <v>45566</v>
      </c>
      <c r="V40" s="418">
        <f>Sheet1!$Y$8</f>
        <v>45931</v>
      </c>
      <c r="W40" s="418">
        <f>Sheet1!$Z$8</f>
        <v>46296</v>
      </c>
      <c r="X40" s="418">
        <f>Sheet1!$AA$8</f>
        <v>46661</v>
      </c>
      <c r="Y40" s="418">
        <f>Sheet1!$AB$8</f>
        <v>47027</v>
      </c>
      <c r="Z40" s="418">
        <f>Sheet1!$AC$8</f>
        <v>47392</v>
      </c>
      <c r="AA40" s="418">
        <f>$AA$5</f>
        <v>47757</v>
      </c>
      <c r="AB40" s="418">
        <f>$AB$5</f>
        <v>48122</v>
      </c>
      <c r="AC40" s="418">
        <f>$AC$5</f>
        <v>48488</v>
      </c>
      <c r="AD40" s="418">
        <f>$AD$5</f>
        <v>48853</v>
      </c>
      <c r="AE40" s="418">
        <f>$AE$5</f>
        <v>49218</v>
      </c>
      <c r="AF40" s="418">
        <f>$AF$5</f>
        <v>49583</v>
      </c>
      <c r="AG40" s="418">
        <f>$AG$5</f>
        <v>49949</v>
      </c>
      <c r="AH40" s="219"/>
      <c r="AI40" s="418">
        <f t="shared" ref="AI40:AR42" si="17">+Q40</f>
        <v>44105</v>
      </c>
      <c r="AJ40" s="418">
        <f t="shared" si="17"/>
        <v>44470</v>
      </c>
      <c r="AK40" s="418">
        <f t="shared" si="17"/>
        <v>44835</v>
      </c>
      <c r="AL40" s="418">
        <f t="shared" si="17"/>
        <v>45200</v>
      </c>
      <c r="AM40" s="418">
        <f t="shared" si="17"/>
        <v>45566</v>
      </c>
      <c r="AN40" s="418">
        <f t="shared" si="17"/>
        <v>45931</v>
      </c>
      <c r="AO40" s="418">
        <f t="shared" si="17"/>
        <v>46296</v>
      </c>
      <c r="AP40" s="418">
        <f t="shared" si="17"/>
        <v>46661</v>
      </c>
      <c r="AQ40" s="418">
        <f t="shared" si="17"/>
        <v>47027</v>
      </c>
      <c r="AR40" s="418">
        <f t="shared" si="17"/>
        <v>47392</v>
      </c>
      <c r="AS40" s="418">
        <f t="shared" ref="AS40:AY42" si="18">+AA40</f>
        <v>47757</v>
      </c>
      <c r="AT40" s="418">
        <f t="shared" si="18"/>
        <v>48122</v>
      </c>
      <c r="AU40" s="418">
        <f t="shared" si="18"/>
        <v>48488</v>
      </c>
      <c r="AV40" s="418">
        <f t="shared" si="18"/>
        <v>48853</v>
      </c>
      <c r="AW40" s="418">
        <f t="shared" si="18"/>
        <v>49218</v>
      </c>
      <c r="AX40" s="418">
        <f t="shared" si="18"/>
        <v>49583</v>
      </c>
      <c r="AY40" s="418">
        <f t="shared" si="18"/>
        <v>49949</v>
      </c>
      <c r="AZ40" s="211"/>
    </row>
    <row r="41" spans="1:52" ht="23.25" customHeight="1">
      <c r="A41" s="215" t="s">
        <v>149</v>
      </c>
      <c r="B41" s="575"/>
      <c r="C41" s="575"/>
      <c r="D41" s="575"/>
      <c r="E41" s="575"/>
      <c r="F41" s="575"/>
      <c r="G41" s="575"/>
      <c r="H41" s="575"/>
      <c r="I41" s="575"/>
      <c r="J41" s="575"/>
      <c r="K41" s="575"/>
      <c r="L41" s="576"/>
      <c r="Q41" s="418">
        <f>Sheet1!$T$9</f>
        <v>44469</v>
      </c>
      <c r="R41" s="418">
        <f>Sheet1!$U$9</f>
        <v>44834</v>
      </c>
      <c r="S41" s="418">
        <f>Sheet1!$V$9</f>
        <v>45199</v>
      </c>
      <c r="T41" s="418">
        <f>Sheet1!$W$9</f>
        <v>45565</v>
      </c>
      <c r="U41" s="418">
        <f>Sheet1!$X$9</f>
        <v>45930</v>
      </c>
      <c r="V41" s="418">
        <f>Sheet1!$Y$9</f>
        <v>46295</v>
      </c>
      <c r="W41" s="418">
        <f>Sheet1!$Z$9</f>
        <v>46660</v>
      </c>
      <c r="X41" s="418">
        <f>Sheet1!$AA$9</f>
        <v>47026</v>
      </c>
      <c r="Y41" s="418">
        <f>Sheet1!$AB$9</f>
        <v>47391</v>
      </c>
      <c r="Z41" s="418">
        <f>Sheet1!$AC$9</f>
        <v>47756</v>
      </c>
      <c r="AA41" s="418">
        <f>$AA$6</f>
        <v>48121</v>
      </c>
      <c r="AB41" s="418">
        <f>$AB$6</f>
        <v>48487</v>
      </c>
      <c r="AC41" s="418">
        <f>$AC$6</f>
        <v>48852</v>
      </c>
      <c r="AD41" s="418">
        <f>$AD$6</f>
        <v>49217</v>
      </c>
      <c r="AE41" s="418">
        <f>$AE$6</f>
        <v>49582</v>
      </c>
      <c r="AF41" s="418">
        <f>$AF$6</f>
        <v>49948</v>
      </c>
      <c r="AG41" s="418">
        <f>$AG$6</f>
        <v>50313</v>
      </c>
      <c r="AH41" s="219"/>
      <c r="AI41" s="418">
        <f t="shared" si="17"/>
        <v>44469</v>
      </c>
      <c r="AJ41" s="418">
        <f t="shared" si="17"/>
        <v>44834</v>
      </c>
      <c r="AK41" s="418">
        <f t="shared" si="17"/>
        <v>45199</v>
      </c>
      <c r="AL41" s="418">
        <f t="shared" si="17"/>
        <v>45565</v>
      </c>
      <c r="AM41" s="418">
        <f t="shared" si="17"/>
        <v>45930</v>
      </c>
      <c r="AN41" s="418">
        <f t="shared" si="17"/>
        <v>46295</v>
      </c>
      <c r="AO41" s="418">
        <f t="shared" si="17"/>
        <v>46660</v>
      </c>
      <c r="AP41" s="418">
        <f t="shared" si="17"/>
        <v>47026</v>
      </c>
      <c r="AQ41" s="418">
        <f t="shared" si="17"/>
        <v>47391</v>
      </c>
      <c r="AR41" s="418">
        <f t="shared" si="17"/>
        <v>47756</v>
      </c>
      <c r="AS41" s="418">
        <f t="shared" si="18"/>
        <v>48121</v>
      </c>
      <c r="AT41" s="418">
        <f t="shared" si="18"/>
        <v>48487</v>
      </c>
      <c r="AU41" s="418">
        <f t="shared" si="18"/>
        <v>48852</v>
      </c>
      <c r="AV41" s="418">
        <f t="shared" si="18"/>
        <v>49217</v>
      </c>
      <c r="AW41" s="418">
        <f t="shared" si="18"/>
        <v>49582</v>
      </c>
      <c r="AX41" s="418">
        <f t="shared" si="18"/>
        <v>49948</v>
      </c>
      <c r="AY41" s="418">
        <f t="shared" si="18"/>
        <v>50313</v>
      </c>
      <c r="AZ41" s="211"/>
    </row>
    <row r="42" spans="1:52" ht="12.75" customHeight="1">
      <c r="A42" s="216"/>
      <c r="B42" s="217"/>
      <c r="C42" s="217"/>
      <c r="D42" s="217"/>
      <c r="E42" s="217"/>
      <c r="F42" s="217"/>
      <c r="G42" s="217"/>
      <c r="H42" s="217"/>
      <c r="I42" s="217"/>
      <c r="J42" s="217"/>
      <c r="K42" s="217"/>
      <c r="L42" s="218"/>
      <c r="O42" s="207">
        <v>8</v>
      </c>
      <c r="Q42" s="419">
        <f>IF(IF(Q41&lt;I10,0,DATEDIF(I10,Q41+1,"m"))&lt;0,0,IF(Q41&lt;I10,0,DATEDIF(I10,Q41+1,"m")))</f>
        <v>0</v>
      </c>
      <c r="R42" s="419">
        <f>IF(IF(Q42=12,0,IF(R41&gt;I11,12-DATEDIF(I11,R41+1,"m"),IF(R41&lt;I10,0,DATEDIF(I10,R41+1,"m"))))&lt;0,0,IF(Q42=12,0,IF(R41&gt;I11,12-DATEDIF(I11,R41+1,"m"),IF(R41&lt;I10,0,DATEDIF(I10,R41+1,"m")))))</f>
        <v>0</v>
      </c>
      <c r="S42" s="419">
        <f>IF(IF(Q42+R42=12,0,IF(S41&gt;I11,12-DATEDIF(I11,S41+1,"m"),IF(S41&lt;I10,0,DATEDIF(I10,S41+1,"m"))))&lt;0,0,IF(Q42+R42=12,0,IF(S41&gt;I11,12-DATEDIF(I11,S41+1,"m"),IF(S41&lt;I10,0,DATEDIF(I10,S41+1,"m")))))</f>
        <v>0</v>
      </c>
      <c r="T42" s="419">
        <f>IF(IF(R42+S42+Q42=12,0,IF(T41&gt;I11,12-DATEDIF(I11,T41+1,"m"),IF(T41&lt;I10,0,DATEDIF(I10,T41+1,"m"))))&lt;0,0,IF(R42+S42+Q42=12,0,IF(T41&gt;I11,12-DATEDIF(I11,T41+1,"m"),IF(T41&lt;I10,0,DATEDIF(I10,T41+1,"m")))))</f>
        <v>0</v>
      </c>
      <c r="U42" s="419">
        <f>IF(IF(S42+T42+R42+Q42=12,0,IF(U41&gt;$I$11,12-DATEDIF($I$11,U41+1,"m"),IF(U41&lt;$I$10,0,DATEDIF($I$10,U41+1,"m"))))&lt;0,0,IF(S42+T42+R42+Q42=12,0,IF(U41&gt;$I$11,12-DATEDIF($I$11,U41+1,"m"),IF(U41&lt;$I$10,0,DATEDIF($I$10,U41+1,"m")))))</f>
        <v>0</v>
      </c>
      <c r="V42" s="419">
        <f>IF(IF(T42+U42+S42+R42+Q42=12,0,IF(V41&gt;$I$11,12-DATEDIF($I$11,V41+1,"m"),IF(V41&lt;$I$10,0,DATEDIF($I$10,V41+1,"m"))))&lt;0,0,IF(T42+U42+S42+R42+Q42=12,0,IF(V41&gt;$I$11,12-DATEDIF($I$11,V41+1,"m"),IF(V41&lt;$I$10,0,DATEDIF($I$10,V41+1,"m")))))</f>
        <v>0</v>
      </c>
      <c r="W42" s="419">
        <f>IF(IF(U42+V42+T42+S42+R42+Q42=12,0,IF(W41&gt;$I$11,12-DATEDIF($I$11,W41+1,"m"),IF(W41&lt;$I$10,0,DATEDIF($I$10,W41+1,"m"))))&lt;0,0,IF(U42+V42+T42+S42+R42+Q42=12,0,IF(W41&gt;$I$11,12-DATEDIF($I$11,W41+1,"m"),IF(W41&lt;$I$10,0,DATEDIF($I$10,W41+1,"m")))))</f>
        <v>0</v>
      </c>
      <c r="X42" s="419">
        <f>IF(IF(V42+W42+U42+T42+S42+R42+Q42=12,0,IF(X41&gt;$I$11,12-DATEDIF($I$11,X41+1,"m"),IF(X41&lt;$I$10,0,DATEDIF($I$10,X41+1,"m"))))&lt;0,0,IF(V42+W42+U42+T42+S42+R42+Q42=12,0,IF(X41&gt;$I$11,12-DATEDIF($I$11,X41+1,"m"),IF(X41&lt;$I$10,0,DATEDIF($I$10,X41+1,"m")))))</f>
        <v>0</v>
      </c>
      <c r="Y42" s="419">
        <f>IF(IF(W42+X42+V42+U42+T42+S42+R42+Q42=12,0,IF(Y41&gt;$I$11,12-DATEDIF($I$11,Y41+1,"m"),IF(Y41&lt;$I$10,0,DATEDIF($I$10,Y41+1,"m"))))&lt;0,0,IF(W42+X42+V42+U42+T42+S42+R42+Q42=12,0,IF(Y41&gt;$I$11,12-DATEDIF($I$11,Y41+1,"m"),IF(Y41&lt;$I$10,0,DATEDIF($I$10,Y41+1,"m")))))</f>
        <v>0</v>
      </c>
      <c r="Z42" s="419">
        <f>IF(IF(X42+Y42+W42+V42+U42+T42+S42+R42+Q42=12,0,IF(Z41&gt;$I$11,12-DATEDIF($I$11,Z41+1,"m"),IF(Z41&lt;$I$10,0,DATEDIF($I$10,Z41+1,"m"))))&lt;0,0,IF(X42+Y42+W42+V42+U42+T42+S42+R42+Q42=12,0,IF(Z41&gt;$I$11,12-DATEDIF($I$11,Z41+1,"m"),IF(Z41&lt;$I$10,0,DATEDIF($I$10,Z41+1,"m")))))</f>
        <v>0</v>
      </c>
      <c r="AA42" s="419">
        <f>IF(IF(Q42+R42+S42+Y42+Z42+X42+W42+V42+U42+T42=12,0,IF(AA41&gt;$I$11,12-DATEDIF($I$11,AA41+1,"m"),IF(AA41&lt;$I$10,0,DATEDIF($I$10,AA41+1,"m"))))&lt;0,0,IF(Q42+R42+S42+Y42+Z42+X42+W42+V42+U42+T42=12,0,IF(AA41&gt;$I$11,12-DATEDIF($I$11,AA41+1,"m"),IF(AA41&lt;$I$10,0,DATEDIF($I$10,AA41+1,"m")))))</f>
        <v>0</v>
      </c>
      <c r="AB42" s="419">
        <f>IF(IF(Q42+R42+S42+T42+Z42+AA42+Y42+X42+W42+V42+U42=12,0,IF(AB41&gt;$I$11,12-DATEDIF($I$11,AB41+1,"m"),IF(AB41&lt;$I$10,0,DATEDIF($I$10,AB41+1,"m"))))&lt;0,0,IF(Q42+R42+S42+T42+Z42+AA42+Y42+X42+W42+V42+U42=12,0,IF(AB41&gt;$I$11,12-DATEDIF($I$11,AB41+1,"m"),IF(AB41&lt;$I$10,0,DATEDIF($I$10,AB41+1,"m")))))</f>
        <v>0</v>
      </c>
      <c r="AC42" s="419">
        <f>IF(IF(Q42+R42+S42+T42+U42+AA42+AB42+Z42+Y42+X42+W42+V42=12,0,IF(AC41&gt;$I$11,12-DATEDIF($I$11,AC41+1,"m"),IF(AC41&lt;$I$10,0,DATEDIF($I$10,AC41+1,"m"))))&lt;0,0,IF(Q42+R42+S42+T42+U42+AA42+AB42+Z42+Y42+X42+W42+V42=12,0,IF(AC41&gt;$I$11,12-DATEDIF($I$11,AC41+1,"m"),IF(AC41&lt;$I$10,0,DATEDIF($I$10,AC41+1,"m")))))</f>
        <v>0</v>
      </c>
      <c r="AD42" s="419">
        <f>IF(IF(Q42+R42+S42+T42+U42+V42+AB42+AC42+AA42+Z42+Y42+X42+W42=12,0,IF(AD41&gt;$I$11,12-DATEDIF($I$11,AD41+1,"m"),IF(AD41&lt;$I$10,0,DATEDIF($I$10,AD41+1,"m"))))&lt;0,0,IF(Q42+R42+S42+T42+U42+V42+AB42+AC42+AA42+Z42+Y42+X42+W42=12,0,IF(AD41&gt;$I$11,12-DATEDIF($I$11,AD41+1,"m"),IF(AD41&lt;$I$10,0,DATEDIF($I$10,AD41+1,"m")))))</f>
        <v>0</v>
      </c>
      <c r="AE42" s="419">
        <f>IF(IF(Q42+R42+S42+T42+U42+V42+W42+AC42+AD42+AB42+AA42+Z42+Y42+X42=12,0,IF(AE41&gt;$I$11,12-DATEDIF($I$11,AE41+1,"m"),IF(AE41&lt;$I$10,0,DATEDIF($I$10,AE41+1,"m"))))&lt;0,0,IF(Q42+R42+S42+T42+U42+V42+W42+AC42+AD42+AB42+AA42+Z42+Y42+X42=12,0,IF(AE41&gt;$I$11,12-DATEDIF($I$11,AE41+1,"m"),IF(AE41&lt;$I$10,0,DATEDIF($I$10,AE41+1,"m")))))</f>
        <v>0</v>
      </c>
      <c r="AF42" s="419">
        <f>IF(IF(Q42+R42+S42+T42+U42+V42+W42+X42+AD42+AE42+AC42+AB42+AA42+Z42+Y42=12,0,IF(AF41&gt;$I$11,12-DATEDIF($I$11,AF41+1,"m"),IF(AF41&lt;$I$10,0,DATEDIF($I$10,AF41+1,"m"))))&lt;0,0,IF(Q42+R42+S42+T42+U42+V42+W42+X42+AD42+AE42+AC42+AB42+AA42+Z42+Y42=12,0,IF(AF41&gt;$I$11,12-DATEDIF($I$11,AF41+1,"m"),IF(AF41&lt;$I$10,0,DATEDIF($I$10,AF41+1,"m")))))</f>
        <v>0</v>
      </c>
      <c r="AG42" s="419">
        <f>IF(IF(Q42+R42+S42+T42+U42+V42+W42+X42+Y42+AE42+AF42+AD42+AC42+AB42+AA42+Z42=12,0,IF(AG41&gt;$I$11,12-DATEDIF($I$11,AG41+1,"m"),IF(AG41&lt;$I$10,0,DATEDIF($I$10,AG41+1,"m"))))&lt;0,0,IF(Q42+R42+S42+T42+U42+V42+W42+X42+Y42+AE42+AF42+AD42+AC42+AB42+AA42+Z42=12,0,IF(AG41&gt;$I$11,12-DATEDIF($I$11,AG41+1,"m"),IF(AG41&lt;$I$10,0,DATEDIF($I$10,AG41+1,"m")))))</f>
        <v>0</v>
      </c>
      <c r="AH42" s="219">
        <f>SUM(Q42:AG42)</f>
        <v>0</v>
      </c>
      <c r="AI42" s="419">
        <f t="shared" si="17"/>
        <v>0</v>
      </c>
      <c r="AJ42" s="419">
        <f t="shared" si="17"/>
        <v>0</v>
      </c>
      <c r="AK42" s="419">
        <f t="shared" si="17"/>
        <v>0</v>
      </c>
      <c r="AL42" s="419">
        <f t="shared" si="17"/>
        <v>0</v>
      </c>
      <c r="AM42" s="419">
        <f t="shared" si="17"/>
        <v>0</v>
      </c>
      <c r="AN42" s="419">
        <f t="shared" si="17"/>
        <v>0</v>
      </c>
      <c r="AO42" s="419">
        <f t="shared" si="17"/>
        <v>0</v>
      </c>
      <c r="AP42" s="419">
        <f t="shared" si="17"/>
        <v>0</v>
      </c>
      <c r="AQ42" s="419">
        <f t="shared" si="17"/>
        <v>0</v>
      </c>
      <c r="AR42" s="419">
        <f t="shared" si="17"/>
        <v>0</v>
      </c>
      <c r="AS42" s="419">
        <f t="shared" si="18"/>
        <v>0</v>
      </c>
      <c r="AT42" s="419">
        <f t="shared" si="18"/>
        <v>0</v>
      </c>
      <c r="AU42" s="419">
        <f t="shared" si="18"/>
        <v>0</v>
      </c>
      <c r="AV42" s="419">
        <f t="shared" si="18"/>
        <v>0</v>
      </c>
      <c r="AW42" s="419">
        <f t="shared" si="18"/>
        <v>0</v>
      </c>
      <c r="AX42" s="419">
        <f t="shared" si="18"/>
        <v>0</v>
      </c>
      <c r="AY42" s="419">
        <f t="shared" si="18"/>
        <v>0</v>
      </c>
      <c r="AZ42" s="211">
        <f>SUM(AI42:AY42)</f>
        <v>0</v>
      </c>
    </row>
    <row r="43" spans="1:52" ht="12.75" customHeight="1">
      <c r="A43" s="216"/>
      <c r="B43" s="175" t="s">
        <v>81</v>
      </c>
      <c r="C43" s="175" t="s">
        <v>82</v>
      </c>
      <c r="D43" s="175" t="s">
        <v>83</v>
      </c>
      <c r="E43" s="175" t="s">
        <v>84</v>
      </c>
      <c r="F43" s="175" t="s">
        <v>85</v>
      </c>
      <c r="G43" s="175" t="s">
        <v>86</v>
      </c>
      <c r="H43" s="175" t="s">
        <v>87</v>
      </c>
      <c r="I43" s="175" t="s">
        <v>224</v>
      </c>
      <c r="J43" s="175" t="s">
        <v>225</v>
      </c>
      <c r="K43" s="175" t="s">
        <v>226</v>
      </c>
      <c r="L43" s="220" t="s">
        <v>47</v>
      </c>
      <c r="Q43" s="419">
        <f>IF(Q42=0,0,(IF(($B$16+$C$16+$D$16+$E$16+$F$16+$G$16+$H$16+$I$16)&lt;=25000,(($I$16/+$AH$42)*Q42)*VLOOKUP('1. SUMMARY'!$C$20,rate,Sheet1!T$21,0),((IF(($B$16+$C$16+$D$16+$E$16+$F$16+$G$16+$H$16)&gt;=25000,0,(((25000-($B$16+$C$16+$D$16+$E$16+$F$16+$G$16+$H$16))/+$AH$42)*Q42)*(VLOOKUP('1. SUMMARY'!$C$20,rate,Sheet1!T$21,0))))))))</f>
        <v>0</v>
      </c>
      <c r="R43" s="419">
        <f>IF(R42=0,0,(IF(($B$16+$C$16+$D$16+$E$16+$F$16+$G$16+$H$16+$I$16)&lt;=25000,(($I$16/+$AH$42)*R42)*VLOOKUP('1. SUMMARY'!$C$20,rate,Sheet1!U$21,0),((IF(($B$16+$C$16+$D$16+$E$16+$F$16+$G$16+$H$16)&gt;=25000,0,(((25000-($B$16+$C$16+$D$16+$E$16+$F$16+$G$16+$H$16))/+$AH$42)*R42)*(VLOOKUP('1. SUMMARY'!$C$20,rate,Sheet1!U$21,0))))))))</f>
        <v>0</v>
      </c>
      <c r="S43" s="419">
        <f>IF(S42=0,0,(IF(($B$16+$C$16+$D$16+$E$16+$F$16+$G$16+$H$16+$I$16)&lt;=25000,(($I$16/+$AH$42)*S42)*VLOOKUP('1. SUMMARY'!$C$20,rate,Sheet1!V$21,0),((IF(($B$16+$C$16+$D$16+$E$16+$F$16+$G$16+$H$16)&gt;=25000,0,(((25000-($B$16+$C$16+$D$16+$E$16+$F$16+$G$16+$H$16))/+$AH$42)*S42)*(VLOOKUP('1. SUMMARY'!$C$20,rate,Sheet1!V$21,0))))))))</f>
        <v>0</v>
      </c>
      <c r="T43" s="419">
        <f>IF(T42=0,0,(IF(($B$16+$C$16+$D$16+$E$16+$F$16+$G$16+$H$16+$I$16)&lt;=25000,(($I$16/+$AH$42)*T42)*VLOOKUP('1. SUMMARY'!$C$20,rate,Sheet1!W$21,0),((IF(($B$16+$C$16+$D$16+$E$16+$F$16+$G$16+$H$16)&gt;=25000,0,(((25000-($B$16+$C$16+$D$16+$E$16+$F$16+$G$16+$H$16))/+$AH$42)*T42)*(VLOOKUP('1. SUMMARY'!$C$20,rate,Sheet1!W$21,0))))))))</f>
        <v>0</v>
      </c>
      <c r="U43" s="419">
        <f>IF(U42=0,0,(IF(($B$16+$C$16+$D$16+$E$16+$F$16+$G$16+$H$16+$I$16)&lt;=25000,(($I$16/+$AH$42)*U42)*VLOOKUP('1. SUMMARY'!$C$20,rate,Sheet1!X$21,0),((IF(($B$16+$C$16+$D$16+$E$16+$F$16+$G$16+$H$16)&gt;=25000,0,(((25000-($B$16+$C$16+$D$16+$E$16+$F$16+$G$16+$H$16))/+$AH$42)*U42)*(VLOOKUP('1. SUMMARY'!$C$20,rate,Sheet1!X$21,0))))))))</f>
        <v>0</v>
      </c>
      <c r="V43" s="419">
        <f>IF(V42=0,0,(IF(($B$16+$C$16+$D$16+$E$16+$F$16+$G$16+$H$16+$I$16)&lt;=25000,(($I$16/+$AH$42)*V42)*VLOOKUP('1. SUMMARY'!$C$20,rate,Sheet1!Y$21,0),((IF(($B$16+$C$16+$D$16+$E$16+$F$16+$G$16+$H$16)&gt;=25000,0,(((25000-($B$16+$C$16+$D$16+$E$16+$F$16+$G$16+$H$16))/+$AH$42)*V42)*(VLOOKUP('1. SUMMARY'!$C$20,rate,Sheet1!Y$21,0))))))))</f>
        <v>0</v>
      </c>
      <c r="W43" s="419">
        <f>IF(W42=0,0,(IF(($B$16+$C$16+$D$16+$E$16+$F$16+$G$16+$H$16+$I$16)&lt;=25000,(($I$16/+$AH$42)*W42)*VLOOKUP('1. SUMMARY'!$C$20,rate,Sheet1!Z$21,0),((IF(($B$16+$C$16+$D$16+$E$16+$F$16+$G$16+$H$16)&gt;=25000,0,(((25000-($B$16+$C$16+$D$16+$E$16+$F$16+$G$16+$H$16))/+$AH$42)*W42)*(VLOOKUP('1. SUMMARY'!$C$20,rate,Sheet1!Z$21,0))))))))</f>
        <v>0</v>
      </c>
      <c r="X43" s="419">
        <f>IF(X42=0,0,(IF(($B$16+$C$16+$D$16+$E$16+$F$16+$G$16+$H$16+$I$16)&lt;=25000,(($I$16/+$AH$42)*X42)*VLOOKUP('1. SUMMARY'!$C$20,rate,Sheet1!AA$21,0),((IF(($B$16+$C$16+$D$16+$E$16+$F$16+$G$16+$H$16)&gt;=25000,0,(((25000-($B$16+$C$16+$D$16+$E$16+$F$16+$G$16+$H$16))/+$AH$42)*X42)*(VLOOKUP('1. SUMMARY'!$C$20,rate,Sheet1!AA$21,0))))))))</f>
        <v>0</v>
      </c>
      <c r="Y43" s="419">
        <f>IF(Y42=0,0,(IF(($B$16+$C$16+$D$16+$E$16+$F$16+$G$16+$H$16+$I$16)&lt;=25000,(($I$16/+$AH$42)*Y42)*VLOOKUP('1. SUMMARY'!$C$20,rate,Sheet1!AB$21,0),((IF(($B$16+$C$16+$D$16+$E$16+$F$16+$G$16+$H$16)&gt;=25000,0,(((25000-($B$16+$C$16+$D$16+$E$16+$F$16+$G$16+$H$16))/+$AH$42)*Y42)*(VLOOKUP('1. SUMMARY'!$C$20,rate,Sheet1!AB$21,0))))))))</f>
        <v>0</v>
      </c>
      <c r="Z43" s="419">
        <f>IF(Z42=0,0,(IF(($B$16+$C$16+$D$16+$E$16+$F$16+$G$16+$H$16+$I$16)&lt;=25000,(($I$16/+$AH$42)*Z42)*VLOOKUP('1. SUMMARY'!$C$20,rate,Sheet1!AC$21,0),((IF(($B$16+$C$16+$D$16+$E$16+$F$16+$G$16+$H$16)&gt;=25000,0,(((25000-($B$16+$C$16+$D$16+$E$16+$F$16+$G$16+$H$16))/+$AH$42)*Z42)*(VLOOKUP('1. SUMMARY'!$C$20,rate,Sheet1!AC$21,0))))))))</f>
        <v>0</v>
      </c>
      <c r="AA43" s="419">
        <f>IF(AA42=0,0,(IF(($B$16+$C$16+$D$16+$E$16+$F$16+$G$16+$H$16+$I$16)&lt;=25000,(($I$16/+$AH$42)*AA42)*VLOOKUP('1. SUMMARY'!$C$20,rate,Sheet1!AD$21,0),((IF(($B$16+$C$16+$D$16+$E$16+$F$16+$G$16+$H$16)&gt;=25000,0,(((25000-($B$16+$C$16+$D$16+$E$16+$F$16+$G$16+$H$16))/+$AH$42)*AA42)*(VLOOKUP('1. SUMMARY'!$C$20,rate,Sheet1!AD$21,0))))))))</f>
        <v>0</v>
      </c>
      <c r="AB43" s="419">
        <f>IF(AB42=0,0,(IF(($B$16+$C$16+$D$16+$E$16+$F$16+$G$16+$H$16+$I$16)&lt;=25000,(($I$16/+$AH$42)*AB42)*VLOOKUP('1. SUMMARY'!$C$20,rate,Sheet1!AE$21,0),((IF(($B$16+$C$16+$D$16+$E$16+$F$16+$G$16+$H$16)&gt;=25000,0,(((25000-($B$16+$C$16+$D$16+$E$16+$F$16+$G$16+$H$16))/+$AH$42)*AB42)*(VLOOKUP('1. SUMMARY'!$C$20,rate,Sheet1!AE$21,0))))))))</f>
        <v>0</v>
      </c>
      <c r="AC43" s="419">
        <f>IF(AC42=0,0,(IF(($B$16+$C$16+$D$16+$E$16+$F$16+$G$16+$H$16+$I$16)&lt;=25000,(($I$16/+$AH$42)*AC42)*VLOOKUP('1. SUMMARY'!$C$20,rate,Sheet1!AF$21,0),((IF(($B$16+$C$16+$D$16+$E$16+$F$16+$G$16+$H$16)&gt;=25000,0,(((25000-($B$16+$C$16+$D$16+$E$16+$F$16+$G$16+$H$16))/+$AH$42)*AC42)*(VLOOKUP('1. SUMMARY'!$C$20,rate,Sheet1!AF$21,0))))))))</f>
        <v>0</v>
      </c>
      <c r="AD43" s="419">
        <f>IF(AD42=0,0,(IF(($B$16+$C$16+$D$16+$E$16+$F$16+$G$16+$H$16+$I$16)&lt;=25000,(($I$16/+$AH$42)*AD42)*VLOOKUP('1. SUMMARY'!$C$20,rate,Sheet1!AG$21,0),((IF(($B$16+$C$16+$D$16+$E$16+$F$16+$G$16+$H$16)&gt;=25000,0,(((25000-($B$16+$C$16+$D$16+$E$16+$F$16+$G$16+$H$16))/+$AH$42)*AD42)*(VLOOKUP('1. SUMMARY'!$C$20,rate,Sheet1!AG$21,0))))))))</f>
        <v>0</v>
      </c>
      <c r="AE43" s="419">
        <f>IF(AE42=0,0,(IF(($B$16+$C$16+$D$16+$E$16+$F$16+$G$16+$H$16+$I$16)&lt;=25000,(($I$16/+$AH$42)*AE42)*VLOOKUP('1. SUMMARY'!$C$20,rate,Sheet1!AH$21,0),((IF(($B$16+$C$16+$D$16+$E$16+$F$16+$G$16+$H$16)&gt;=25000,0,(((25000-($B$16+$C$16+$D$16+$E$16+$F$16+$G$16+$H$16))/+$AH$42)*AE42)*(VLOOKUP('1. SUMMARY'!$C$20,rate,Sheet1!AH$21,0))))))))</f>
        <v>0</v>
      </c>
      <c r="AF43" s="419">
        <f>IF(AF42=0,0,(IF(($B$16+$C$16+$D$16+$E$16+$F$16+$G$16+$H$16+$I$16)&lt;=25000,(($I$16/+$AH$42)*AF42)*VLOOKUP('1. SUMMARY'!$C$20,rate,Sheet1!AI$21,0),((IF(($B$16+$C$16+$D$16+$E$16+$F$16+$G$16+$H$16)&gt;=25000,0,(((25000-($B$16+$C$16+$D$16+$E$16+$F$16+$G$16+$H$16))/+$AH$42)*AF42)*(VLOOKUP('1. SUMMARY'!$C$20,rate,Sheet1!AI$21,0))))))))</f>
        <v>0</v>
      </c>
      <c r="AG43" s="419">
        <f>IF(AG42=0,0,(IF(($B$16+$C$16+$D$16+$E$16+$F$16+$G$16+$H$16+$I$16)&lt;=25000,(($I$16/+$AH$42)*AG42)*VLOOKUP('1. SUMMARY'!$C$20,rate,Sheet1!AJ$21,0),((IF(($B$16+$C$16+$D$16+$E$16+$F$16+$G$16+$H$16)&gt;=25000,0,(((25000-($B$16+$C$16+$D$16+$E$16+$F$16+$G$16+$H$16))/+$AH$42)*AG42)*(VLOOKUP('1. SUMMARY'!$C$20,rate,Sheet1!AJ$21,0))))))))</f>
        <v>0</v>
      </c>
      <c r="AH43" s="219">
        <f>SUM(Q43:AG43)</f>
        <v>0</v>
      </c>
      <c r="AI43" s="419">
        <f>IF(AI42=0,0,((+$I$16/$AZ42)*AI42)*VLOOKUP('1. SUMMARY'!$C$20,rate,Sheet1!T$21,0))</f>
        <v>0</v>
      </c>
      <c r="AJ43" s="419">
        <f>IF(AJ42=0,0,((+$I$16/$AZ42)*AJ42)*VLOOKUP('1. SUMMARY'!$C$20,rate,Sheet1!U$21,0))</f>
        <v>0</v>
      </c>
      <c r="AK43" s="419">
        <f>IF(AK42=0,0,((+$I$16/$AZ42)*AK42)*VLOOKUP('1. SUMMARY'!$C$20,rate,Sheet1!V$21,0))</f>
        <v>0</v>
      </c>
      <c r="AL43" s="419">
        <f>IF(AL42=0,0,((+$I$16/$AZ42)*AL42)*VLOOKUP('1. SUMMARY'!$C$20,rate,Sheet1!W$21,0))</f>
        <v>0</v>
      </c>
      <c r="AM43" s="419">
        <f>IF(AM42=0,0,((+$I$16/$AZ42)*AM42)*VLOOKUP('1. SUMMARY'!$C$20,rate,Sheet1!X$21,0))</f>
        <v>0</v>
      </c>
      <c r="AN43" s="419">
        <f>IF(AN42=0,0,((+$I$16/$AZ42)*AN42)*VLOOKUP('1. SUMMARY'!$C$20,rate,Sheet1!Y$21,0))</f>
        <v>0</v>
      </c>
      <c r="AO43" s="419">
        <f>IF(AO42=0,0,((+$I$16/$AZ42)*AO42)*VLOOKUP('1. SUMMARY'!$C$20,rate,Sheet1!Z$21,0))</f>
        <v>0</v>
      </c>
      <c r="AP43" s="419">
        <f>IF(AP42=0,0,((+$I$16/$AZ42)*AP42)*VLOOKUP('1. SUMMARY'!$C$20,rate,Sheet1!AA$21,0))</f>
        <v>0</v>
      </c>
      <c r="AQ43" s="419">
        <f>IF(AQ42=0,0,((+$I$16/$AZ42)*AQ42)*VLOOKUP('1. SUMMARY'!$C$20,rate,Sheet1!AB$21,0))</f>
        <v>0</v>
      </c>
      <c r="AR43" s="419">
        <f>IF(AR42=0,0,((+$I$16/$AZ42)*AR42)*VLOOKUP('1. SUMMARY'!$C$20,rate,Sheet1!AC$21,0))</f>
        <v>0</v>
      </c>
      <c r="AS43" s="419">
        <f>IF(AS42=0,0,((+$I$16/$AZ42)*AS42)*VLOOKUP('1. SUMMARY'!$C$20,rate,Sheet1!AD$21,0))</f>
        <v>0</v>
      </c>
      <c r="AT43" s="419">
        <f>IF(AT42=0,0,((+$I$16/$AZ42)*AT42)*VLOOKUP('1. SUMMARY'!$C$20,rate,Sheet1!AE$21,0))</f>
        <v>0</v>
      </c>
      <c r="AU43" s="419">
        <f>IF(AU42=0,0,((+$I$16/$AZ42)*AU42)*VLOOKUP('1. SUMMARY'!$C$20,rate,Sheet1!AF$21,0))</f>
        <v>0</v>
      </c>
      <c r="AV43" s="419">
        <f>IF(AV42=0,0,((+$I$16/$AZ42)*AV42)*VLOOKUP('1. SUMMARY'!$C$20,rate,Sheet1!AG$21,0))</f>
        <v>0</v>
      </c>
      <c r="AW43" s="419">
        <f>IF(AW42=0,0,((+$I$16/$AZ42)*AW42)*VLOOKUP('1. SUMMARY'!$C$20,rate,Sheet1!AH$21,0))</f>
        <v>0</v>
      </c>
      <c r="AX43" s="419">
        <f>IF(AX42=0,0,((+$I$16/$AZ42)*AX42)*VLOOKUP('1. SUMMARY'!$C$20,rate,Sheet1!AI$21,0))</f>
        <v>0</v>
      </c>
      <c r="AY43" s="419">
        <f>IF(AY42=0,0,((+$I$16/$AZ42)*AY42)*VLOOKUP('1. SUMMARY'!$C$20,rate,Sheet1!AJ$21,0))</f>
        <v>0</v>
      </c>
      <c r="AZ43" s="219">
        <f>SUM(AI43:AY43)</f>
        <v>0</v>
      </c>
    </row>
    <row r="44" spans="1:52" ht="12.75" customHeight="1">
      <c r="A44" s="221"/>
      <c r="B44" s="222">
        <f>'1. SUMMARY'!C17</f>
        <v>0</v>
      </c>
      <c r="C44" s="222" t="str">
        <f>IF(+B45+1&gt;'1. SUMMARY'!$C$18,"No "&amp;C43,+B45+1)</f>
        <v>No Year 2</v>
      </c>
      <c r="D44" s="222" t="str">
        <f>IF(C44="No "&amp;C43,"No "&amp;D43,IF(+C45+1&gt;'1. SUMMARY'!$C$18,"No "&amp;D43,+C45+1))</f>
        <v>No Year 3</v>
      </c>
      <c r="E44" s="222" t="str">
        <f>IF(D44="No "&amp;D43,"No "&amp;E43,IF(+D45+1&gt;'1. SUMMARY'!$C$18,"No "&amp;E43,+D45+1))</f>
        <v>No Year 4</v>
      </c>
      <c r="F44" s="222" t="str">
        <f>IF(E44="No "&amp;E43,"No "&amp;F43,IF(+E45+1&gt;'1. SUMMARY'!$C$18,"No "&amp;F43,+E45+1))</f>
        <v>No Year 5</v>
      </c>
      <c r="G44" s="222" t="str">
        <f>IF(F44="No "&amp;F43,"No "&amp;G43,IF(+F45+1&gt;'1. SUMMARY'!$C$18,"No "&amp;G43,+F45+1))</f>
        <v>No Year 6</v>
      </c>
      <c r="H44" s="222" t="str">
        <f>IF(G44="No "&amp;G43,"No "&amp;H43,IF(+G45+1&gt;'1. SUMMARY'!$C$18,"No "&amp;H43,+G45+1))</f>
        <v>No Year 7</v>
      </c>
      <c r="I44" s="222" t="str">
        <f>IF(H44="No "&amp;H43,"No "&amp;I43,IF(+H45+1&gt;'1. SUMMARY'!$C$18,"No "&amp;I43,+H45+1))</f>
        <v>No Year 8</v>
      </c>
      <c r="J44" s="222" t="str">
        <f>IF(I44="No "&amp;I43,"No "&amp;J43,IF(+I45+1&gt;'1. SUMMARY'!$C$18,"No "&amp;J43,+I45+1))</f>
        <v>No Year 9</v>
      </c>
      <c r="K44" s="222" t="str">
        <f>IF(J44="No "&amp;J43,"No "&amp;K43,IF(+J45+1&gt;'1. SUMMARY'!$C$18,"No "&amp;K43,+J45+1))</f>
        <v>No Year 10</v>
      </c>
      <c r="L44" s="223"/>
      <c r="Q44" s="419">
        <f>+Q43/VLOOKUP('1. SUMMARY'!$C$20,rate,Sheet1!T$21,0)</f>
        <v>0</v>
      </c>
      <c r="R44" s="419">
        <f>+R43/VLOOKUP('1. SUMMARY'!$C$20,rate,Sheet1!U$21,0)</f>
        <v>0</v>
      </c>
      <c r="S44" s="419">
        <f>+S43/VLOOKUP('1. SUMMARY'!$C$20,rate,Sheet1!V$21,0)</f>
        <v>0</v>
      </c>
      <c r="T44" s="419">
        <f>+T43/VLOOKUP('1. SUMMARY'!$C$20,rate,Sheet1!W$21,0)</f>
        <v>0</v>
      </c>
      <c r="U44" s="419">
        <f>+U43/VLOOKUP('1. SUMMARY'!$C$20,rate,Sheet1!X$21,0)</f>
        <v>0</v>
      </c>
      <c r="V44" s="419">
        <f>+V43/VLOOKUP('1. SUMMARY'!$C$20,rate,Sheet1!Y$21,0)</f>
        <v>0</v>
      </c>
      <c r="W44" s="419">
        <f>+W43/VLOOKUP('1. SUMMARY'!$C$20,rate,Sheet1!Z$21,0)</f>
        <v>0</v>
      </c>
      <c r="X44" s="419">
        <f>+X43/VLOOKUP('1. SUMMARY'!$C$20,rate,Sheet1!AA$21,0)</f>
        <v>0</v>
      </c>
      <c r="Y44" s="419">
        <f>+Y43/VLOOKUP('1. SUMMARY'!$C$20,rate,Sheet1!AB$21,0)</f>
        <v>0</v>
      </c>
      <c r="Z44" s="419">
        <f>+Z43/VLOOKUP('1. SUMMARY'!$C$20,rate,Sheet1!AC$21,0)</f>
        <v>0</v>
      </c>
      <c r="AA44" s="419">
        <f>+AA43/VLOOKUP('1. SUMMARY'!$C$20,rate,Sheet1!AD$21,0)</f>
        <v>0</v>
      </c>
      <c r="AB44" s="419">
        <f>+AB43/VLOOKUP('1. SUMMARY'!$C$20,rate,Sheet1!AE$21,0)</f>
        <v>0</v>
      </c>
      <c r="AC44" s="419">
        <f>+AC43/VLOOKUP('1. SUMMARY'!$C$20,rate,Sheet1!AF$21,0)</f>
        <v>0</v>
      </c>
      <c r="AD44" s="419">
        <f>+AD43/VLOOKUP('1. SUMMARY'!$C$20,rate,Sheet1!AG$21,0)</f>
        <v>0</v>
      </c>
      <c r="AE44" s="419">
        <f>+AE43/VLOOKUP('1. SUMMARY'!$C$20,rate,Sheet1!AH$21,0)</f>
        <v>0</v>
      </c>
      <c r="AF44" s="419">
        <f>+AF43/VLOOKUP('1. SUMMARY'!$C$20,rate,Sheet1!AI$21,0)</f>
        <v>0</v>
      </c>
      <c r="AG44" s="419">
        <f>+AG43/VLOOKUP('1. SUMMARY'!$C$20,rate,Sheet1!AJ$21,0)</f>
        <v>0</v>
      </c>
      <c r="AH44" s="219"/>
      <c r="AI44" s="419">
        <v>0</v>
      </c>
      <c r="AJ44" s="419">
        <v>0</v>
      </c>
      <c r="AK44" s="419">
        <v>0</v>
      </c>
      <c r="AL44" s="419">
        <v>0</v>
      </c>
      <c r="AM44" s="419">
        <v>0</v>
      </c>
      <c r="AN44" s="419">
        <v>0</v>
      </c>
      <c r="AO44" s="419">
        <v>0</v>
      </c>
      <c r="AP44" s="419">
        <v>0</v>
      </c>
      <c r="AQ44" s="419"/>
      <c r="AR44" s="419"/>
      <c r="AS44" s="419"/>
      <c r="AT44" s="419"/>
      <c r="AU44" s="419"/>
      <c r="AV44" s="419"/>
      <c r="AW44" s="419"/>
      <c r="AX44" s="419"/>
      <c r="AY44" s="419"/>
      <c r="AZ44" s="219"/>
    </row>
    <row r="45" spans="1:52" ht="12.75" customHeight="1">
      <c r="A45" s="221"/>
      <c r="B45" s="224">
        <f>IF((DATE(YEAR(B44), MONTH(B44)+12, DAY(B44)-1))&lt;=('1. SUMMARY'!$C$18),DATE(YEAR(B44), MONTH(B44)+12, DAY(B44)-1),'1. SUMMARY'!$C$18)</f>
        <v>0</v>
      </c>
      <c r="C45" s="224" t="str">
        <f>IF(C44="No "&amp;C43,"No "&amp;C43,IF(B45='1. SUMMARY'!B66,"a",IF((DATE(YEAR(C44),MONTH(C44)+12,DAY(C44)-1))&lt;=('1. SUMMARY'!$C$18),DATE(YEAR(C44),MONTH(C44)+12,DAY(C44)-1),'1. SUMMARY'!$C$18)))</f>
        <v>No Year 2</v>
      </c>
      <c r="D45" s="224" t="str">
        <f>IF(D44="No "&amp;D43,"No "&amp;D43,IF(C45='1. SUMMARY'!C66,"a",IF((DATE(YEAR(D44),MONTH(D44)+12,DAY(D44)-1))&lt;=('1. SUMMARY'!$C$18),DATE(YEAR(D44),MONTH(D44)+12,DAY(D44)-1),'1. SUMMARY'!$C$18)))</f>
        <v>No Year 3</v>
      </c>
      <c r="E45" s="224" t="str">
        <f>IF(E44="No "&amp;E43,"No "&amp;E43,IF(D45='1. SUMMARY'!E66,"a",IF((DATE(YEAR(E44),MONTH(E44)+12,DAY(E44)-1))&lt;=('1. SUMMARY'!$C$18),DATE(YEAR(E44),MONTH(E44)+12,DAY(E44)-1),'1. SUMMARY'!$C$18)))</f>
        <v>No Year 4</v>
      </c>
      <c r="F45" s="224" t="str">
        <f>IF(F44="No "&amp;F43,"No "&amp;F43,IF(E45='1. SUMMARY'!F66,"a",IF((DATE(YEAR(F44),MONTH(F44)+12,DAY(F44)-1))&lt;=('1. SUMMARY'!$C$18),DATE(YEAR(F44),MONTH(F44)+12,DAY(F44)-1),'1. SUMMARY'!$C$18)))</f>
        <v>No Year 5</v>
      </c>
      <c r="G45" s="224" t="str">
        <f>IF(G44="No "&amp;G43,"No "&amp;G43,IF(F45='1. SUMMARY'!G66,"a",IF((DATE(YEAR(G44),MONTH(G44)+12,DAY(G44)-1))&lt;=('1. SUMMARY'!$C$18),DATE(YEAR(G44),MONTH(G44)+12,DAY(G44)-1),'1. SUMMARY'!$C$18)))</f>
        <v>No Year 6</v>
      </c>
      <c r="H45" s="224" t="str">
        <f>IF(H44="No "&amp;H43,"No "&amp;H43,IF(G45='1. SUMMARY'!H66,"a",IF((DATE(YEAR(H44),MONTH(H44)+12,DAY(H44)-1))&lt;=('1. SUMMARY'!$C$18),DATE(YEAR(H44),MONTH(H44)+12,DAY(H44)-1),'1. SUMMARY'!$C$18)))</f>
        <v>No Year 7</v>
      </c>
      <c r="I45" s="224" t="str">
        <f>IF(I44="No "&amp;I43,"No "&amp;I43,IF(H45='1. SUMMARY'!N66,"a",IF((DATE(YEAR(I44),MONTH(I44)+12,DAY(I44)-1))&lt;=('1. SUMMARY'!$C$18),DATE(YEAR(I44),MONTH(I44)+12,DAY(I44)-1),'1. SUMMARY'!$C$18)))</f>
        <v>No Year 8</v>
      </c>
      <c r="J45" s="224" t="str">
        <f>IF(J44="No "&amp;J43,"No "&amp;J43,IF(I45='1. SUMMARY'!O66,"a",IF((DATE(YEAR(J44),MONTH(J44)+12,DAY(J44)-1))&lt;=('1. SUMMARY'!$C$18),DATE(YEAR(J44),MONTH(J44)+12,DAY(J44)-1),'1. SUMMARY'!$C$18)))</f>
        <v>No Year 9</v>
      </c>
      <c r="K45" s="224" t="str">
        <f>IF(K44="No "&amp;K43,"No "&amp;K43,IF(J45='1. SUMMARY'!P64,"a",IF((DATE(YEAR(K44),MONTH(K44)+12,DAY(K44)-1))&lt;=('1. SUMMARY'!$C$18),DATE(YEAR(K44),MONTH(K44)+12,DAY(K44)-1),'1. SUMMARY'!$C$18)))</f>
        <v>No Year 10</v>
      </c>
      <c r="L45" s="218"/>
      <c r="Q45" s="416">
        <f>Sheet1!$T$8</f>
        <v>44105</v>
      </c>
      <c r="R45" s="416">
        <f>Sheet1!$U$8</f>
        <v>44470</v>
      </c>
      <c r="S45" s="416">
        <f>Sheet1!$V$8</f>
        <v>44835</v>
      </c>
      <c r="T45" s="416">
        <f>Sheet1!$W$8</f>
        <v>45200</v>
      </c>
      <c r="U45" s="416">
        <f>Sheet1!$X$8</f>
        <v>45566</v>
      </c>
      <c r="V45" s="416">
        <f>Sheet1!$Y$8</f>
        <v>45931</v>
      </c>
      <c r="W45" s="416">
        <f>Sheet1!$Z$8</f>
        <v>46296</v>
      </c>
      <c r="X45" s="416">
        <f>Sheet1!$AA$8</f>
        <v>46661</v>
      </c>
      <c r="Y45" s="416">
        <f>Sheet1!$AB$8</f>
        <v>47027</v>
      </c>
      <c r="Z45" s="416">
        <f>Sheet1!$AC$8</f>
        <v>47392</v>
      </c>
      <c r="AA45" s="416">
        <f>$AA$5</f>
        <v>47757</v>
      </c>
      <c r="AB45" s="416">
        <f>$AB$5</f>
        <v>48122</v>
      </c>
      <c r="AC45" s="416">
        <f>$AC$5</f>
        <v>48488</v>
      </c>
      <c r="AD45" s="416">
        <f>$AD$5</f>
        <v>48853</v>
      </c>
      <c r="AE45" s="416">
        <f>$AE$5</f>
        <v>49218</v>
      </c>
      <c r="AF45" s="416">
        <f>$AF$5</f>
        <v>49583</v>
      </c>
      <c r="AG45" s="416">
        <f>$AG$5</f>
        <v>49949</v>
      </c>
      <c r="AH45" s="219"/>
      <c r="AI45" s="416">
        <f t="shared" ref="AI45:AR47" si="19">+Q45</f>
        <v>44105</v>
      </c>
      <c r="AJ45" s="416">
        <f t="shared" si="19"/>
        <v>44470</v>
      </c>
      <c r="AK45" s="416">
        <f t="shared" si="19"/>
        <v>44835</v>
      </c>
      <c r="AL45" s="416">
        <f t="shared" si="19"/>
        <v>45200</v>
      </c>
      <c r="AM45" s="416">
        <f t="shared" si="19"/>
        <v>45566</v>
      </c>
      <c r="AN45" s="416">
        <f t="shared" si="19"/>
        <v>45931</v>
      </c>
      <c r="AO45" s="416">
        <f t="shared" si="19"/>
        <v>46296</v>
      </c>
      <c r="AP45" s="416">
        <f t="shared" si="19"/>
        <v>46661</v>
      </c>
      <c r="AQ45" s="416">
        <f t="shared" si="19"/>
        <v>47027</v>
      </c>
      <c r="AR45" s="416">
        <f t="shared" si="19"/>
        <v>47392</v>
      </c>
      <c r="AS45" s="416">
        <f t="shared" ref="AS45:AY47" si="20">+AA45</f>
        <v>47757</v>
      </c>
      <c r="AT45" s="416">
        <f t="shared" si="20"/>
        <v>48122</v>
      </c>
      <c r="AU45" s="416">
        <f t="shared" si="20"/>
        <v>48488</v>
      </c>
      <c r="AV45" s="416">
        <f t="shared" si="20"/>
        <v>48853</v>
      </c>
      <c r="AW45" s="416">
        <f t="shared" si="20"/>
        <v>49218</v>
      </c>
      <c r="AX45" s="416">
        <f t="shared" si="20"/>
        <v>49583</v>
      </c>
      <c r="AY45" s="416">
        <f t="shared" si="20"/>
        <v>49949</v>
      </c>
      <c r="AZ45" s="219"/>
    </row>
    <row r="46" spans="1:52" ht="12.75" customHeight="1">
      <c r="A46" s="216"/>
      <c r="B46" s="225"/>
      <c r="C46" s="225"/>
      <c r="D46" s="225"/>
      <c r="E46" s="225"/>
      <c r="F46" s="225"/>
      <c r="G46" s="225"/>
      <c r="H46" s="225"/>
      <c r="I46" s="225"/>
      <c r="J46" s="225"/>
      <c r="K46" s="225"/>
      <c r="L46" s="223"/>
      <c r="Q46" s="416">
        <f>Sheet1!$T$9</f>
        <v>44469</v>
      </c>
      <c r="R46" s="416">
        <f>Sheet1!$U$9</f>
        <v>44834</v>
      </c>
      <c r="S46" s="416">
        <f>Sheet1!$V$9</f>
        <v>45199</v>
      </c>
      <c r="T46" s="416">
        <f>Sheet1!$W$9</f>
        <v>45565</v>
      </c>
      <c r="U46" s="416">
        <f>Sheet1!$X$9</f>
        <v>45930</v>
      </c>
      <c r="V46" s="416">
        <f>Sheet1!$Y$9</f>
        <v>46295</v>
      </c>
      <c r="W46" s="416">
        <f>Sheet1!$Z$9</f>
        <v>46660</v>
      </c>
      <c r="X46" s="416">
        <f>Sheet1!$AA$9</f>
        <v>47026</v>
      </c>
      <c r="Y46" s="416">
        <f>Sheet1!$AB$9</f>
        <v>47391</v>
      </c>
      <c r="Z46" s="416">
        <f>Sheet1!$AC$9</f>
        <v>47756</v>
      </c>
      <c r="AA46" s="416">
        <f>$AA$6</f>
        <v>48121</v>
      </c>
      <c r="AB46" s="416">
        <f>$AB$6</f>
        <v>48487</v>
      </c>
      <c r="AC46" s="416">
        <f>$AC$6</f>
        <v>48852</v>
      </c>
      <c r="AD46" s="416">
        <f>$AD$6</f>
        <v>49217</v>
      </c>
      <c r="AE46" s="416">
        <f>$AE$6</f>
        <v>49582</v>
      </c>
      <c r="AF46" s="416">
        <f>$AF$6</f>
        <v>49948</v>
      </c>
      <c r="AG46" s="416">
        <f>$AG$6</f>
        <v>50313</v>
      </c>
      <c r="AH46" s="219"/>
      <c r="AI46" s="416">
        <f t="shared" si="19"/>
        <v>44469</v>
      </c>
      <c r="AJ46" s="416">
        <f t="shared" si="19"/>
        <v>44834</v>
      </c>
      <c r="AK46" s="416">
        <f t="shared" si="19"/>
        <v>45199</v>
      </c>
      <c r="AL46" s="416">
        <f t="shared" si="19"/>
        <v>45565</v>
      </c>
      <c r="AM46" s="416">
        <f t="shared" si="19"/>
        <v>45930</v>
      </c>
      <c r="AN46" s="416">
        <f t="shared" si="19"/>
        <v>46295</v>
      </c>
      <c r="AO46" s="416">
        <f t="shared" si="19"/>
        <v>46660</v>
      </c>
      <c r="AP46" s="416">
        <f t="shared" si="19"/>
        <v>47026</v>
      </c>
      <c r="AQ46" s="416">
        <f t="shared" si="19"/>
        <v>47391</v>
      </c>
      <c r="AR46" s="416">
        <f t="shared" si="19"/>
        <v>47756</v>
      </c>
      <c r="AS46" s="416">
        <f t="shared" si="20"/>
        <v>48121</v>
      </c>
      <c r="AT46" s="416">
        <f t="shared" si="20"/>
        <v>48487</v>
      </c>
      <c r="AU46" s="416">
        <f t="shared" si="20"/>
        <v>48852</v>
      </c>
      <c r="AV46" s="416">
        <f t="shared" si="20"/>
        <v>49217</v>
      </c>
      <c r="AW46" s="416">
        <f t="shared" si="20"/>
        <v>49582</v>
      </c>
      <c r="AX46" s="416">
        <f t="shared" si="20"/>
        <v>49948</v>
      </c>
      <c r="AY46" s="416">
        <f t="shared" si="20"/>
        <v>50313</v>
      </c>
      <c r="AZ46" s="219"/>
    </row>
    <row r="47" spans="1:52" ht="12.75" customHeight="1">
      <c r="A47" s="226" t="s">
        <v>150</v>
      </c>
      <c r="B47" s="227"/>
      <c r="C47" s="227"/>
      <c r="D47" s="227"/>
      <c r="E47" s="227"/>
      <c r="F47" s="227"/>
      <c r="G47" s="227"/>
      <c r="H47" s="227"/>
      <c r="I47" s="227"/>
      <c r="J47" s="227"/>
      <c r="K47" s="227"/>
      <c r="L47" s="229">
        <f>SUM(B47:K47)</f>
        <v>0</v>
      </c>
      <c r="O47" s="207">
        <v>9</v>
      </c>
      <c r="Q47" s="417">
        <f>IF(IF(Q46&lt;J10,0,DATEDIF(J10,Q46+1,"m"))&lt;0,0,IF(Q46&lt;J10,0,DATEDIF(J10,Q46+1,"m")))</f>
        <v>0</v>
      </c>
      <c r="R47" s="417">
        <f>IF(IF(Q47=12,0,IF(R46&gt;J11,12-DATEDIF(J11,R46+1,"m"),IF(R46&lt;J10,0,DATEDIF(J10,R46+1,"m"))))&lt;0,0,IF(Q47=12,0,IF(R46&gt;J11,12-DATEDIF(J11,R46+1,"m"),IF(R46&lt;J10,0,DATEDIF(J10,R46+1,"m")))))</f>
        <v>0</v>
      </c>
      <c r="S47" s="417">
        <f>IF(IF(Q47+R47=12,0,IF(S46&gt;J$11,12-DATEDIF(J$11,S46+1,"m"),IF(S46&lt;J$10,0,DATEDIF(J$10,S46+1,"m"))))&lt;0,0,IF(Q47+R47=12,0,IF(S46&gt;J$11,12-DATEDIF(J$11,S46+1,"m"),IF(S46&lt;J$10,0,DATEDIF(J$10,S46+1,"m")))))</f>
        <v>0</v>
      </c>
      <c r="T47" s="417">
        <f>IF(IF(R47+S47+Q47=12,0,IF(T46&gt;J$11,12-DATEDIF(J$11,T46+1,"m"),IF(T46&lt;J$10,0,DATEDIF(J$10,T46+1,"m"))))&lt;0,0,IF(R47+S47+Q47=12,0,IF(T46&gt;J$11,12-DATEDIF(J$11,T46+1,"m"),IF(T46&lt;J$10,0,DATEDIF(J$10,T46+1,"m")))))</f>
        <v>0</v>
      </c>
      <c r="U47" s="417">
        <f>IF(IF(S47+T47+R47+Q47=12,0,IF(U46&gt;$J$11,12-DATEDIF($J$11,U46+1,"m"),IF(U46&lt;$J$10,0,DATEDIF($J$10,U46+1,"m"))))&lt;0,0,IF(S47+T47+R47+Q47=12,0,IF(U46&gt;$J$11,12-DATEDIF($J$11,U46+1,"m"),IF(U46&lt;$J$10,0,DATEDIF($J$10,U46+1,"m")))))</f>
        <v>0</v>
      </c>
      <c r="V47" s="417">
        <f>IF(IF(T47+U47+S47+R47+Q47=12,0,IF(V46&gt;$J$11,12-DATEDIF($J$11,V46+1,"m"),IF(V46&lt;$J$10,0,DATEDIF($J$10,V46+1,"m"))))&lt;0,0,IF(T47+U47+S47+R47+Q47=12,0,IF(V46&gt;$J$11,12-DATEDIF($J$11,V46+1,"m"),IF(V46&lt;$J$10,0,DATEDIF($J$10,V46+1,"m")))))</f>
        <v>0</v>
      </c>
      <c r="W47" s="417">
        <f>IF(IF(U47+V47+T47+S47+R47+Q47=12,0,IF(W46&gt;$J$11,12-DATEDIF($J$11,W46+1,"m"),IF(W46&lt;$J$10,0,DATEDIF($J$10,W46+1,"m"))))&lt;0,0,IF(U47+V47+T47+S47+R47+Q47=12,0,IF(W46&gt;$J$11,12-DATEDIF($J$11,W46+1,"m"),IF(W46&lt;$J$10,0,DATEDIF($J$10,W46+1,"m")))))</f>
        <v>0</v>
      </c>
      <c r="X47" s="417">
        <f>IF(IF(V47+W47+U47+T47+S47+R47+Q47=12,0,IF(X46&gt;$J$11,12-DATEDIF($J$11,X46+1,"m"),IF(X46&lt;$J$10,0,DATEDIF($J$10,X46+1,"m"))))&lt;0,0,IF(V47+W47+U47+T47+S47+R47+Q47=12,0,IF(X46&gt;$J$11,12-DATEDIF($J$11,X46+1,"m"),IF(X46&lt;$J$10,0,DATEDIF($J$10,X46+1,"m")))))</f>
        <v>0</v>
      </c>
      <c r="Y47" s="417">
        <f>IF(IF(W47+X47+V47+U47+T47+S47+R47+Q47=12,0,IF(Y46&gt;$J$11,12-DATEDIF($J$11,Y46+1,"m"),IF(Y46&lt;$J$10,0,DATEDIF($J$10,Y46+1,"m"))))&lt;0,0,IF(W47+X47+V47+U47+T47+S47+R47+Q47=12,0,IF(Y46&gt;$J$11,12-DATEDIF($J$11,Y46+1,"m"),IF(Y46&lt;$J$10,0,DATEDIF($J$10,Y46+1,"m")))))</f>
        <v>0</v>
      </c>
      <c r="Z47" s="417">
        <f>IF(IF(X47+Y47+W47+V47+U47+T47+S47+R47+Q47=12,0,IF(Z46&gt;$J$11,12-DATEDIF($J$11,Z46+1,"m"),IF(Z46&lt;$J$10,0,DATEDIF($J$10,Z46+1,"m"))))&lt;0,0,IF(X47+Y47+W47+V47+U47+T47+S47+R47+Q47=12,0,IF(Z46&gt;$J$11,12-DATEDIF($J$11,Z46+1,"m"),IF(Z46&lt;$J$10,0,DATEDIF($J$10,Z46+1,"m")))))</f>
        <v>0</v>
      </c>
      <c r="AA47" s="417">
        <f>IF(IF(Q47+R47+S47+Y47+Z47+X47+W47+V47+U47+T47=12,0,IF(AA46&gt;$J$11,12-DATEDIF($J$11,AA46+1,"m"),IF(AA46&lt;$J$10,0,DATEDIF($J$10,AA46+1,"m"))))&lt;0,0,IF(Q47+R47+S47+Y47+Z47+X47+W47+V47+U47+T47=12,0,IF(AA46&gt;$J$11,12-DATEDIF($J$11,AA46+1,"m"),IF(AA46&lt;$J$10,0,DATEDIF($J$10,AA46+1,"m")))))</f>
        <v>0</v>
      </c>
      <c r="AB47" s="417">
        <f>IF(IF(Q47+R47+S47+T47+Z47+AA47+Y47+X47+W47+V47+U47=12,0,IF(AB46&gt;$J$11,12-DATEDIF($J$11,AB46+1,"m"),IF(AB46&lt;$J$10,0,DATEDIF($J$10,AB46+1,"m"))))&lt;0,0,IF(Q47+R47+S47+T47+Z47+AA47+Y47+X47+W47+V47+U47=12,0,IF(AB46&gt;$J$11,12-DATEDIF($J$11,AB46+1,"m"),IF(AB46&lt;$J$10,0,DATEDIF($J$10,AB46+1,"m")))))</f>
        <v>0</v>
      </c>
      <c r="AC47" s="417">
        <f>IF(IF(Q47+R47+S47+T47+U47+AA47+AB47+Z47+Y47+X47+W47+V47=12,0,IF(AC46&gt;$J$11,12-DATEDIF($J$11,AC46+1,"m"),IF(AC46&lt;$J$10,0,DATEDIF($J$10,AC46+1,"m"))))&lt;0,0,IF(Q47+R47+S47+T47+U47+AA47+AB47+Z47+Y47+X47+W47+V47=12,0,IF(AC46&gt;$J$11,12-DATEDIF($J$11,AC46+1,"m"),IF(AC46&lt;$J$10,0,DATEDIF($J$10,AC46+1,"m")))))</f>
        <v>0</v>
      </c>
      <c r="AD47" s="417">
        <f>IF(IF(Q47+R47+S47+T47+U47+V47+AB47+AC47+AA47+Z47+Y47+X47+W47=12,0,IF(AD46&gt;$J$11,12-DATEDIF($J$11,AD46+1,"m"),IF(AD46&lt;$J$10,0,DATEDIF($J$10,AD46+1,"m"))))&lt;0,0,IF(Q47+R47+S47+T47+U47+V47+AB47+AC47+AA47+Z47+Y47+X47+W47=12,0,IF(AD46&gt;$J$11,12-DATEDIF($J$11,AD46+1,"m"),IF(AD46&lt;$J$10,0,DATEDIF($J$10,AD46+1,"m")))))</f>
        <v>0</v>
      </c>
      <c r="AE47" s="417">
        <f>IF(IF(Q47+R47+S47+T47+U47+V47+W47+AC47+AD47+AB47+AA47+Z47+Y47+X47=12,0,IF(AE46&gt;$J$11,12-DATEDIF($J$11,AE46+1,"m"),IF(AE46&lt;$J$10,0,DATEDIF($J$10,AE46+1,"m"))))&lt;0,0,IF(Q47+R47+S47+T47+U47+V47+W47+AC47+AD47+AB47+AA47+Z47+Y47+X47=12,0,IF(AE46&gt;$J$11,12-DATEDIF($J$11,AE46+1,"m"),IF(AE46&lt;$J$10,0,DATEDIF($J$10,AE46+1,"m")))))</f>
        <v>0</v>
      </c>
      <c r="AF47" s="417">
        <f>IF(IF(Q47+R47+S47+T47+U47+V47+W47+X47+AD47+AE47+AC47+AB47+AA47+Z47+Y47=12,0,IF(AF46&gt;$J$11,12-DATEDIF($J$11,AF46+1,"m"),IF(AF46&lt;$J$10,0,DATEDIF($J$10,AF46+1,"m"))))&lt;0,0,IF(Q47+R47+S47+T47+U47+V47+W47+X47+AD47+AE47+AC47+AB47+AA47+Z47+Y47=12,0,IF(AF46&gt;$J$11,12-DATEDIF($J$11,AF46+1,"m"),IF(AF46&lt;$J$10,0,DATEDIF($J$10,AF46+1,"m")))))</f>
        <v>0</v>
      </c>
      <c r="AG47" s="417">
        <f>IF(IF(Q47+R47+S47+T47+U47+V47+W47+X47+Y47+AE47+AF47+AD47+AC47+AB47+AA47+Z47=12,0,IF(AG46&gt;$J$11,12-DATEDIF($J$11,AG46+1,"m"),IF(AG46&lt;$J$10,0,DATEDIF($J$10,AG46+1,"m"))))&lt;0,0,IF(Q47+R47+S47+T47+U47+V47+W47+X47+Y47+AE47+AF47+AD47+AC47+AB47+AA47+Z47=12,0,IF(AG46&gt;$J$11,12-DATEDIF($J$11,AG46+1,"m"),IF(AG46&lt;$J$10,0,DATEDIF($J$10,AG46+1,"m")))))</f>
        <v>0</v>
      </c>
      <c r="AH47" s="219">
        <f>SUM(Q47:AG47)</f>
        <v>0</v>
      </c>
      <c r="AI47" s="417">
        <f t="shared" si="19"/>
        <v>0</v>
      </c>
      <c r="AJ47" s="417">
        <f t="shared" si="19"/>
        <v>0</v>
      </c>
      <c r="AK47" s="417">
        <f t="shared" si="19"/>
        <v>0</v>
      </c>
      <c r="AL47" s="417">
        <f t="shared" si="19"/>
        <v>0</v>
      </c>
      <c r="AM47" s="417">
        <f t="shared" si="19"/>
        <v>0</v>
      </c>
      <c r="AN47" s="417">
        <f t="shared" si="19"/>
        <v>0</v>
      </c>
      <c r="AO47" s="417">
        <f t="shared" si="19"/>
        <v>0</v>
      </c>
      <c r="AP47" s="417">
        <f t="shared" si="19"/>
        <v>0</v>
      </c>
      <c r="AQ47" s="417">
        <f t="shared" si="19"/>
        <v>0</v>
      </c>
      <c r="AR47" s="417">
        <f t="shared" si="19"/>
        <v>0</v>
      </c>
      <c r="AS47" s="417">
        <f t="shared" si="20"/>
        <v>0</v>
      </c>
      <c r="AT47" s="417">
        <f t="shared" si="20"/>
        <v>0</v>
      </c>
      <c r="AU47" s="417">
        <f t="shared" si="20"/>
        <v>0</v>
      </c>
      <c r="AV47" s="417">
        <f t="shared" si="20"/>
        <v>0</v>
      </c>
      <c r="AW47" s="417">
        <f t="shared" si="20"/>
        <v>0</v>
      </c>
      <c r="AX47" s="417">
        <f t="shared" si="20"/>
        <v>0</v>
      </c>
      <c r="AY47" s="417">
        <f t="shared" si="20"/>
        <v>0</v>
      </c>
      <c r="AZ47" s="219">
        <f>SUM(AI47:AY47)</f>
        <v>0</v>
      </c>
    </row>
    <row r="48" spans="1:52" ht="12.75" customHeight="1">
      <c r="A48" s="221" t="s">
        <v>151</v>
      </c>
      <c r="B48" s="227"/>
      <c r="C48" s="227"/>
      <c r="D48" s="227"/>
      <c r="E48" s="227"/>
      <c r="F48" s="227"/>
      <c r="G48" s="228"/>
      <c r="H48" s="228"/>
      <c r="I48" s="228"/>
      <c r="J48" s="228"/>
      <c r="K48" s="228"/>
      <c r="L48" s="229">
        <f>SUM(B48:K48)</f>
        <v>0</v>
      </c>
      <c r="Q48" s="417">
        <f>IF(Q47=0,0,(IF(($B$16+$C$16+$D$16+$E$16+$F$16+$G$16+$H$16+$I$16+$J$16)&lt;=25000,(($J$16/+$AH$47)*Q47)*VLOOKUP('1. SUMMARY'!$C$20,rate,Sheet1!T$21,0),((IF(($B$16+$C$16+$D$16+$E$16+$F$16+$G$16+$H$16+$I$16)&gt;=25000,0,(((25000-($B$16+$C$16+$D$16+$E$16+$F$16+$G$16+$H$16+$I$16))/+$AH$47)*Q47)*(VLOOKUP('1. SUMMARY'!$C$20,rate,Sheet1!T$21,0))))))))</f>
        <v>0</v>
      </c>
      <c r="R48" s="417">
        <f>IF(R47=0,0,(IF(($B$16+$C$16+$D$16+$E$16+$F$16+$G$16+$H$16+$I$16+$J$16)&lt;=25000,(($J$16/+$AH$47)*R47)*VLOOKUP('1. SUMMARY'!$C$20,rate,Sheet1!U$21,0),((IF(($B$16+$C$16+$D$16+$E$16+$F$16+$G$16+$H$16+$I$16)&gt;=25000,0,(((25000-($B$16+$C$16+$D$16+$E$16+$F$16+$G$16+$H$16+$I$16))/+$AH$47)*R47)*(VLOOKUP('1. SUMMARY'!$C$20,rate,Sheet1!U$21,0))))))))</f>
        <v>0</v>
      </c>
      <c r="S48" s="417">
        <f>IF(S47=0,0,(IF(($B$16+$C$16+$D$16+$E$16+$F$16+$G$16+$H$16+$I$16+$J$16)&lt;=25000,(($J$16/+$AH$47)*S47)*VLOOKUP('1. SUMMARY'!$C$20,rate,Sheet1!V$21,0),((IF(($B$16+$C$16+$D$16+$E$16+$F$16+$G$16+$H$16+$I$16)&gt;=25000,0,(((25000-($B$16+$C$16+$D$16+$E$16+$F$16+$G$16+$H$16+$I$16))/+$AH$47)*S47)*(VLOOKUP('1. SUMMARY'!$C$20,rate,Sheet1!V$21,0))))))))</f>
        <v>0</v>
      </c>
      <c r="T48" s="417">
        <f>IF(T47=0,0,(IF(($B$16+$C$16+$D$16+$E$16+$F$16+$G$16+$H$16+$I$16+$J$16)&lt;=25000,(($J$16/+$AH$47)*T47)*VLOOKUP('1. SUMMARY'!$C$20,rate,Sheet1!W$21,0),((IF(($B$16+$C$16+$D$16+$E$16+$F$16+$G$16+$H$16+$I$16)&gt;=25000,0,(((25000-($B$16+$C$16+$D$16+$E$16+$F$16+$G$16+$H$16+$I$16))/+$AH$47)*T47)*(VLOOKUP('1. SUMMARY'!$C$20,rate,Sheet1!W$21,0))))))))</f>
        <v>0</v>
      </c>
      <c r="U48" s="417">
        <f>IF(U47=0,0,(IF(($B$16+$C$16+$D$16+$E$16+$F$16+$G$16+$H$16+$I$16+$J$16)&lt;=25000,(($J$16/+$AH$47)*U47)*VLOOKUP('1. SUMMARY'!$C$20,rate,Sheet1!X$21,0),((IF(($B$16+$C$16+$D$16+$E$16+$F$16+$G$16+$H$16+$I$16)&gt;=25000,0,(((25000-($B$16+$C$16+$D$16+$E$16+$F$16+$G$16+$H$16+$I$16))/+$AH$47)*U47)*(VLOOKUP('1. SUMMARY'!$C$20,rate,Sheet1!X$21,0))))))))</f>
        <v>0</v>
      </c>
      <c r="V48" s="417">
        <f>IF(V47=0,0,(IF(($B$16+$C$16+$D$16+$E$16+$F$16+$G$16+$H$16+$I$16+$J$16)&lt;=25000,(($J$16/+$AH$47)*V47)*VLOOKUP('1. SUMMARY'!$C$20,rate,Sheet1!Y$21,0),((IF(($B$16+$C$16+$D$16+$E$16+$F$16+$G$16+$H$16+$I$16)&gt;=25000,0,(((25000-($B$16+$C$16+$D$16+$E$16+$F$16+$G$16+$H$16+$I$16))/+$AH$47)*V47)*(VLOOKUP('1. SUMMARY'!$C$20,rate,Sheet1!Y$21,0))))))))</f>
        <v>0</v>
      </c>
      <c r="W48" s="417">
        <f>IF(W47=0,0,(IF(($B$16+$C$16+$D$16+$E$16+$F$16+$G$16+$H$16+$I$16+$J$16)&lt;=25000,(($J$16/+$AH$47)*W47)*VLOOKUP('1. SUMMARY'!$C$20,rate,Sheet1!Z$21,0),((IF(($B$16+$C$16+$D$16+$E$16+$F$16+$G$16+$H$16+$I$16)&gt;=25000,0,(((25000-($B$16+$C$16+$D$16+$E$16+$F$16+$G$16+$H$16+$I$16))/+$AH$47)*W47)*(VLOOKUP('1. SUMMARY'!$C$20,rate,Sheet1!Z$21,0))))))))</f>
        <v>0</v>
      </c>
      <c r="X48" s="417">
        <f>IF(X47=0,0,(IF(($B$16+$C$16+$D$16+$E$16+$F$16+$G$16+$H$16+$I$16+$J$16)&lt;=25000,(($J$16/+$AH$47)*X47)*VLOOKUP('1. SUMMARY'!$C$20,rate,Sheet1!AA$21,0),((IF(($B$16+$C$16+$D$16+$E$16+$F$16+$G$16+$H$16+$I$16)&gt;=25000,0,(((25000-($B$16+$C$16+$D$16+$E$16+$F$16+$G$16+$H$16+$I$16))/+$AH$47)*X47)*(VLOOKUP('1. SUMMARY'!$C$20,rate,Sheet1!AA$21,0))))))))</f>
        <v>0</v>
      </c>
      <c r="Y48" s="417">
        <f>IF(Y47=0,0,(IF(($B$16+$C$16+$D$16+$E$16+$F$16+$G$16+$H$16+$I$16+$J$16)&lt;=25000,(($J$16/+$AH$47)*Y47)*VLOOKUP('1. SUMMARY'!$C$20,rate,Sheet1!AB$21,0),((IF(($B$16+$C$16+$D$16+$E$16+$F$16+$G$16+$H$16+$I$16)&gt;=25000,0,(((25000-($B$16+$C$16+$D$16+$E$16+$F$16+$G$16+$H$16+$I$16))/+$AH$47)*Y47)*(VLOOKUP('1. SUMMARY'!$C$20,rate,Sheet1!AB$21,0))))))))</f>
        <v>0</v>
      </c>
      <c r="Z48" s="417">
        <f>IF(Z47=0,0,(IF(($B$16+$C$16+$D$16+$E$16+$F$16+$G$16+$H$16+$I$16+$J$16)&lt;=25000,(($J$16/+$AH$47)*Z47)*VLOOKUP('1. SUMMARY'!$C$20,rate,Sheet1!AC$21,0),((IF(($B$16+$C$16+$D$16+$E$16+$F$16+$G$16+$H$16+$I$16)&gt;=25000,0,(((25000-($B$16+$C$16+$D$16+$E$16+$F$16+$G$16+$H$16+$I$16))/+$AH$47)*Z47)*(VLOOKUP('1. SUMMARY'!$C$20,rate,Sheet1!AC$21,0))))))))</f>
        <v>0</v>
      </c>
      <c r="AA48" s="417">
        <f>IF(AA47=0,0,(IF(($B$16+$C$16+$D$16+$E$16+$F$16+$G$16+$H$16+$I$16+$J$16)&lt;=25000,(($J$16/+$AH$47)*AA47)*VLOOKUP('1. SUMMARY'!$C$20,rate,Sheet1!AD$21,0),((IF(($B$16+$C$16+$D$16+$E$16+$F$16+$G$16+$H$16+$I$16)&gt;=25000,0,(((25000-($B$16+$C$16+$D$16+$E$16+$F$16+$G$16+$H$16+$I$16))/+$AH$47)*AA47)*(VLOOKUP('1. SUMMARY'!$C$20,rate,Sheet1!AD$21,0))))))))</f>
        <v>0</v>
      </c>
      <c r="AB48" s="417">
        <f>IF(AB47=0,0,(IF(($B$16+$C$16+$D$16+$E$16+$F$16+$G$16+$H$16+$I$16+$J$16)&lt;=25000,(($J$16/+$AH$47)*AB47)*VLOOKUP('1. SUMMARY'!$C$20,rate,Sheet1!AE$21,0),((IF(($B$16+$C$16+$D$16+$E$16+$F$16+$G$16+$H$16+$I$16)&gt;=25000,0,(((25000-($B$16+$C$16+$D$16+$E$16+$F$16+$G$16+$H$16+$I$16))/+$AH$47)*AB47)*(VLOOKUP('1. SUMMARY'!$C$20,rate,Sheet1!AE$21,0))))))))</f>
        <v>0</v>
      </c>
      <c r="AC48" s="417">
        <f>IF(AC47=0,0,(IF(($B$16+$C$16+$D$16+$E$16+$F$16+$G$16+$H$16+$I$16+$J$16)&lt;=25000,(($J$16/+$AH$47)*AC47)*VLOOKUP('1. SUMMARY'!$C$20,rate,Sheet1!AF$21,0),((IF(($B$16+$C$16+$D$16+$E$16+$F$16+$G$16+$H$16+$I$16)&gt;=25000,0,(((25000-($B$16+$C$16+$D$16+$E$16+$F$16+$G$16+$H$16+$I$16))/+$AH$47)*AC47)*(VLOOKUP('1. SUMMARY'!$C$20,rate,Sheet1!AF$21,0))))))))</f>
        <v>0</v>
      </c>
      <c r="AD48" s="417">
        <f>IF(AD47=0,0,(IF(($B$16+$C$16+$D$16+$E$16+$F$16+$G$16+$H$16+$I$16+$J$16)&lt;=25000,(($J$16/+$AH$47)*AD47)*VLOOKUP('1. SUMMARY'!$C$20,rate,Sheet1!AG$21,0),((IF(($B$16+$C$16+$D$16+$E$16+$F$16+$G$16+$H$16+$I$16)&gt;=25000,0,(((25000-($B$16+$C$16+$D$16+$E$16+$F$16+$G$16+$H$16+$I$16))/+$AH$47)*AD47)*(VLOOKUP('1. SUMMARY'!$C$20,rate,Sheet1!AG$21,0))))))))</f>
        <v>0</v>
      </c>
      <c r="AE48" s="417">
        <f>IF(AE47=0,0,(IF(($B$16+$C$16+$D$16+$E$16+$F$16+$G$16+$H$16+$I$16+$J$16)&lt;=25000,(($J$16/+$AH$47)*AE47)*VLOOKUP('1. SUMMARY'!$C$20,rate,Sheet1!AH$21,0),((IF(($B$16+$C$16+$D$16+$E$16+$F$16+$G$16+$H$16+$I$16)&gt;=25000,0,(((25000-($B$16+$C$16+$D$16+$E$16+$F$16+$G$16+$H$16+$I$16))/+$AH$47)*AE47)*(VLOOKUP('1. SUMMARY'!$C$20,rate,Sheet1!AH$21,0))))))))</f>
        <v>0</v>
      </c>
      <c r="AF48" s="417">
        <f>IF(AF47=0,0,(IF(($B$16+$C$16+$D$16+$E$16+$F$16+$G$16+$H$16+$I$16+$J$16)&lt;=25000,(($J$16/+$AH$47)*AF47)*VLOOKUP('1. SUMMARY'!$C$20,rate,Sheet1!AI$21,0),((IF(($B$16+$C$16+$D$16+$E$16+$F$16+$G$16+$H$16+$I$16)&gt;=25000,0,(((25000-($B$16+$C$16+$D$16+$E$16+$F$16+$G$16+$H$16+$I$16))/+$AH$47)*AF47)*(VLOOKUP('1. SUMMARY'!$C$20,rate,Sheet1!AI$21,0))))))))</f>
        <v>0</v>
      </c>
      <c r="AG48" s="417">
        <f>IF(AG47=0,0,(IF(($B$16+$C$16+$D$16+$E$16+$F$16+$G$16+$H$16+$I$16+$J$16)&lt;=25000,(($J$16/+$AH$47)*AG47)*VLOOKUP('1. SUMMARY'!$C$20,rate,Sheet1!AJ$21,0),((IF(($B$16+$C$16+$D$16+$E$16+$F$16+$G$16+$H$16+$I$16)&gt;=25000,0,(((25000-($B$16+$C$16+$D$16+$E$16+$F$16+$G$16+$H$16+$I$16))/+$AH$47)*AG47)*(VLOOKUP('1. SUMMARY'!$C$20,rate,Sheet1!AJ$21,0))))))))</f>
        <v>0</v>
      </c>
      <c r="AH48" s="219">
        <f>SUM(Q48:AG48)</f>
        <v>0</v>
      </c>
      <c r="AI48" s="417">
        <f>IF(AI47=0,0,((+$J$16/$AZ47)*AI47)*VLOOKUP('1. SUMMARY'!$C$20,rate,Sheet1!T$21,0))</f>
        <v>0</v>
      </c>
      <c r="AJ48" s="417">
        <f>IF(AJ47=0,0,((+$J$16/$AZ47)*AJ47)*VLOOKUP('1. SUMMARY'!$C$20,rate,Sheet1!U$21,0))</f>
        <v>0</v>
      </c>
      <c r="AK48" s="417">
        <f>IF(AK47=0,0,((+$J$16/$AZ47)*AK47)*VLOOKUP('1. SUMMARY'!$C$20,rate,Sheet1!V$21,0))</f>
        <v>0</v>
      </c>
      <c r="AL48" s="417">
        <f>IF(AL47=0,0,((+$J$16/$AZ47)*AL47)*VLOOKUP('1. SUMMARY'!$C$20,rate,Sheet1!W$21,0))</f>
        <v>0</v>
      </c>
      <c r="AM48" s="417">
        <f>IF(AM47=0,0,((+$J$16/$AZ47)*AM47)*VLOOKUP('1. SUMMARY'!$C$20,rate,Sheet1!X$21,0))</f>
        <v>0</v>
      </c>
      <c r="AN48" s="417">
        <f>IF(AN47=0,0,((+$J$16/$AZ47)*AN47)*VLOOKUP('1. SUMMARY'!$C$20,rate,Sheet1!Y$21,0))</f>
        <v>0</v>
      </c>
      <c r="AO48" s="417">
        <f>IF(AO47=0,0,((+$J$16/$AZ47)*AO47)*VLOOKUP('1. SUMMARY'!$C$20,rate,Sheet1!Z$21,0))</f>
        <v>0</v>
      </c>
      <c r="AP48" s="417">
        <f>IF(AP47=0,0,((+$J$16/$AZ47)*AP47)*VLOOKUP('1. SUMMARY'!$C$20,rate,Sheet1!AA$21,0))</f>
        <v>0</v>
      </c>
      <c r="AQ48" s="417">
        <f>IF(AQ47=0,0,((+$J$16/$AZ47)*AQ47)*VLOOKUP('1. SUMMARY'!$C$20,rate,Sheet1!AB$21,0))</f>
        <v>0</v>
      </c>
      <c r="AR48" s="417">
        <f>IF(AR47=0,0,((+$J$16/$AZ47)*AR47)*VLOOKUP('1. SUMMARY'!$C$20,rate,Sheet1!AC$21,0))</f>
        <v>0</v>
      </c>
      <c r="AS48" s="417">
        <f>IF(AS47=0,0,((+$J$16/$AZ47)*AS47)*VLOOKUP('1. SUMMARY'!$C$20,rate,Sheet1!AD$21,0))</f>
        <v>0</v>
      </c>
      <c r="AT48" s="417">
        <f>IF(AT47=0,0,((+$J$16/$AZ47)*AT47)*VLOOKUP('1. SUMMARY'!$C$20,rate,Sheet1!AE$21,0))</f>
        <v>0</v>
      </c>
      <c r="AU48" s="417">
        <f>IF(AU47=0,0,((+$J$16/$AZ47)*AU47)*VLOOKUP('1. SUMMARY'!$C$20,rate,Sheet1!AF$21,0))</f>
        <v>0</v>
      </c>
      <c r="AV48" s="417">
        <f>IF(AV47=0,0,((+$J$16/$AZ47)*AV47)*VLOOKUP('1. SUMMARY'!$C$20,rate,Sheet1!AG$21,0))</f>
        <v>0</v>
      </c>
      <c r="AW48" s="417">
        <f>IF(AW47=0,0,((+$J$16/$AZ47)*AW47)*VLOOKUP('1. SUMMARY'!$C$20,rate,Sheet1!AH$21,0))</f>
        <v>0</v>
      </c>
      <c r="AX48" s="417">
        <f>IF(AX47=0,0,((+$J$16/$AZ47)*AX47)*VLOOKUP('1. SUMMARY'!$C$20,rate,Sheet1!AI$21,0))</f>
        <v>0</v>
      </c>
      <c r="AY48" s="417">
        <f>IF(AY47=0,0,((+$J$16/$AZ47)*AY47)*VLOOKUP('1. SUMMARY'!$C$20,rate,Sheet1!AJ$21,0))</f>
        <v>0</v>
      </c>
      <c r="AZ48" s="219">
        <f>SUM(AI48:AY48)</f>
        <v>0</v>
      </c>
    </row>
    <row r="49" spans="1:52" ht="12.75" customHeight="1">
      <c r="A49" s="216"/>
      <c r="B49" s="217"/>
      <c r="C49" s="217"/>
      <c r="D49" s="217"/>
      <c r="E49" s="217"/>
      <c r="F49" s="217"/>
      <c r="G49" s="217"/>
      <c r="H49" s="217"/>
      <c r="I49" s="217"/>
      <c r="J49" s="217"/>
      <c r="K49" s="217"/>
      <c r="L49" s="218"/>
      <c r="Q49" s="417">
        <f>+Q48/VLOOKUP('1. SUMMARY'!$C$20,rate,Sheet1!T$21,0)</f>
        <v>0</v>
      </c>
      <c r="R49" s="417">
        <f>+R48/VLOOKUP('1. SUMMARY'!$C$20,rate,Sheet1!U$21,0)</f>
        <v>0</v>
      </c>
      <c r="S49" s="417">
        <f>+S48/VLOOKUP('1. SUMMARY'!$C$20,rate,Sheet1!V$21,0)</f>
        <v>0</v>
      </c>
      <c r="T49" s="417">
        <f>+T48/VLOOKUP('1. SUMMARY'!$C$20,rate,Sheet1!W$21,0)</f>
        <v>0</v>
      </c>
      <c r="U49" s="417">
        <f>+U48/VLOOKUP('1. SUMMARY'!$C$20,rate,Sheet1!X$21,0)</f>
        <v>0</v>
      </c>
      <c r="V49" s="417">
        <f>+V48/VLOOKUP('1. SUMMARY'!$C$20,rate,Sheet1!Y$21,0)</f>
        <v>0</v>
      </c>
      <c r="W49" s="417">
        <f>+W48/VLOOKUP('1. SUMMARY'!$C$20,rate,Sheet1!Z$21,0)</f>
        <v>0</v>
      </c>
      <c r="X49" s="417">
        <f>+X48/VLOOKUP('1. SUMMARY'!$C$20,rate,Sheet1!AA$21,0)</f>
        <v>0</v>
      </c>
      <c r="Y49" s="417">
        <f>+Y48/VLOOKUP('1. SUMMARY'!$C$20,rate,Sheet1!AB$21,0)</f>
        <v>0</v>
      </c>
      <c r="Z49" s="417">
        <f>+Z48/VLOOKUP('1. SUMMARY'!$C$20,rate,Sheet1!AC$21,0)</f>
        <v>0</v>
      </c>
      <c r="AA49" s="417">
        <f>+AA48/VLOOKUP('1. SUMMARY'!$C$20,rate,Sheet1!AD$21,0)</f>
        <v>0</v>
      </c>
      <c r="AB49" s="417">
        <f>+AB48/VLOOKUP('1. SUMMARY'!$C$20,rate,Sheet1!AE$21,0)</f>
        <v>0</v>
      </c>
      <c r="AC49" s="417">
        <f>+AC48/VLOOKUP('1. SUMMARY'!$C$20,rate,Sheet1!AF$21,0)</f>
        <v>0</v>
      </c>
      <c r="AD49" s="417">
        <f>+AD48/VLOOKUP('1. SUMMARY'!$C$20,rate,Sheet1!AG$21,0)</f>
        <v>0</v>
      </c>
      <c r="AE49" s="417">
        <f>+AE48/VLOOKUP('1. SUMMARY'!$C$20,rate,Sheet1!AH$21,0)</f>
        <v>0</v>
      </c>
      <c r="AF49" s="417">
        <f>+AF48/VLOOKUP('1. SUMMARY'!$C$20,rate,Sheet1!AI$21,0)</f>
        <v>0</v>
      </c>
      <c r="AG49" s="417">
        <f>+AG48/VLOOKUP('1. SUMMARY'!$C$20,rate,Sheet1!AJ$21,0)</f>
        <v>0</v>
      </c>
      <c r="AH49" s="219"/>
      <c r="AI49" s="417">
        <v>0</v>
      </c>
      <c r="AJ49" s="417">
        <v>0</v>
      </c>
      <c r="AK49" s="417">
        <v>0</v>
      </c>
      <c r="AL49" s="417">
        <v>0</v>
      </c>
      <c r="AM49" s="417">
        <v>0</v>
      </c>
      <c r="AN49" s="417">
        <v>0</v>
      </c>
      <c r="AO49" s="417">
        <v>0</v>
      </c>
      <c r="AP49" s="417">
        <v>0</v>
      </c>
      <c r="AQ49" s="417"/>
      <c r="AR49" s="417"/>
      <c r="AS49" s="417"/>
      <c r="AT49" s="417"/>
      <c r="AU49" s="417"/>
      <c r="AV49" s="417"/>
      <c r="AW49" s="417"/>
      <c r="AX49" s="417"/>
      <c r="AY49" s="417"/>
      <c r="AZ49" s="219"/>
    </row>
    <row r="50" spans="1:52" ht="12.75" customHeight="1">
      <c r="A50" s="231" t="s">
        <v>152</v>
      </c>
      <c r="B50" s="146">
        <f t="shared" ref="B50:K50" si="21">SUM(B47:B48)</f>
        <v>0</v>
      </c>
      <c r="C50" s="146">
        <f t="shared" si="21"/>
        <v>0</v>
      </c>
      <c r="D50" s="146">
        <f t="shared" si="21"/>
        <v>0</v>
      </c>
      <c r="E50" s="146">
        <f t="shared" si="21"/>
        <v>0</v>
      </c>
      <c r="F50" s="146">
        <f t="shared" si="21"/>
        <v>0</v>
      </c>
      <c r="G50" s="146">
        <f t="shared" si="21"/>
        <v>0</v>
      </c>
      <c r="H50" s="146">
        <f t="shared" si="21"/>
        <v>0</v>
      </c>
      <c r="I50" s="146">
        <f t="shared" si="21"/>
        <v>0</v>
      </c>
      <c r="J50" s="146">
        <f t="shared" si="21"/>
        <v>0</v>
      </c>
      <c r="K50" s="146">
        <f t="shared" si="21"/>
        <v>0</v>
      </c>
      <c r="L50" s="229">
        <f>SUM(B50:K50)</f>
        <v>0</v>
      </c>
      <c r="Q50" s="420">
        <f>Sheet1!$T$8</f>
        <v>44105</v>
      </c>
      <c r="R50" s="420">
        <f>Sheet1!$U$8</f>
        <v>44470</v>
      </c>
      <c r="S50" s="420">
        <f>Sheet1!$V$8</f>
        <v>44835</v>
      </c>
      <c r="T50" s="420">
        <f>Sheet1!$W$8</f>
        <v>45200</v>
      </c>
      <c r="U50" s="420">
        <f>Sheet1!$X$8</f>
        <v>45566</v>
      </c>
      <c r="V50" s="420">
        <f>Sheet1!$Y$8</f>
        <v>45931</v>
      </c>
      <c r="W50" s="420">
        <f>Sheet1!$Z$8</f>
        <v>46296</v>
      </c>
      <c r="X50" s="420">
        <f>Sheet1!$AA$8</f>
        <v>46661</v>
      </c>
      <c r="Y50" s="420">
        <f>Sheet1!$AB$8</f>
        <v>47027</v>
      </c>
      <c r="Z50" s="420">
        <f>Sheet1!$AC$8</f>
        <v>47392</v>
      </c>
      <c r="AA50" s="420">
        <f>$AA$5</f>
        <v>47757</v>
      </c>
      <c r="AB50" s="420">
        <f>$AB$5</f>
        <v>48122</v>
      </c>
      <c r="AC50" s="420">
        <f>$AC$5</f>
        <v>48488</v>
      </c>
      <c r="AD50" s="420">
        <f>$AD$5</f>
        <v>48853</v>
      </c>
      <c r="AE50" s="420">
        <f>$AE$5</f>
        <v>49218</v>
      </c>
      <c r="AF50" s="420">
        <f>$AF$5</f>
        <v>49583</v>
      </c>
      <c r="AG50" s="420">
        <f>$AG$5</f>
        <v>49949</v>
      </c>
      <c r="AH50" s="219"/>
      <c r="AI50" s="420">
        <f t="shared" ref="AI50:AR52" si="22">+Q50</f>
        <v>44105</v>
      </c>
      <c r="AJ50" s="420">
        <f t="shared" si="22"/>
        <v>44470</v>
      </c>
      <c r="AK50" s="420">
        <f t="shared" si="22"/>
        <v>44835</v>
      </c>
      <c r="AL50" s="420">
        <f t="shared" si="22"/>
        <v>45200</v>
      </c>
      <c r="AM50" s="420">
        <f t="shared" si="22"/>
        <v>45566</v>
      </c>
      <c r="AN50" s="420">
        <f t="shared" si="22"/>
        <v>45931</v>
      </c>
      <c r="AO50" s="420">
        <f t="shared" si="22"/>
        <v>46296</v>
      </c>
      <c r="AP50" s="420">
        <f t="shared" si="22"/>
        <v>46661</v>
      </c>
      <c r="AQ50" s="420">
        <f t="shared" si="22"/>
        <v>47027</v>
      </c>
      <c r="AR50" s="420">
        <f t="shared" si="22"/>
        <v>47392</v>
      </c>
      <c r="AS50" s="420">
        <f t="shared" ref="AS50:AY52" si="23">+AA50</f>
        <v>47757</v>
      </c>
      <c r="AT50" s="420">
        <f t="shared" si="23"/>
        <v>48122</v>
      </c>
      <c r="AU50" s="420">
        <f t="shared" si="23"/>
        <v>48488</v>
      </c>
      <c r="AV50" s="420">
        <f t="shared" si="23"/>
        <v>48853</v>
      </c>
      <c r="AW50" s="420">
        <f t="shared" si="23"/>
        <v>49218</v>
      </c>
      <c r="AX50" s="420">
        <f t="shared" si="23"/>
        <v>49583</v>
      </c>
      <c r="AY50" s="420">
        <f t="shared" si="23"/>
        <v>49949</v>
      </c>
      <c r="AZ50" s="219"/>
    </row>
    <row r="51" spans="1:52" ht="12.75" customHeight="1">
      <c r="A51" s="216"/>
      <c r="B51" s="217"/>
      <c r="C51" s="217"/>
      <c r="D51" s="217"/>
      <c r="E51" s="217"/>
      <c r="F51" s="217"/>
      <c r="G51" s="217"/>
      <c r="H51" s="217"/>
      <c r="I51" s="217"/>
      <c r="J51" s="217"/>
      <c r="K51" s="217"/>
      <c r="L51" s="218"/>
      <c r="O51" s="207">
        <v>10</v>
      </c>
      <c r="Q51" s="420">
        <f>Sheet1!$T$9</f>
        <v>44469</v>
      </c>
      <c r="R51" s="420">
        <f>Sheet1!$U$9</f>
        <v>44834</v>
      </c>
      <c r="S51" s="420">
        <f>Sheet1!$V$9</f>
        <v>45199</v>
      </c>
      <c r="T51" s="420">
        <f>Sheet1!$W$9</f>
        <v>45565</v>
      </c>
      <c r="U51" s="420">
        <f>Sheet1!$X$9</f>
        <v>45930</v>
      </c>
      <c r="V51" s="420">
        <f>Sheet1!$Y$9</f>
        <v>46295</v>
      </c>
      <c r="W51" s="420">
        <f>Sheet1!$Z$9</f>
        <v>46660</v>
      </c>
      <c r="X51" s="420">
        <f>Sheet1!$AA$9</f>
        <v>47026</v>
      </c>
      <c r="Y51" s="420">
        <f>Sheet1!$AB$9</f>
        <v>47391</v>
      </c>
      <c r="Z51" s="420">
        <f>Sheet1!$AC$9</f>
        <v>47756</v>
      </c>
      <c r="AA51" s="420">
        <f>$AA$6</f>
        <v>48121</v>
      </c>
      <c r="AB51" s="420">
        <f>$AB$6</f>
        <v>48487</v>
      </c>
      <c r="AC51" s="420">
        <f>$AC$6</f>
        <v>48852</v>
      </c>
      <c r="AD51" s="420">
        <f>$AD$6</f>
        <v>49217</v>
      </c>
      <c r="AE51" s="420">
        <f>$AE$6</f>
        <v>49582</v>
      </c>
      <c r="AF51" s="420">
        <f>$AF$6</f>
        <v>49948</v>
      </c>
      <c r="AG51" s="420">
        <f>$AG$6</f>
        <v>50313</v>
      </c>
      <c r="AH51" s="219"/>
      <c r="AI51" s="420">
        <f t="shared" si="22"/>
        <v>44469</v>
      </c>
      <c r="AJ51" s="420">
        <f t="shared" si="22"/>
        <v>44834</v>
      </c>
      <c r="AK51" s="420">
        <f t="shared" si="22"/>
        <v>45199</v>
      </c>
      <c r="AL51" s="420">
        <f t="shared" si="22"/>
        <v>45565</v>
      </c>
      <c r="AM51" s="420">
        <f t="shared" si="22"/>
        <v>45930</v>
      </c>
      <c r="AN51" s="420">
        <f t="shared" si="22"/>
        <v>46295</v>
      </c>
      <c r="AO51" s="420">
        <f t="shared" si="22"/>
        <v>46660</v>
      </c>
      <c r="AP51" s="420">
        <f t="shared" si="22"/>
        <v>47026</v>
      </c>
      <c r="AQ51" s="420">
        <f t="shared" si="22"/>
        <v>47391</v>
      </c>
      <c r="AR51" s="420">
        <f t="shared" si="22"/>
        <v>47756</v>
      </c>
      <c r="AS51" s="420">
        <f t="shared" si="23"/>
        <v>48121</v>
      </c>
      <c r="AT51" s="420">
        <f t="shared" si="23"/>
        <v>48487</v>
      </c>
      <c r="AU51" s="420">
        <f t="shared" si="23"/>
        <v>48852</v>
      </c>
      <c r="AV51" s="420">
        <f t="shared" si="23"/>
        <v>49217</v>
      </c>
      <c r="AW51" s="420">
        <f t="shared" si="23"/>
        <v>49582</v>
      </c>
      <c r="AX51" s="420">
        <f t="shared" si="23"/>
        <v>49948</v>
      </c>
      <c r="AY51" s="420">
        <f t="shared" si="23"/>
        <v>50313</v>
      </c>
      <c r="AZ51" s="219"/>
    </row>
    <row r="52" spans="1:52" ht="12.75" customHeight="1">
      <c r="A52" s="226" t="s">
        <v>153</v>
      </c>
      <c r="B52" s="233">
        <f>IF(B44="No "&amp;B43,0,IF('1. SUMMARY'!$Q$20=1,+AH113,AZ113))</f>
        <v>0</v>
      </c>
      <c r="C52" s="146">
        <f>IF(C44="No "&amp;C43,0,IF('1. SUMMARY'!$Q$20=1,+AH118,AZ118))</f>
        <v>0</v>
      </c>
      <c r="D52" s="233">
        <f>IF(D44="No "&amp;D43,0,IF('1. SUMMARY'!$Q$20=1,+AH123,AZ123))</f>
        <v>0</v>
      </c>
      <c r="E52" s="146">
        <f>IF(E44="No "&amp;E43,0,IF('1. SUMMARY'!$Q$20=1,+AH128,AZ128))</f>
        <v>0</v>
      </c>
      <c r="F52" s="146">
        <f>IF(F44="No "&amp;F43,0,IF('1. SUMMARY'!$Q$20=1,+AH133,+AZ133))</f>
        <v>0</v>
      </c>
      <c r="G52" s="146">
        <f>IF(G44="No "&amp;G43,0,IF('1. SUMMARY'!$Q$20=1,+$AH138,+$AZ138))</f>
        <v>0</v>
      </c>
      <c r="H52" s="146">
        <f>IF(H44="No "&amp;H43,0,IF('1. SUMMARY'!$Q$20=1,+$AH143,+$AZ143))</f>
        <v>0</v>
      </c>
      <c r="I52" s="146">
        <f>IF(I44="No "&amp;I43,0,IF('1. SUMMARY'!$Q$20=1,+$AH148,+$AZ148))</f>
        <v>0</v>
      </c>
      <c r="J52" s="146">
        <f>IF(J44="No "&amp;J43,0,IF('1. SUMMARY'!$Q$20=1,+$AH153,+$AZ153))</f>
        <v>0</v>
      </c>
      <c r="K52" s="146">
        <f>IF(K44="No "&amp;K43,0,IF('1. SUMMARY'!$Q$20=1,+$AH158,+$AZ158))</f>
        <v>0</v>
      </c>
      <c r="L52" s="229">
        <f>SUM(B52:K52)</f>
        <v>0</v>
      </c>
      <c r="Q52" s="421">
        <f>IF(IF(Q51&lt;K10,0,DATEDIF(K10,Q51+1,"m"))&lt;0,0,IF(Q51&lt;K10,0,DATEDIF(K10,Q51+1,"m")))</f>
        <v>0</v>
      </c>
      <c r="R52" s="421">
        <f>IF(IF(Q52=12,0,IF(R51&gt;K11,12-DATEDIF(K11,R51+1,"m"),IF(R51&lt;K10,0,DATEDIF(K10,R51+1,"m"))))&lt;0,0,IF(Q52=12,0,IF(R51&gt;K11,12-DATEDIF(K11,R51+1,"m"),IF(R51&lt;K10,0,DATEDIF(K10,R51+1,"m")))))</f>
        <v>0</v>
      </c>
      <c r="S52" s="421">
        <f>IF(IF(Q52+R52=12,0,IF(S51&gt;K$11,12-DATEDIF(K$11,S51+1,"m"),IF(S51&lt;K$10,0,DATEDIF(K$10,S51+1,"m"))))&lt;0,0,IF(Q52+R52=12,0,IF(S51&gt;K$11,12-DATEDIF(K$11,S51+1,"m"),IF(S51&lt;K$10,0,DATEDIF(K$10,S51+1,"m")))))</f>
        <v>0</v>
      </c>
      <c r="T52" s="421">
        <f>IF(IF(R52+S52+Q52=12,0,IF(T51&gt;K$11,12-DATEDIF(K$11,T51+1,"m"),IF(T51&lt;K$10,0,DATEDIF(K$10,T51+1,"m"))))&lt;0,0,IF(R52+S52+Q52=12,0,IF(T51&gt;K$11,12-DATEDIF(K$11,T51+1,"m"),IF(T51&lt;K$10,0,DATEDIF(K$10,T51+1,"m")))))</f>
        <v>0</v>
      </c>
      <c r="U52" s="421">
        <f>IF(IF(S52+T52+R52+Q52=12,0,IF(U51&gt;$K$11,12-DATEDIF($K$11,U51+1,"m"),IF(U51&lt;$K$10,0,DATEDIF($K$10,U51+1,"m"))))&lt;0,0,IF(S52+T52+R52+Q52=12,0,IF(U51&gt;$K$11,12-DATEDIF($K$11,U51+1,"m"),IF(U51&lt;$K$10,0,DATEDIF($K$10,U51+1,"m")))))</f>
        <v>0</v>
      </c>
      <c r="V52" s="421">
        <f>IF(IF(T52+U52+S52+R52+Q52=12,0,IF(V51&gt;$K$11,12-DATEDIF($K$11,V51+1,"m"),IF(V51&lt;$K$10,0,DATEDIF($K$10,V51+1,"m"))))&lt;0,0,IF(T52+U52+S52+R52+Q52=12,0,IF(V51&gt;$K$11,12-DATEDIF($K$11,V51+1,"m"),IF(V51&lt;$K$10,0,DATEDIF($K$10,V51+1,"m")))))</f>
        <v>0</v>
      </c>
      <c r="W52" s="421">
        <f>IF(IF(U52+V52+T52+S52+R52+Q52=12,0,IF(W51&gt;$K$11,12-DATEDIF($K$11,W51+1,"m"),IF(W51&lt;$K$10,0,DATEDIF($K$10,W51+1,"m"))))&lt;0,0,IF(U52+V52+T52+S52+R52+Q52=12,0,IF(W51&gt;$K$11,12-DATEDIF($K$11,W51+1,"m"),IF(W51&lt;$K$10,0,DATEDIF($K$10,W51+1,"m")))))</f>
        <v>0</v>
      </c>
      <c r="X52" s="421">
        <f>IF(IF(V52+W52+U52+T52+S52+R52+Q52=12,0,IF(X51&gt;$K$11,12-DATEDIF($K$11,X51+1,"m"),IF(X51&lt;$K$10,0,DATEDIF($K$10,X51+1,"m"))))&lt;0,0,IF(V52+W52+U52+T52+S52+R52+Q52=12,0,IF(X51&gt;$K$11,12-DATEDIF($K$11,X51+1,"m"),IF(X51&lt;$K$10,0,DATEDIF($K$10,X51+1,"m")))))</f>
        <v>0</v>
      </c>
      <c r="Y52" s="421">
        <f>IF(IF(W52+X52+V52+U52+T52+S52+R52+Q52=12,0,IF(Y51&gt;$K$11,12-DATEDIF($K$11,Y51+1,"m"),IF(Y51&lt;$K$10,0,DATEDIF($K$10,Y51+1,"m"))))&lt;0,0,IF(W52+X52+V52+U52+T52+S52+R52+Q52=12,0,IF(Y51&gt;$K$11,12-DATEDIF($K$11,Y51+1,"m"),IF(Y51&lt;$K$10,0,DATEDIF($K$10,Y51+1,"m")))))</f>
        <v>0</v>
      </c>
      <c r="Z52" s="421">
        <f>IF(IF(X52+Y52+W52+V52+U52+T52+S52+R52+Q52=12,0,IF(Z51&gt;$K$11,12-DATEDIF($K$11,Z51+1,"m"),IF(Z51&lt;$K$10,0,DATEDIF($K$10,Z51+1,"m"))))&lt;0,0,IF(X52+Y52+W52+V52+U52+T52+S52+R52+Q52=12,0,IF(Z51&gt;$K$11,12-DATEDIF($K$11,Z51+1,"m"),IF(Z51&lt;$K$10,0,DATEDIF($K$10,Z51+1,"m")))))</f>
        <v>0</v>
      </c>
      <c r="AA52" s="421">
        <f>IF(IF(Q52+R52+S52+Y52+Z52+X52+W52+V52+U52+T52=12,0,IF(AA51&gt;$K$11,12-DATEDIF($K$11,AA51+1,"m"),IF(AA51&lt;$K$10,0,DATEDIF($K$10,AA51+1,"m"))))&lt;0,0,IF(Q52+R52+S52+Y52+Z52+X52+W52+V52+U52+T52=12,0,IF(AA51&gt;$K$11,12-DATEDIF($K$11,AA51+1,"m"),IF(AA51&lt;$K$10,0,DATEDIF($K$10,AA51+1,"m")))))</f>
        <v>0</v>
      </c>
      <c r="AB52" s="421">
        <f>IF(IF(Q52+R52+S52+T52+Z52+AA52+Y52+X52+W52+V52+U52=12,0,IF(AB51&gt;$K$11,12-DATEDIF($K$11,AB51+1,"m"),IF(AB51&lt;$K$10,0,DATEDIF($K$10,AB51+1,"m"))))&lt;0,0,IF(Q52+R52+S52+T52+Z52+AA52+Y52+X52+W52+V52+U52=12,0,IF(AB51&gt;$K$11,12-DATEDIF($K$11,AB51+1,"m"),IF(AB51&lt;$K$10,0,DATEDIF($K$10,AB51+1,"m")))))</f>
        <v>0</v>
      </c>
      <c r="AC52" s="421">
        <f>IF(IF(Q52+R52+S52+T52+U52+AA52+AB52+Z52+Y52+X52+W52+V52=12,0,IF(AC51&gt;$K$11,12-DATEDIF($K$11,AC51+1,"m"),IF(AC51&lt;$K$10,0,DATEDIF($K$10,AC51+1,"m"))))&lt;0,0,IF(Q52+R52+S52+T52+U52+AA52+AB52+Z52+Y52+X52+W52+V52=12,0,IF(AC51&gt;$K$11,12-DATEDIF($K$11,AC51+1,"m"),IF(AC51&lt;$K$10,0,DATEDIF($K$10,AC51+1,"m")))))</f>
        <v>0</v>
      </c>
      <c r="AD52" s="421">
        <f>IF(IF(Q52+R52+S52+T52+U52+V52+AB52+AC52+AA52+Z52+Y52+X52+W52=12,0,IF(AD51&gt;$K$11,12-DATEDIF($K$11,AD51+1,"m"),IF(AD51&lt;$K$10,0,DATEDIF($K$10,AD51+1,"m"))))&lt;0,0,IF(Q52+R52+S52+T52+U52+V52+AB52+AC52+AA52+Z52+Y52+X52+W52=12,0,IF(AD51&gt;$K$11,12-DATEDIF($K$11,AD51+1,"m"),IF(AD51&lt;$K$10,0,DATEDIF($K$10,AD51+1,"m")))))</f>
        <v>0</v>
      </c>
      <c r="AE52" s="421">
        <f>IF(IF(Q52+R52+S52+T52+U52+V52+W52+AC52+AD52+AB52+AA52+Z52+Y52+X52=12,0,IF(AE51&gt;$K$11,12-DATEDIF($K$11,AE51+1,"m"),IF(AE51&lt;$K$10,0,DATEDIF($K$10,AE51+1,"m"))))&lt;0,0,IF(Q52+R52+S52+T52+U52+V52+W52+AC52+AD52+AB52+AA52+Z52+Y52+X52=12,0,IF(AE51&gt;$K$11,12-DATEDIF($K$11,AE51+1,"m"),IF(AE51&lt;$K$10,0,DATEDIF($K$10,AE51+1,"m")))))</f>
        <v>0</v>
      </c>
      <c r="AF52" s="421">
        <f>IF(IF(Q52+R52+S52+T52+U52+V52+W52+X52+AD52+AE52+AC52+AB52+AA52+Z52+Y52=12,0,IF(AF51&gt;$K$11,12-DATEDIF($K$11,AF51+1,"m"),IF(AF51&lt;$K$10,0,DATEDIF($K$10,AF51+1,"m"))))&lt;0,0,IF(Q52+R52+S52+T52+U52+V52+W52+X52+AD52+AE52+AC52+AB52+AA52+Z52+Y52=12,0,IF(AF51&gt;$K$11,12-DATEDIF($K$11,AF51+1,"m"),IF(AF51&lt;$K$10,0,DATEDIF($K$10,AF51+1,"m")))))</f>
        <v>0</v>
      </c>
      <c r="AG52" s="421">
        <f>IF(IF(Q52+R52+S52+T52+U52+V52+W52+X52+Y52+AE52+AF52+AD52+AC52+AB52+AA52+Z52=12,0,IF(AG51&gt;$K$11,12-DATEDIF($K$11,AG51+1,"m"),IF(AG51&lt;$K$10,0,DATEDIF($K$10,AG51+1,"m"))))&lt;0,0,IF(Q52+R52+S52+T52+U52+V52+W52+X52+Y52+AE52+AF52+AD52+AC52+AB52+AA52+Z52=12,0,IF(AG51&gt;$K$11,12-DATEDIF($K$11,AG51+1,"m"),IF(AG51&lt;$K$10,0,DATEDIF($K$10,AG51+1,"m")))))</f>
        <v>0</v>
      </c>
      <c r="AH52" s="219">
        <f>SUM(Q52:AG52)</f>
        <v>0</v>
      </c>
      <c r="AI52" s="421">
        <f t="shared" si="22"/>
        <v>0</v>
      </c>
      <c r="AJ52" s="421">
        <f t="shared" si="22"/>
        <v>0</v>
      </c>
      <c r="AK52" s="421">
        <f t="shared" si="22"/>
        <v>0</v>
      </c>
      <c r="AL52" s="421">
        <f t="shared" si="22"/>
        <v>0</v>
      </c>
      <c r="AM52" s="421">
        <f t="shared" si="22"/>
        <v>0</v>
      </c>
      <c r="AN52" s="421">
        <f t="shared" si="22"/>
        <v>0</v>
      </c>
      <c r="AO52" s="421">
        <f t="shared" si="22"/>
        <v>0</v>
      </c>
      <c r="AP52" s="421">
        <f t="shared" si="22"/>
        <v>0</v>
      </c>
      <c r="AQ52" s="421">
        <f t="shared" si="22"/>
        <v>0</v>
      </c>
      <c r="AR52" s="421">
        <f t="shared" si="22"/>
        <v>0</v>
      </c>
      <c r="AS52" s="421">
        <f t="shared" si="23"/>
        <v>0</v>
      </c>
      <c r="AT52" s="421">
        <f t="shared" si="23"/>
        <v>0</v>
      </c>
      <c r="AU52" s="421">
        <f t="shared" si="23"/>
        <v>0</v>
      </c>
      <c r="AV52" s="421">
        <f t="shared" si="23"/>
        <v>0</v>
      </c>
      <c r="AW52" s="421">
        <f t="shared" si="23"/>
        <v>0</v>
      </c>
      <c r="AX52" s="421">
        <f t="shared" si="23"/>
        <v>0</v>
      </c>
      <c r="AY52" s="421">
        <f t="shared" si="23"/>
        <v>0</v>
      </c>
      <c r="AZ52" s="219">
        <f>SUM(AI52:AY52)</f>
        <v>0</v>
      </c>
    </row>
    <row r="53" spans="1:52" ht="12.75" customHeight="1">
      <c r="A53" s="216"/>
      <c r="B53" s="234"/>
      <c r="C53" s="234"/>
      <c r="D53" s="234"/>
      <c r="E53" s="234"/>
      <c r="F53" s="234"/>
      <c r="G53" s="234"/>
      <c r="H53" s="234"/>
      <c r="I53" s="234"/>
      <c r="J53" s="234"/>
      <c r="K53" s="234"/>
      <c r="L53" s="235"/>
      <c r="Q53" s="421">
        <f>IF(Q52=0,0,(IF(($B$16+$C$16+$D$16+$E$16+$F$16+$G$16+$H$16+$I$16+$J$16+$H33)&lt;=25000,(($H33/+$AH$52)*Q52)*VLOOKUP('1. SUMMARY'!$C$20,rate,Sheet1!T$21,0),((IF(($B$16+$C$16+$D$16+$E$16+$F$16+$G$16+$H$16+$I$16+$J$16)&gt;=25000,0,(((25000-($B$16+$C$16+$D$16+$E$16+$F$16+$G$16+$H$16+$I$16+$J$16))/+$AH$52)*Q52)*(VLOOKUP('1. SUMMARY'!$C$20,rate,Sheet1!T$21,0))))))))</f>
        <v>0</v>
      </c>
      <c r="R53" s="421">
        <f>IF(R52=0,0,(IF(($B$16+$C$16+$D$16+$E$16+$F$16+$G$16+$H$16+$I$16+$J$16+$H33)&lt;=25000,(($H33/+$AH$52)*R52)*VLOOKUP('1. SUMMARY'!$C$20,rate,Sheet1!U$21,0),((IF(($B$16+$C$16+$D$16+$E$16+$F$16+$G$16+$H$16+$I$16+$J$16)&gt;=25000,0,(((25000-($B$16+$C$16+$D$16+$E$16+$F$16+$G$16+$H$16+$I$16+$J$16))/+$AH$52)*R52)*(VLOOKUP('1. SUMMARY'!$C$20,rate,Sheet1!U$21,0))))))))</f>
        <v>0</v>
      </c>
      <c r="S53" s="421">
        <f>IF(S52=0,0,(IF(($B$16+$C$16+$D$16+$E$16+$F$16+$G$16+$H$16+$I$16+$J$16+$H33)&lt;=25000,(($H33/+$AH$52)*S52)*VLOOKUP('1. SUMMARY'!$C$20,rate,Sheet1!V$21,0),((IF(($B$16+$C$16+$D$16+$E$16+$F$16+$G$16+$H$16+$I$16+$J$16)&gt;=25000,0,(((25000-($B$16+$C$16+$D$16+$E$16+$F$16+$G$16+$H$16+$I$16+$J$16))/+$AH$52)*S52)*(VLOOKUP('1. SUMMARY'!$C$20,rate,Sheet1!V$21,0))))))))</f>
        <v>0</v>
      </c>
      <c r="T53" s="421">
        <f>IF(T52=0,0,(IF(($B$16+$C$16+$D$16+$E$16+$F$16+$G$16+$H$16+$I$16+$J$16+$H33)&lt;=25000,(($H33/+$AH$52)*T52)*VLOOKUP('1. SUMMARY'!$C$20,rate,Sheet1!W$21,0),((IF(($B$16+$C$16+$D$16+$E$16+$F$16+$G$16+$H$16+$I$16+$J$16)&gt;=25000,0,(((25000-($B$16+$C$16+$D$16+$E$16+$F$16+$G$16+$H$16+$I$16+$J$16))/+$AH$52)*T52)*(VLOOKUP('1. SUMMARY'!$C$20,rate,Sheet1!W$21,0))))))))</f>
        <v>0</v>
      </c>
      <c r="U53" s="421">
        <f>IF(U52=0,0,(IF(($B$16+$C$16+$D$16+$E$16+$F$16+$G$16+$H$16+$I$16+$J$16+$H33)&lt;=25000,(($H33/+$AH$52)*U52)*VLOOKUP('1. SUMMARY'!$C$20,rate,Sheet1!X$21,0),((IF(($B$16+$C$16+$D$16+$E$16+$F$16+$G$16+$H$16+$I$16+$J$16)&gt;=25000,0,(((25000-($B$16+$C$16+$D$16+$E$16+$F$16+$G$16+$H$16+$I$16+$J$16))/+$AH$52)*U52)*(VLOOKUP('1. SUMMARY'!$C$20,rate,Sheet1!X$21,0))))))))</f>
        <v>0</v>
      </c>
      <c r="V53" s="421">
        <f>IF(V52=0,0,(IF(($B$16+$C$16+$D$16+$E$16+$F$16+$G$16+$H$16+$I$16+$J$16+$H33)&lt;=25000,(($H33/+$AH$52)*V52)*VLOOKUP('1. SUMMARY'!$C$20,rate,Sheet1!Y$21,0),((IF(($B$16+$C$16+$D$16+$E$16+$F$16+$G$16+$H$16+$I$16+$J$16)&gt;=25000,0,(((25000-($B$16+$C$16+$D$16+$E$16+$F$16+$G$16+$H$16+$I$16+$J$16))/+$AH$52)*V52)*(VLOOKUP('1. SUMMARY'!$C$20,rate,Sheet1!Y$21,0))))))))</f>
        <v>0</v>
      </c>
      <c r="W53" s="421">
        <f>IF(W52=0,0,(IF(($B$16+$C$16+$D$16+$E$16+$F$16+$G$16+$H$16+$I$16+$J$16+$H33)&lt;=25000,(($H33/+$AH$52)*W52)*VLOOKUP('1. SUMMARY'!$C$20,rate,Sheet1!Z$21,0),((IF(($B$16+$C$16+$D$16+$E$16+$F$16+$G$16+$H$16+$I$16+$J$16)&gt;=25000,0,(((25000-($B$16+$C$16+$D$16+$E$16+$F$16+$G$16+$H$16+$I$16+$J$16))/+$AH$52)*W52)*(VLOOKUP('1. SUMMARY'!$C$20,rate,Sheet1!Z$21,0))))))))</f>
        <v>0</v>
      </c>
      <c r="X53" s="421">
        <f>IF(X52=0,0,(IF(($B$16+$C$16+$D$16+$E$16+$F$16+$G$16+$H$16+$I$16+$J$16+$H33)&lt;=25000,(($H33/+$AH$52)*X52)*VLOOKUP('1. SUMMARY'!$C$20,rate,Sheet1!AA$21,0),((IF(($B$16+$C$16+$D$16+$E$16+$F$16+$G$16+$H$16+$I$16+$J$16)&gt;=25000,0,(((25000-($B$16+$C$16+$D$16+$E$16+$F$16+$G$16+$H$16+$I$16+$J$16))/+$AH$52)*X52)*(VLOOKUP('1. SUMMARY'!$C$20,rate,Sheet1!AA$21,0))))))))</f>
        <v>0</v>
      </c>
      <c r="Y53" s="421">
        <f>IF(Y52=0,0,(IF(($B$16+$C$16+$D$16+$E$16+$F$16+$G$16+$H$16+$I$16+$J$16+$H33)&lt;=25000,(($H33/+$AH$52)*Y52)*VLOOKUP('1. SUMMARY'!$C$20,rate,Sheet1!AB$21,0),((IF(($B$16+$C$16+$D$16+$E$16+$F$16+$G$16+$H$16+$I$16+$J$16)&gt;=25000,0,(((25000-($B$16+$C$16+$D$16+$E$16+$F$16+$G$16+$H$16+$I$16+$J$16))/+$AH$52)*Y52)*(VLOOKUP('1. SUMMARY'!$C$20,rate,Sheet1!AB$21,0))))))))</f>
        <v>0</v>
      </c>
      <c r="Z53" s="421">
        <f>IF(Z52=0,0,(IF(($B$16+$C$16+$D$16+$E$16+$F$16+$G$16+$H$16+$I$16+$J$16+$H33)&lt;=25000,(($H33/+$AH$52)*Z52)*VLOOKUP('1. SUMMARY'!$C$20,rate,Sheet1!AC$21,0),((IF(($B$16+$C$16+$D$16+$E$16+$F$16+$G$16+$H$16+$I$16+$J$16)&gt;=25000,0,(((25000-($B$16+$C$16+$D$16+$E$16+$F$16+$G$16+$H$16+$I$16+$J$16))/+$AH$52)*Z52)*(VLOOKUP('1. SUMMARY'!$C$20,rate,Sheet1!AC$21,0))))))))</f>
        <v>0</v>
      </c>
      <c r="AA53" s="421">
        <f>IF(AA52=0,0,(IF(($B$16+$C$16+$D$16+$E$16+$F$16+$G$16+$H$16+$I$16+$J$16+$H33)&lt;=25000,(($H33/+$AH$52)*AA52)*VLOOKUP('1. SUMMARY'!$C$20,rate,Sheet1!AD$21,0),((IF(($B$16+$C$16+$D$16+$E$16+$F$16+$G$16+$H$16+$I$16+$J$16)&gt;=25000,0,(((25000-($B$16+$C$16+$D$16+$E$16+$F$16+$G$16+$H$16+$I$16+$J$16))/+$AH$52)*AA52)*(VLOOKUP('1. SUMMARY'!$C$20,rate,Sheet1!AD$21,0))))))))</f>
        <v>0</v>
      </c>
      <c r="AB53" s="421">
        <f>IF(AB52=0,0,(IF(($B$16+$C$16+$D$16+$E$16+$F$16+$G$16+$H$16+$I$16+$J$16+$H33)&lt;=25000,(($H33/+$AH$52)*AB52)*VLOOKUP('1. SUMMARY'!$C$20,rate,Sheet1!AE$21,0),((IF(($B$16+$C$16+$D$16+$E$16+$F$16+$G$16+$H$16+$I$16+$J$16)&gt;=25000,0,(((25000-($B$16+$C$16+$D$16+$E$16+$F$16+$G$16+$H$16+$I$16+$J$16))/+$AH$52)*AB52)*(VLOOKUP('1. SUMMARY'!$C$20,rate,Sheet1!AE$21,0))))))))</f>
        <v>0</v>
      </c>
      <c r="AC53" s="421">
        <f>IF(AC52=0,0,(IF(($B$16+$C$16+$D$16+$E$16+$F$16+$G$16+$H$16+$I$16+$J$16+$H33)&lt;=25000,(($H33/+$AH$52)*AC52)*VLOOKUP('1. SUMMARY'!$C$20,rate,Sheet1!AF$21,0),((IF(($B$16+$C$16+$D$16+$E$16+$F$16+$G$16+$H$16+$I$16+$J$16)&gt;=25000,0,(((25000-($B$16+$C$16+$D$16+$E$16+$F$16+$G$16+$H$16+$I$16+$J$16))/+$AH$52)*AC52)*(VLOOKUP('1. SUMMARY'!$C$20,rate,Sheet1!AF$21,0))))))))</f>
        <v>0</v>
      </c>
      <c r="AD53" s="421">
        <f>IF(AD52=0,0,(IF(($B$16+$C$16+$D$16+$E$16+$F$16+$G$16+$H$16+$I$16+$J$16+$H33)&lt;=25000,(($H33/+$AH$52)*AD52)*VLOOKUP('1. SUMMARY'!$C$20,rate,Sheet1!AG$21,0),((IF(($B$16+$C$16+$D$16+$E$16+$F$16+$G$16+$H$16+$I$16+$J$16)&gt;=25000,0,(((25000-($B$16+$C$16+$D$16+$E$16+$F$16+$G$16+$H$16+$I$16+$J$16))/+$AH$52)*AD52)*(VLOOKUP('1. SUMMARY'!$C$20,rate,Sheet1!AG$21,0))))))))</f>
        <v>0</v>
      </c>
      <c r="AE53" s="421">
        <f>IF(AE52=0,0,(IF(($B$16+$C$16+$D$16+$E$16+$F$16+$G$16+$H$16+$I$16+$J$16+$H33)&lt;=25000,(($H33/+$AH$52)*AE52)*VLOOKUP('1. SUMMARY'!$C$20,rate,Sheet1!AH$21,0),((IF(($B$16+$C$16+$D$16+$E$16+$F$16+$G$16+$H$16+$I$16+$J$16)&gt;=25000,0,(((25000-($B$16+$C$16+$D$16+$E$16+$F$16+$G$16+$H$16+$I$16+$J$16))/+$AH$52)*AE52)*(VLOOKUP('1. SUMMARY'!$C$20,rate,Sheet1!AH$21,0))))))))</f>
        <v>0</v>
      </c>
      <c r="AF53" s="421">
        <f>IF(AF52=0,0,(IF(($B$16+$C$16+$D$16+$E$16+$F$16+$G$16+$H$16+$I$16+$J$16+$H33)&lt;=25000,(($H33/+$AH$52)*AF52)*VLOOKUP('1. SUMMARY'!$C$20,rate,Sheet1!AI$21,0),((IF(($B$16+$C$16+$D$16+$E$16+$F$16+$G$16+$H$16+$I$16+$J$16)&gt;=25000,0,(((25000-($B$16+$C$16+$D$16+$E$16+$F$16+$G$16+$H$16+$I$16+$J$16))/+$AH$52)*AF52)*(VLOOKUP('1. SUMMARY'!$C$20,rate,Sheet1!AI$21,0))))))))</f>
        <v>0</v>
      </c>
      <c r="AG53" s="421">
        <f>IF(AG52=0,0,(IF(($B$16+$C$16+$D$16+$E$16+$F$16+$G$16+$H$16+$I$16+$J$16+$H33)&lt;=25000,(($H33/+$AH$52)*AG52)*VLOOKUP('1. SUMMARY'!$C$20,rate,Sheet1!AJ$21,0),((IF(($B$16+$C$16+$D$16+$E$16+$F$16+$G$16+$H$16+$I$16+$J$16)&gt;=25000,0,(((25000-($B$16+$C$16+$D$16+$E$16+$F$16+$G$16+$H$16+$I$16+$J$16))/+$AH$52)*AG52)*(VLOOKUP('1. SUMMARY'!$C$20,rate,Sheet1!AJ$21,0))))))))</f>
        <v>0</v>
      </c>
      <c r="AH53" s="219">
        <f>SUM(Q53:AG53)</f>
        <v>0</v>
      </c>
      <c r="AI53" s="421">
        <f>IF(AI52=0,0,((+$H33/$AZ52)*AI52)*VLOOKUP('1. SUMMARY'!$C$20,rate,Sheet1!T$21,0))</f>
        <v>0</v>
      </c>
      <c r="AJ53" s="421">
        <f>IF(AJ52=0,0,((+$H33/$AZ52)*AJ52)*VLOOKUP('1. SUMMARY'!$C$20,rate,Sheet1!U$21,0))</f>
        <v>0</v>
      </c>
      <c r="AK53" s="421">
        <f>IF(AK52=0,0,((+$H33/$AZ52)*AK52)*VLOOKUP('1. SUMMARY'!$C$20,rate,Sheet1!V$21,0))</f>
        <v>0</v>
      </c>
      <c r="AL53" s="421">
        <f>IF(AL52=0,0,((+$H33/$AZ52)*AL52)*VLOOKUP('1. SUMMARY'!$C$20,rate,Sheet1!W$21,0))</f>
        <v>0</v>
      </c>
      <c r="AM53" s="421">
        <f>IF(AM52=0,0,((+$H33/$AZ52)*AM52)*VLOOKUP('1. SUMMARY'!$C$20,rate,Sheet1!X$21,0))</f>
        <v>0</v>
      </c>
      <c r="AN53" s="421">
        <f>IF(AN52=0,0,((+$H33/$AZ52)*AN52)*VLOOKUP('1. SUMMARY'!$C$20,rate,Sheet1!Y$21,0))</f>
        <v>0</v>
      </c>
      <c r="AO53" s="421">
        <f>IF(AO52=0,0,((+$H33/$AZ52)*AO52)*VLOOKUP('1. SUMMARY'!$C$20,rate,Sheet1!Z$21,0))</f>
        <v>0</v>
      </c>
      <c r="AP53" s="421">
        <f>IF(AP52=0,0,((+$H33/$AZ52)*AP52)*VLOOKUP('1. SUMMARY'!$C$20,rate,Sheet1!AA$21,0))</f>
        <v>0</v>
      </c>
      <c r="AQ53" s="421">
        <f>IF(AQ52=0,0,((+$H33/$AZ52)*AQ52)*VLOOKUP('1. SUMMARY'!$C$20,rate,Sheet1!AB$21,0))</f>
        <v>0</v>
      </c>
      <c r="AR53" s="421">
        <f>IF(AR52=0,0,((+$H33/$AZ52)*AR52)*VLOOKUP('1. SUMMARY'!$C$20,rate,Sheet1!AC$21,0))</f>
        <v>0</v>
      </c>
      <c r="AS53" s="421">
        <f>IF(AS52=0,0,((+$H33/$AZ52)*AS52)*VLOOKUP('1. SUMMARY'!$C$20,rate,Sheet1!AD$21,0))</f>
        <v>0</v>
      </c>
      <c r="AT53" s="421">
        <f>IF(AT52=0,0,((+$H33/$AZ52)*AT52)*VLOOKUP('1. SUMMARY'!$C$20,rate,Sheet1!AE$21,0))</f>
        <v>0</v>
      </c>
      <c r="AU53" s="421">
        <f>IF(AU52=0,0,((+$H33/$AZ52)*AU52)*VLOOKUP('1. SUMMARY'!$C$20,rate,Sheet1!AF$21,0))</f>
        <v>0</v>
      </c>
      <c r="AV53" s="421">
        <f>IF(AV52=0,0,((+$H33/$AZ52)*AV52)*VLOOKUP('1. SUMMARY'!$C$20,rate,Sheet1!AG$21,0))</f>
        <v>0</v>
      </c>
      <c r="AW53" s="421">
        <f>IF(AW52=0,0,((+$H33/$AZ52)*AW52)*VLOOKUP('1. SUMMARY'!$C$20,rate,Sheet1!AH$21,0))</f>
        <v>0</v>
      </c>
      <c r="AX53" s="421">
        <f>IF(AX52=0,0,((+$H33/$AZ52)*AX52)*VLOOKUP('1. SUMMARY'!$C$20,rate,Sheet1!AI$21,0))</f>
        <v>0</v>
      </c>
      <c r="AY53" s="421">
        <f>IF(AY52=0,0,((+$H33/$AZ52)*AY52)*VLOOKUP('1. SUMMARY'!$C$20,rate,Sheet1!AJ$21,0))</f>
        <v>0</v>
      </c>
      <c r="AZ53" s="219">
        <f>SUM(AI53:AY53)</f>
        <v>0</v>
      </c>
    </row>
    <row r="54" spans="1:52" ht="12.75" customHeight="1" thickBot="1">
      <c r="A54" s="236" t="s">
        <v>154</v>
      </c>
      <c r="B54" s="237">
        <f>SUM(B50:B52)</f>
        <v>0</v>
      </c>
      <c r="C54" s="237" t="str">
        <f>IF(C44="No Year 2","",SUM(C50:C52))</f>
        <v/>
      </c>
      <c r="D54" s="237" t="str">
        <f>IF(D44="No Year 3","",SUM(D50:D52))</f>
        <v/>
      </c>
      <c r="E54" s="237" t="str">
        <f>IF(E44="No Year 4","",SUM(E50:E52))</f>
        <v/>
      </c>
      <c r="F54" s="237" t="str">
        <f>IF(F44="No Year 5","",SUM(F50:F52))</f>
        <v/>
      </c>
      <c r="G54" s="237" t="str">
        <f>IF(G44="No Year 6","",SUM(G50:G52))</f>
        <v/>
      </c>
      <c r="H54" s="237" t="str">
        <f>IF(H44="No Year 7","",SUM(H50:H52))</f>
        <v/>
      </c>
      <c r="I54" s="237" t="str">
        <f>IF(I44="No Year 8","",SUM(I50:I52))</f>
        <v/>
      </c>
      <c r="J54" s="237" t="str">
        <f>IF(J44="No Year 9","",SUM(J50:J52))</f>
        <v/>
      </c>
      <c r="K54" s="237" t="str">
        <f>IF(K44="No Year 10","",SUM(K50:K52))</f>
        <v/>
      </c>
      <c r="L54" s="238">
        <f>SUM(B54:K54)</f>
        <v>0</v>
      </c>
      <c r="N54" s="86">
        <f>IF(L54&gt;0,1,0)</f>
        <v>0</v>
      </c>
      <c r="Q54" s="421">
        <f>+Q53/VLOOKUP('1. SUMMARY'!$C$20,rate,Sheet1!T$21,0)</f>
        <v>0</v>
      </c>
      <c r="R54" s="421">
        <f>+R53/VLOOKUP('1. SUMMARY'!$C$20,rate,Sheet1!U$21,0)</f>
        <v>0</v>
      </c>
      <c r="S54" s="421">
        <f>+S53/VLOOKUP('1. SUMMARY'!$C$20,rate,Sheet1!V$21,0)</f>
        <v>0</v>
      </c>
      <c r="T54" s="421">
        <f>+T53/VLOOKUP('1. SUMMARY'!$C$20,rate,Sheet1!W$21,0)</f>
        <v>0</v>
      </c>
      <c r="U54" s="421">
        <f>+U53/VLOOKUP('1. SUMMARY'!$C$20,rate,Sheet1!X$21,0)</f>
        <v>0</v>
      </c>
      <c r="V54" s="421">
        <f>+V53/VLOOKUP('1. SUMMARY'!$C$20,rate,Sheet1!Y$21,0)</f>
        <v>0</v>
      </c>
      <c r="W54" s="421">
        <f>+W53/VLOOKUP('1. SUMMARY'!$C$20,rate,Sheet1!Z$21,0)</f>
        <v>0</v>
      </c>
      <c r="X54" s="421">
        <f>+X53/VLOOKUP('1. SUMMARY'!$C$20,rate,Sheet1!AA$21,0)</f>
        <v>0</v>
      </c>
      <c r="Y54" s="421">
        <f>+Y53/VLOOKUP('1. SUMMARY'!$C$20,rate,Sheet1!AB$21,0)</f>
        <v>0</v>
      </c>
      <c r="Z54" s="421">
        <f>+Z53/VLOOKUP('1. SUMMARY'!$C$20,rate,Sheet1!AC$21,0)</f>
        <v>0</v>
      </c>
      <c r="AA54" s="421">
        <f>+AA53/VLOOKUP('1. SUMMARY'!$C$20,rate,Sheet1!AD$21,0)</f>
        <v>0</v>
      </c>
      <c r="AB54" s="421">
        <f>+AB53/VLOOKUP('1. SUMMARY'!$C$20,rate,Sheet1!AE$21,0)</f>
        <v>0</v>
      </c>
      <c r="AC54" s="421">
        <f>+AC53/VLOOKUP('1. SUMMARY'!$C$20,rate,Sheet1!AF$21,0)</f>
        <v>0</v>
      </c>
      <c r="AD54" s="421">
        <f>+AD53/VLOOKUP('1. SUMMARY'!$C$20,rate,Sheet1!AG$21,0)</f>
        <v>0</v>
      </c>
      <c r="AE54" s="421">
        <f>+AE53/VLOOKUP('1. SUMMARY'!$C$20,rate,Sheet1!AH$21,0)</f>
        <v>0</v>
      </c>
      <c r="AF54" s="421">
        <f>+AF53/VLOOKUP('1. SUMMARY'!$C$20,rate,Sheet1!AI$21,0)</f>
        <v>0</v>
      </c>
      <c r="AG54" s="421">
        <f>+AG53/VLOOKUP('1. SUMMARY'!$C$20,rate,Sheet1!AJ$21,0)</f>
        <v>0</v>
      </c>
      <c r="AH54" s="219"/>
      <c r="AI54" s="421">
        <v>0</v>
      </c>
      <c r="AJ54" s="421">
        <v>0</v>
      </c>
      <c r="AK54" s="421">
        <v>0</v>
      </c>
      <c r="AL54" s="421">
        <v>0</v>
      </c>
      <c r="AM54" s="421">
        <v>0</v>
      </c>
      <c r="AN54" s="421">
        <v>0</v>
      </c>
      <c r="AO54" s="421">
        <v>0</v>
      </c>
      <c r="AP54" s="421">
        <v>0</v>
      </c>
      <c r="AQ54" s="421"/>
      <c r="AR54" s="421"/>
      <c r="AS54" s="421"/>
      <c r="AT54" s="421"/>
      <c r="AU54" s="421"/>
      <c r="AV54" s="421"/>
      <c r="AW54" s="421"/>
      <c r="AX54" s="421"/>
      <c r="AY54" s="421"/>
      <c r="AZ54" s="219"/>
    </row>
    <row r="55" spans="1:52" ht="12.75" customHeight="1" thickTop="1">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row>
    <row r="56" spans="1:52" ht="12.75" customHeight="1" thickBot="1">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row>
    <row r="57" spans="1:52" ht="12.75" customHeight="1" thickTop="1">
      <c r="A57" s="212" t="s">
        <v>157</v>
      </c>
      <c r="B57" s="213"/>
      <c r="C57" s="213"/>
      <c r="D57" s="213"/>
      <c r="E57" s="213"/>
      <c r="F57" s="213"/>
      <c r="G57" s="213"/>
      <c r="H57" s="213"/>
      <c r="I57" s="213"/>
      <c r="J57" s="213"/>
      <c r="K57" s="213"/>
      <c r="L57" s="214"/>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row>
    <row r="58" spans="1:52" ht="23.25" customHeight="1">
      <c r="A58" s="215" t="s">
        <v>149</v>
      </c>
      <c r="B58" s="575"/>
      <c r="C58" s="575"/>
      <c r="D58" s="575"/>
      <c r="E58" s="575"/>
      <c r="F58" s="575"/>
      <c r="G58" s="575"/>
      <c r="H58" s="575"/>
      <c r="I58" s="575"/>
      <c r="J58" s="575"/>
      <c r="K58" s="575"/>
      <c r="L58" s="576"/>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row>
    <row r="59" spans="1:52" ht="12.75" customHeight="1">
      <c r="A59" s="216"/>
      <c r="B59" s="217"/>
      <c r="C59" s="217"/>
      <c r="D59" s="217"/>
      <c r="E59" s="217"/>
      <c r="F59" s="217"/>
      <c r="G59" s="217"/>
      <c r="H59" s="217"/>
      <c r="I59" s="217"/>
      <c r="J59" s="217"/>
      <c r="K59" s="217"/>
      <c r="L59" s="218"/>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row>
    <row r="60" spans="1:52" ht="12.75" customHeight="1">
      <c r="A60" s="216"/>
      <c r="B60" s="175" t="s">
        <v>81</v>
      </c>
      <c r="C60" s="175" t="s">
        <v>82</v>
      </c>
      <c r="D60" s="175" t="s">
        <v>83</v>
      </c>
      <c r="E60" s="175" t="s">
        <v>84</v>
      </c>
      <c r="F60" s="175" t="s">
        <v>85</v>
      </c>
      <c r="G60" s="175" t="s">
        <v>86</v>
      </c>
      <c r="H60" s="175" t="s">
        <v>87</v>
      </c>
      <c r="I60" s="175" t="s">
        <v>224</v>
      </c>
      <c r="J60" s="175" t="s">
        <v>225</v>
      </c>
      <c r="K60" s="175" t="s">
        <v>226</v>
      </c>
      <c r="L60" s="220" t="s">
        <v>47</v>
      </c>
      <c r="P60" s="207">
        <f>IF(Q60=39356,(+P29+1),P29)</f>
        <v>1</v>
      </c>
      <c r="Q60" s="396">
        <f>Sheet1!$T$8</f>
        <v>44105</v>
      </c>
      <c r="R60" s="396">
        <f>Sheet1!$U$8</f>
        <v>44470</v>
      </c>
      <c r="S60" s="396">
        <f>Sheet1!$V$8</f>
        <v>44835</v>
      </c>
      <c r="T60" s="396">
        <f>Sheet1!$W$8</f>
        <v>45200</v>
      </c>
      <c r="U60" s="396">
        <f>Sheet1!$X$8</f>
        <v>45566</v>
      </c>
      <c r="V60" s="396">
        <f>Sheet1!$Y$8</f>
        <v>45931</v>
      </c>
      <c r="W60" s="396">
        <f>Sheet1!$Z$8</f>
        <v>46296</v>
      </c>
      <c r="X60" s="396">
        <f>Sheet1!$AA$8</f>
        <v>46661</v>
      </c>
      <c r="Y60" s="396">
        <f>Sheet1!$AB$8</f>
        <v>47027</v>
      </c>
      <c r="Z60" s="396">
        <f>Sheet1!$AC$8</f>
        <v>47392</v>
      </c>
      <c r="AA60" s="396">
        <f>$AA$5</f>
        <v>47757</v>
      </c>
      <c r="AB60" s="396">
        <f>$AB$5</f>
        <v>48122</v>
      </c>
      <c r="AC60" s="396">
        <f>$AC$5</f>
        <v>48488</v>
      </c>
      <c r="AD60" s="396">
        <f>$AD$5</f>
        <v>48853</v>
      </c>
      <c r="AE60" s="396">
        <f>$AE$5</f>
        <v>49218</v>
      </c>
      <c r="AF60" s="396">
        <f>$AF$5</f>
        <v>49583</v>
      </c>
      <c r="AG60" s="396">
        <f>$AG$5</f>
        <v>49949</v>
      </c>
      <c r="AH60" s="211"/>
      <c r="AI60" s="396">
        <f t="shared" ref="AI60:AR62" si="24">+Q60</f>
        <v>44105</v>
      </c>
      <c r="AJ60" s="396">
        <f t="shared" si="24"/>
        <v>44470</v>
      </c>
      <c r="AK60" s="396">
        <f t="shared" si="24"/>
        <v>44835</v>
      </c>
      <c r="AL60" s="396">
        <f t="shared" si="24"/>
        <v>45200</v>
      </c>
      <c r="AM60" s="396">
        <f t="shared" si="24"/>
        <v>45566</v>
      </c>
      <c r="AN60" s="396">
        <f t="shared" si="24"/>
        <v>45931</v>
      </c>
      <c r="AO60" s="396">
        <f t="shared" si="24"/>
        <v>46296</v>
      </c>
      <c r="AP60" s="396">
        <f t="shared" si="24"/>
        <v>46661</v>
      </c>
      <c r="AQ60" s="396">
        <f t="shared" si="24"/>
        <v>47027</v>
      </c>
      <c r="AR60" s="396">
        <f t="shared" si="24"/>
        <v>47392</v>
      </c>
      <c r="AS60" s="396">
        <f t="shared" ref="AS60:AY62" si="25">+AA60</f>
        <v>47757</v>
      </c>
      <c r="AT60" s="396">
        <f t="shared" si="25"/>
        <v>48122</v>
      </c>
      <c r="AU60" s="396">
        <f t="shared" si="25"/>
        <v>48488</v>
      </c>
      <c r="AV60" s="396">
        <f t="shared" si="25"/>
        <v>48853</v>
      </c>
      <c r="AW60" s="396">
        <f t="shared" si="25"/>
        <v>49218</v>
      </c>
      <c r="AX60" s="396">
        <f t="shared" si="25"/>
        <v>49583</v>
      </c>
      <c r="AY60" s="396">
        <f t="shared" si="25"/>
        <v>49949</v>
      </c>
      <c r="AZ60" s="211"/>
    </row>
    <row r="61" spans="1:52" ht="12.75" customHeight="1">
      <c r="A61" s="221"/>
      <c r="B61" s="222">
        <f>'1. SUMMARY'!C17</f>
        <v>0</v>
      </c>
      <c r="C61" s="222" t="str">
        <f>IF(+B62+1&gt;'1. SUMMARY'!$C$18,"No "&amp;C60,+B62+1)</f>
        <v>No Year 2</v>
      </c>
      <c r="D61" s="222" t="str">
        <f>IF(C61="No "&amp;C60,"No "&amp;D60,IF(+C62+1&gt;'1. SUMMARY'!$C$18,"No "&amp;D60,+C62+1))</f>
        <v>No Year 3</v>
      </c>
      <c r="E61" s="222" t="str">
        <f>IF(D61="No "&amp;D60,"No "&amp;E60,IF(+D62+1&gt;'1. SUMMARY'!$C$18,"No "&amp;E60,+D62+1))</f>
        <v>No Year 4</v>
      </c>
      <c r="F61" s="222" t="str">
        <f>IF(E61="No "&amp;E60,"No "&amp;F60,IF(+E62+1&gt;'1. SUMMARY'!$C$18,"No "&amp;F60,+E62+1))</f>
        <v>No Year 5</v>
      </c>
      <c r="G61" s="222" t="str">
        <f>IF(F61="No "&amp;F60,"No "&amp;G60,IF(+F62+1&gt;'1. SUMMARY'!$C$18,"No "&amp;G60,+F62+1))</f>
        <v>No Year 6</v>
      </c>
      <c r="H61" s="222" t="str">
        <f>IF(G61="No "&amp;G60,"No "&amp;H60,IF(+G62+1&gt;'1. SUMMARY'!$C$18,"No "&amp;H60,+G62+1))</f>
        <v>No Year 7</v>
      </c>
      <c r="I61" s="222" t="str">
        <f>IF(H61="No "&amp;H60,"No "&amp;I60,IF(+H62+1&gt;'1. SUMMARY'!$C$18,"No "&amp;I60,+H62+1))</f>
        <v>No Year 8</v>
      </c>
      <c r="J61" s="222" t="str">
        <f>IF(I61="No "&amp;I60,"No "&amp;J60,IF(+I62+1&gt;'1. SUMMARY'!$C$18,"No "&amp;J60,+I62+1))</f>
        <v>No Year 9</v>
      </c>
      <c r="K61" s="222" t="str">
        <f>IF(J61="No "&amp;J60,"No "&amp;K60,IF(+J62+1&gt;'1. SUMMARY'!$C$18,"No "&amp;K60,+J62+1))</f>
        <v>No Year 10</v>
      </c>
      <c r="L61" s="223"/>
      <c r="P61" s="207">
        <f t="shared" si="2"/>
        <v>1</v>
      </c>
      <c r="Q61" s="396">
        <f>Sheet1!$T$9</f>
        <v>44469</v>
      </c>
      <c r="R61" s="396">
        <f>Sheet1!$U$9</f>
        <v>44834</v>
      </c>
      <c r="S61" s="396">
        <f>Sheet1!$V$9</f>
        <v>45199</v>
      </c>
      <c r="T61" s="396">
        <f>Sheet1!$W$9</f>
        <v>45565</v>
      </c>
      <c r="U61" s="396">
        <f>Sheet1!$X$9</f>
        <v>45930</v>
      </c>
      <c r="V61" s="396">
        <f>Sheet1!$Y$9</f>
        <v>46295</v>
      </c>
      <c r="W61" s="396">
        <f>Sheet1!$Z$9</f>
        <v>46660</v>
      </c>
      <c r="X61" s="396">
        <f>Sheet1!$AA$9</f>
        <v>47026</v>
      </c>
      <c r="Y61" s="396">
        <f>Sheet1!$AB$9</f>
        <v>47391</v>
      </c>
      <c r="Z61" s="396">
        <f>Sheet1!$AC$9</f>
        <v>47756</v>
      </c>
      <c r="AA61" s="396">
        <f>$AA$6</f>
        <v>48121</v>
      </c>
      <c r="AB61" s="396">
        <f>$AB$6</f>
        <v>48487</v>
      </c>
      <c r="AC61" s="396">
        <f>$AC$6</f>
        <v>48852</v>
      </c>
      <c r="AD61" s="396">
        <f>$AD$6</f>
        <v>49217</v>
      </c>
      <c r="AE61" s="396">
        <f>$AE$6</f>
        <v>49582</v>
      </c>
      <c r="AF61" s="396">
        <f>$AF$6</f>
        <v>49948</v>
      </c>
      <c r="AG61" s="396">
        <f>$AG$6</f>
        <v>50313</v>
      </c>
      <c r="AH61" s="211"/>
      <c r="AI61" s="396">
        <f t="shared" si="24"/>
        <v>44469</v>
      </c>
      <c r="AJ61" s="396">
        <f t="shared" si="24"/>
        <v>44834</v>
      </c>
      <c r="AK61" s="396">
        <f t="shared" si="24"/>
        <v>45199</v>
      </c>
      <c r="AL61" s="396">
        <f t="shared" si="24"/>
        <v>45565</v>
      </c>
      <c r="AM61" s="396">
        <f t="shared" si="24"/>
        <v>45930</v>
      </c>
      <c r="AN61" s="396">
        <f t="shared" si="24"/>
        <v>46295</v>
      </c>
      <c r="AO61" s="396">
        <f t="shared" si="24"/>
        <v>46660</v>
      </c>
      <c r="AP61" s="396">
        <f t="shared" si="24"/>
        <v>47026</v>
      </c>
      <c r="AQ61" s="396">
        <f t="shared" si="24"/>
        <v>47391</v>
      </c>
      <c r="AR61" s="396">
        <f t="shared" si="24"/>
        <v>47756</v>
      </c>
      <c r="AS61" s="396">
        <f t="shared" si="25"/>
        <v>48121</v>
      </c>
      <c r="AT61" s="396">
        <f t="shared" si="25"/>
        <v>48487</v>
      </c>
      <c r="AU61" s="396">
        <f t="shared" si="25"/>
        <v>48852</v>
      </c>
      <c r="AV61" s="396">
        <f t="shared" si="25"/>
        <v>49217</v>
      </c>
      <c r="AW61" s="396">
        <f t="shared" si="25"/>
        <v>49582</v>
      </c>
      <c r="AX61" s="396">
        <f t="shared" si="25"/>
        <v>49948</v>
      </c>
      <c r="AY61" s="396">
        <f t="shared" si="25"/>
        <v>50313</v>
      </c>
      <c r="AZ61" s="211"/>
    </row>
    <row r="62" spans="1:52" ht="12.75" customHeight="1">
      <c r="A62" s="221"/>
      <c r="B62" s="224">
        <f>IF((DATE(YEAR(B61), MONTH(B61)+12, DAY(B61)-1))&lt;=('1. SUMMARY'!$C$18),DATE(YEAR(B61), MONTH(B61)+12, DAY(B61)-1),'1. SUMMARY'!$C$18)</f>
        <v>0</v>
      </c>
      <c r="C62" s="224" t="str">
        <f>IF(C61="No "&amp;C60,"No "&amp;C60,IF(B62='1. SUMMARY'!B79,"a",IF((DATE(YEAR(C61),MONTH(C61)+12,DAY(C61)-1))&lt;=('1. SUMMARY'!$C$18),DATE(YEAR(C61),MONTH(C61)+12,DAY(C61)-1),'1. SUMMARY'!$C$18)))</f>
        <v>No Year 2</v>
      </c>
      <c r="D62" s="224" t="str">
        <f>IF(D61="No "&amp;D60,"No "&amp;D60,IF(C62='1. SUMMARY'!C79,"a",IF((DATE(YEAR(D61),MONTH(D61)+12,DAY(D61)-1))&lt;=('1. SUMMARY'!$C$18),DATE(YEAR(D61),MONTH(D61)+12,DAY(D61)-1),'1. SUMMARY'!$C$18)))</f>
        <v>No Year 3</v>
      </c>
      <c r="E62" s="224" t="str">
        <f>IF(E61="No "&amp;E60,"No "&amp;E60,IF(D62='1. SUMMARY'!E79,"a",IF((DATE(YEAR(E61),MONTH(E61)+12,DAY(E61)-1))&lt;=('1. SUMMARY'!$C$18),DATE(YEAR(E61),MONTH(E61)+12,DAY(E61)-1),'1. SUMMARY'!$C$18)))</f>
        <v>No Year 4</v>
      </c>
      <c r="F62" s="224" t="str">
        <f>IF(F61="No "&amp;F60,"No "&amp;F60,IF(E62='1. SUMMARY'!F79,"a",IF((DATE(YEAR(F61),MONTH(F61)+12,DAY(F61)-1))&lt;=('1. SUMMARY'!$C$18),DATE(YEAR(F61),MONTH(F61)+12,DAY(F61)-1),'1. SUMMARY'!$C$18)))</f>
        <v>No Year 5</v>
      </c>
      <c r="G62" s="224" t="str">
        <f>IF(G61="No "&amp;G60,"No "&amp;G60,IF(F62='1. SUMMARY'!G79,"a",IF((DATE(YEAR(G61),MONTH(G61)+12,DAY(G61)-1))&lt;=('1. SUMMARY'!$C$18),DATE(YEAR(G61),MONTH(G61)+12,DAY(G61)-1),'1. SUMMARY'!$C$18)))</f>
        <v>No Year 6</v>
      </c>
      <c r="H62" s="224" t="str">
        <f>IF(H61="No "&amp;H60,"No "&amp;H60,IF(G62='1. SUMMARY'!H79,"a",IF((DATE(YEAR(H61),MONTH(H61)+12,DAY(H61)-1))&lt;=('1. SUMMARY'!$C$18),DATE(YEAR(H61),MONTH(H61)+12,DAY(H61)-1),'1. SUMMARY'!$C$18)))</f>
        <v>No Year 7</v>
      </c>
      <c r="I62" s="224" t="str">
        <f>IF(I61="No "&amp;I60,"No "&amp;I60,IF(H62='1. SUMMARY'!N79,"a",IF((DATE(YEAR(I61),MONTH(I61)+12,DAY(I61)-1))&lt;=('1. SUMMARY'!$C$18),DATE(YEAR(I61),MONTH(I61)+12,DAY(I61)-1),'1. SUMMARY'!$C$18)))</f>
        <v>No Year 8</v>
      </c>
      <c r="J62" s="224" t="str">
        <f>IF(J61="No "&amp;J60,"No "&amp;J60,IF(I62='1. SUMMARY'!O79,"a",IF((DATE(YEAR(J61),MONTH(J61)+12,DAY(J61)-1))&lt;=('1. SUMMARY'!$C$18),DATE(YEAR(J61),MONTH(J61)+12,DAY(J61)-1),'1. SUMMARY'!$C$18)))</f>
        <v>No Year 9</v>
      </c>
      <c r="K62" s="224" t="str">
        <f>IF(K61="No "&amp;K60,"No "&amp;K60,IF(J62='1. SUMMARY'!P77,"a",IF((DATE(YEAR(K61),MONTH(K61)+12,DAY(K61)-1))&lt;=('1. SUMMARY'!$C$18),DATE(YEAR(K61),MONTH(K61)+12,DAY(K61)-1),'1. SUMMARY'!$C$18)))</f>
        <v>No Year 10</v>
      </c>
      <c r="L62" s="218"/>
      <c r="P62" s="207">
        <f t="shared" si="2"/>
        <v>1</v>
      </c>
      <c r="Q62" s="397">
        <f>IF(IF(Q61&lt;$B$27,0,DATEDIF($B$27,Q61+1,"m"))&lt;0,0,IF(Q61&lt;$B$27,0,DATEDIF($B$27,Q61+1,"m")))</f>
        <v>1461</v>
      </c>
      <c r="R62" s="397">
        <f>IF(IF(Q62=12,0,IF(R61&gt;$B$28,12-DATEDIF($B$28,R61+1,"m"),IF(R61&lt;$B$27,0,DATEDIF($B$27,R61+1,"m"))))&lt;0,0,IF(Q62=12,0,IF(R61&gt;$B$28,12-DATEDIF($B$28,R61+1,"m"),IF(R61&lt;$B$27,0,DATEDIF($B$27,R61+1,"m")))))</f>
        <v>0</v>
      </c>
      <c r="S62" s="397">
        <f>IF(IF(Q62+R62=12,0,IF(S61&gt;$B$28,12-DATEDIF($B$28,S61+1,"m"),IF(S61&lt;$B$27,0,DATEDIF($B$27,S61+1,"m"))))&lt;0,0,IF(Q62+R62=12,0,IF(S61&gt;$B$28,12-DATEDIF($B$28,S61+1,"m"),IF(S61&lt;$B$27,0,DATEDIF($B$27,S61+1,"m")))))</f>
        <v>0</v>
      </c>
      <c r="T62" s="397">
        <f>IF(IF(R62+S62+Q62=12,0,IF(T61&gt;$B$28,12-DATEDIF($B$28,T61+1,"m"),IF(T61&lt;$B$27,0,DATEDIF($B$27,T61+1,"m"))))&lt;0,0,IF(R62+S62+Q62=12,0,IF(T61&gt;$B$28,12-DATEDIF($B$28,T61+1,"m"),IF(T61&lt;$B$27,0,DATEDIF($B$27,T61+1,"m")))))</f>
        <v>0</v>
      </c>
      <c r="U62" s="397">
        <f>IF(IF(S62+T62+R62+Q62=12,0,IF(U61&gt;$B$28,12-DATEDIF($B$28,U61+1,"m"),IF(U61&lt;$B$27,0,DATEDIF($B$27,U61+1,"m"))))&lt;0,0,IF(S62+T62+R62+Q62=12,0,IF(U61&gt;$B$28,12-DATEDIF($B$28,U61+1,"m"),IF(U61&lt;$B$27,0,DATEDIF($B$27,U61+1,"m")))))</f>
        <v>0</v>
      </c>
      <c r="V62" s="397">
        <f>IF(IF(T62+U62+S62+R62+Q62=12,0,IF(V61&gt;$B$28,12-DATEDIF($B$28,V61+1,"m"),IF(V61&lt;$B$27,0,DATEDIF($B$27,V61+1,"m"))))&lt;0,0,IF(T62+U62+S62+R62+Q62=12,0,IF(V61&gt;$B$28,12-DATEDIF($B$28,V61+1,"m"),IF(V61&lt;$B$27,0,DATEDIF($B$27,V61+1,"m")))))</f>
        <v>0</v>
      </c>
      <c r="W62" s="397">
        <f>IF(IF(U62+V62+T62+S62+R62+Q62=12,0,IF(W61&gt;$B$28,12-DATEDIF($B$28,W61+1,"m"),IF(W61&lt;$B$27,0,DATEDIF($B$27,W61+1,"m"))))&lt;0,0,IF(U62+V62+T62+S62+R62+Q62=12,0,IF(W61&gt;$B$28,12-DATEDIF($B$28,W61+1,"m"),IF(W61&lt;$B$27,0,DATEDIF($B$27,W61+1,"m")))))</f>
        <v>0</v>
      </c>
      <c r="X62" s="397">
        <f>IF(IF(V62+W62+U62+T62+S62+R62+Q62=12,0,IF(X61&gt;$B$28,12-DATEDIF($B$28,X61+1,"m"),IF(X61&lt;$B$27,0,DATEDIF($B$27,X61+1,"m"))))&lt;0,0,IF(V62+W62+U62+T62+S62+R62+Q62=12,0,IF(X61&gt;$B$28,12-DATEDIF($B$28,X61+1,"m"),IF(X61&lt;$B$27,0,DATEDIF($B$27,X61+1,"m")))))</f>
        <v>0</v>
      </c>
      <c r="Y62" s="397">
        <f>IF(IF(W62+X62+V62+U62+T62+S62+R62=12,0,IF(Y61&gt;$B$28,12-DATEDIF($B$28,Y61+1,"m"),IF(Y61&lt;$B$27,0,DATEDIF($B$27,Y61+1,"m"))))&lt;0,0,IF(W62+X62+V62+U62+T62+S62+R62=12,0,IF(Y61&gt;$B$28,12-DATEDIF($B$28,Y61+1,"m"),IF(Y61&lt;$B$27,0,DATEDIF($B$27,Y61+1,"m")))))</f>
        <v>0</v>
      </c>
      <c r="Z62" s="397">
        <f>IF(IF(X62+Y62+W62+V62+U62+T62+S62=12,0,IF(Z61&gt;$B$28,12-DATEDIF($B$28,Z61+1,"m"),IF(Z61&lt;$B$27,0,DATEDIF($B$27,Z61+1,"m"))))&lt;0,0,IF(X62+Y62+W62+V62+U62+T62+S62=12,0,IF(Z61&gt;$B$28,12-DATEDIF($B$28,Z61+1,"m"),IF(Z61&lt;$B$27,0,DATEDIF($B$27,Z61+1,"m")))))</f>
        <v>0</v>
      </c>
      <c r="AA62" s="397"/>
      <c r="AB62" s="397"/>
      <c r="AC62" s="397"/>
      <c r="AD62" s="397"/>
      <c r="AE62" s="397"/>
      <c r="AF62" s="397"/>
      <c r="AG62" s="397"/>
      <c r="AH62" s="423">
        <f>SUM(Q62:AG62)</f>
        <v>1461</v>
      </c>
      <c r="AI62" s="397">
        <f t="shared" si="24"/>
        <v>1461</v>
      </c>
      <c r="AJ62" s="397">
        <f t="shared" si="24"/>
        <v>0</v>
      </c>
      <c r="AK62" s="397">
        <f t="shared" si="24"/>
        <v>0</v>
      </c>
      <c r="AL62" s="397">
        <f t="shared" si="24"/>
        <v>0</v>
      </c>
      <c r="AM62" s="397">
        <f t="shared" si="24"/>
        <v>0</v>
      </c>
      <c r="AN62" s="397">
        <f t="shared" si="24"/>
        <v>0</v>
      </c>
      <c r="AO62" s="397">
        <f t="shared" si="24"/>
        <v>0</v>
      </c>
      <c r="AP62" s="397">
        <f t="shared" si="24"/>
        <v>0</v>
      </c>
      <c r="AQ62" s="397">
        <f t="shared" si="24"/>
        <v>0</v>
      </c>
      <c r="AR62" s="397">
        <f t="shared" si="24"/>
        <v>0</v>
      </c>
      <c r="AS62" s="397">
        <f t="shared" si="25"/>
        <v>0</v>
      </c>
      <c r="AT62" s="397">
        <f t="shared" si="25"/>
        <v>0</v>
      </c>
      <c r="AU62" s="397">
        <f t="shared" si="25"/>
        <v>0</v>
      </c>
      <c r="AV62" s="397">
        <f t="shared" si="25"/>
        <v>0</v>
      </c>
      <c r="AW62" s="397">
        <f t="shared" si="25"/>
        <v>0</v>
      </c>
      <c r="AX62" s="397">
        <f t="shared" si="25"/>
        <v>0</v>
      </c>
      <c r="AY62" s="397">
        <f t="shared" si="25"/>
        <v>0</v>
      </c>
      <c r="AZ62" s="211">
        <f>SUM(AI62:AY62)</f>
        <v>1461</v>
      </c>
    </row>
    <row r="63" spans="1:52" ht="12.75" customHeight="1">
      <c r="A63" s="216"/>
      <c r="B63" s="225"/>
      <c r="C63" s="225"/>
      <c r="D63" s="225"/>
      <c r="E63" s="225"/>
      <c r="F63" s="225"/>
      <c r="G63" s="225"/>
      <c r="H63" s="225"/>
      <c r="I63" s="225"/>
      <c r="J63" s="225"/>
      <c r="K63" s="225"/>
      <c r="L63" s="223"/>
      <c r="P63" s="207">
        <f t="shared" si="2"/>
        <v>1</v>
      </c>
      <c r="Q63" s="398">
        <f>IF(Q62=0,0,(IF($B$33&gt;25000,((25000/+$AH62)*Q62)*VLOOKUP('1. SUMMARY'!$C$20,rate,Sheet1!$T$21,0),(($B$33/+$AH62)*Q62)*VLOOKUP('1. SUMMARY'!$C$20,rate,Sheet1!$T$21,0))))</f>
        <v>0</v>
      </c>
      <c r="R63" s="398">
        <f>IF(R62=0,0,(IF($B$33&gt;25000,((25000/+$AH62)*R62)*VLOOKUP('1. SUMMARY'!$C$20,rate,Sheet1!U21,0),(($B$33/+$AH62)*R62)*VLOOKUP('1. SUMMARY'!$C$20,rate,Sheet1!U21,0))))</f>
        <v>0</v>
      </c>
      <c r="S63" s="398">
        <f>IF(S62=0,0,(IF($B$33&gt;25000,((25000/+$AH62)*S62)*VLOOKUP('1. SUMMARY'!$C$20,rate,Sheet1!V$21,0),(($B$33/+$AH62)*S62)*VLOOKUP('1. SUMMARY'!$C$20,rate,Sheet1!V$21,0))))</f>
        <v>0</v>
      </c>
      <c r="T63" s="398">
        <f>IF(T62=0,0,(IF($B$33&gt;25000,((25000/+$AH62)*T62)*VLOOKUP('1. SUMMARY'!$C$20,rate,Sheet1!W21,0),(($B$33/+$AH62)*T62)*VLOOKUP('1. SUMMARY'!$C$20,rate,Sheet1!W21,0))))</f>
        <v>0</v>
      </c>
      <c r="U63" s="398">
        <f>IF(U62=0,0,(IF($B$33&gt;25000,((25000/+$AH62)*U62)*VLOOKUP('1. SUMMARY'!$C$20,rate,Sheet1!X21,0),(($B$33/+$AH62)*U62)*VLOOKUP('1. SUMMARY'!$C$20,rate,Sheet1!X21,0))))</f>
        <v>0</v>
      </c>
      <c r="V63" s="398">
        <f>IF(V62=0,0,(IF($B$33&gt;25000,((25000/+$AH62)*V62)*VLOOKUP('1. SUMMARY'!$C$20,rate,Sheet1!Y21,0),(($B$33/+$AH62)*V62)*VLOOKUP('1. SUMMARY'!$C$20,rate,Sheet1!Y21,0))))</f>
        <v>0</v>
      </c>
      <c r="W63" s="398">
        <f>IF(W62=0,0,(IF($B$33&gt;25000,((25000/+$AH62)*W62)*VLOOKUP('1. SUMMARY'!$C$20,rate,Sheet1!Z21,0),(($B$33/+$AH62)*W62)*VLOOKUP('1. SUMMARY'!$C$20,rate,Sheet1!Z21,0))))</f>
        <v>0</v>
      </c>
      <c r="X63" s="398">
        <f>IF(X62=0,0,(IF($B$33&gt;25000,((25000/+$AH62)*X62)*VLOOKUP('1. SUMMARY'!$C$20,rate,Sheet1!AA21,0),(($B$33/+$AH62)*X62)*VLOOKUP('1. SUMMARY'!$C$20,rate,Sheet1!AA21,0))))</f>
        <v>0</v>
      </c>
      <c r="Y63" s="398">
        <f>IF(Y62=0,0,(IF($B$33&gt;25000,((25000/+$AH62)*Y62)*VLOOKUP('1. SUMMARY'!$C$20,rate,Sheet1!AB21,0),(($B$33/+$AH62)*Y62)*VLOOKUP('1. SUMMARY'!$C$20,rate,Sheet1!AB21,0))))</f>
        <v>0</v>
      </c>
      <c r="Z63" s="398">
        <f>IF(Z62=0,0,(IF($B$33&gt;25000,((25000/+$AH62)*Z62)*VLOOKUP('1. SUMMARY'!$C$20,rate,Sheet1!AC21,0),(($B$33/+$AH62)*Z62)*VLOOKUP('1. SUMMARY'!$C$20,rate,Sheet1!AC21,0))))</f>
        <v>0</v>
      </c>
      <c r="AA63" s="398"/>
      <c r="AB63" s="398"/>
      <c r="AC63" s="398"/>
      <c r="AD63" s="398"/>
      <c r="AE63" s="398"/>
      <c r="AF63" s="398"/>
      <c r="AG63" s="398"/>
      <c r="AH63" s="219">
        <f>SUM(Q63:AG63)</f>
        <v>0</v>
      </c>
      <c r="AI63" s="398">
        <f>IF(Q62=0,0,((+$B33/$AZ62)*AI62)*VLOOKUP('1. SUMMARY'!$C$20,rate,Sheet1!T$21,0))</f>
        <v>0</v>
      </c>
      <c r="AJ63" s="398">
        <f>IF(R62=0,0,((+$B33/$AZ62)*AJ62)*VLOOKUP('1. SUMMARY'!$C$20,rate,Sheet1!U$21,0))</f>
        <v>0</v>
      </c>
      <c r="AK63" s="398">
        <f>IF(S62=0,0,((+$B33/$AZ62)*AK62)*VLOOKUP('1. SUMMARY'!$C$20,rate,Sheet1!V$21,0))</f>
        <v>0</v>
      </c>
      <c r="AL63" s="398">
        <f>IF(T62=0,0,((+$B33/$AZ62)*AL62)*VLOOKUP('1. SUMMARY'!$C$20,rate,Sheet1!W$21,0))</f>
        <v>0</v>
      </c>
      <c r="AM63" s="398">
        <f>IF(U62=0,0,((+$B33/$AZ62)*AM62)*VLOOKUP('1. SUMMARY'!$C$20,rate,Sheet1!X$21,0))</f>
        <v>0</v>
      </c>
      <c r="AN63" s="398">
        <f>IF(V62=0,0,((+$B33/$AZ62)*AN62)*VLOOKUP('1. SUMMARY'!$C$20,rate,Sheet1!Y$21,0))</f>
        <v>0</v>
      </c>
      <c r="AO63" s="398">
        <f>IF(W62=0,0,((+$B33/$AZ62)*AO62)*VLOOKUP('1. SUMMARY'!$C$20,rate,Sheet1!Z$21,0))</f>
        <v>0</v>
      </c>
      <c r="AP63" s="398">
        <f>IF(X62=0,0,((+$B33/$AZ62)*AP62)*VLOOKUP('1. SUMMARY'!$C$20,rate,Sheet1!AA$21,0))</f>
        <v>0</v>
      </c>
      <c r="AQ63" s="398">
        <f>IF(Y62=0,0,((+$B33/$AZ62)*AQ62)*VLOOKUP('1. SUMMARY'!$C$20,rate,Sheet1!AB$21,0))</f>
        <v>0</v>
      </c>
      <c r="AR63" s="398">
        <f>IF(Z62=0,0,((+$B33/$AZ62)*AR62)*VLOOKUP('1. SUMMARY'!$C$20,rate,Sheet1!AC$21,0))</f>
        <v>0</v>
      </c>
      <c r="AS63" s="398">
        <f>IF(AA62=0,0,((+$B33/$AZ62)*AS62)*VLOOKUP('1. SUMMARY'!$C$20,rate,Sheet1!AD$21,0))</f>
        <v>0</v>
      </c>
      <c r="AT63" s="398">
        <f>IF(AB62=0,0,((+$B33/$AZ62)*AT62)*VLOOKUP('1. SUMMARY'!$C$20,rate,Sheet1!AE$21,0))</f>
        <v>0</v>
      </c>
      <c r="AU63" s="398">
        <f>IF(AC62=0,0,((+$B33/$AZ62)*AU62)*VLOOKUP('1. SUMMARY'!$C$20,rate,Sheet1!AF$21,0))</f>
        <v>0</v>
      </c>
      <c r="AV63" s="398">
        <f>IF(AD62=0,0,((+$B33/$AZ62)*AV62)*VLOOKUP('1. SUMMARY'!$C$20,rate,Sheet1!AG$21,0))</f>
        <v>0</v>
      </c>
      <c r="AW63" s="398">
        <f>IF(AE62=0,0,((+$B33/$AZ62)*AW62)*VLOOKUP('1. SUMMARY'!$C$20,rate,Sheet1!AH$21,0))</f>
        <v>0</v>
      </c>
      <c r="AX63" s="398">
        <f>IF(AF62=0,0,((+$B33/$AZ62)*AX62)*VLOOKUP('1. SUMMARY'!$C$20,rate,Sheet1!AI$21,0))</f>
        <v>0</v>
      </c>
      <c r="AY63" s="398">
        <f>IF(AG62=0,0,((+$B33/$AZ62)*AY62)*VLOOKUP('1. SUMMARY'!$C$20,rate,Sheet1!AJ$21,0))</f>
        <v>0</v>
      </c>
      <c r="AZ63" s="211">
        <f>SUM(AI63:AY63)</f>
        <v>0</v>
      </c>
    </row>
    <row r="64" spans="1:52" ht="12.75" customHeight="1">
      <c r="A64" s="226" t="s">
        <v>150</v>
      </c>
      <c r="B64" s="227"/>
      <c r="C64" s="227"/>
      <c r="D64" s="227"/>
      <c r="E64" s="227"/>
      <c r="F64" s="227"/>
      <c r="G64" s="228"/>
      <c r="H64" s="228"/>
      <c r="I64" s="228"/>
      <c r="J64" s="228"/>
      <c r="K64" s="228"/>
      <c r="L64" s="229">
        <f>SUM(B64:K64)</f>
        <v>0</v>
      </c>
      <c r="P64" s="207">
        <f t="shared" si="2"/>
        <v>1</v>
      </c>
      <c r="Q64" s="398">
        <f>+Q63/VLOOKUP('1. SUMMARY'!$C$20,rate,Sheet1!T$21,0)</f>
        <v>0</v>
      </c>
      <c r="R64" s="398">
        <f>+R63/VLOOKUP('1. SUMMARY'!$C$20,rate,Sheet1!U$21,0)</f>
        <v>0</v>
      </c>
      <c r="S64" s="398">
        <f>+S63/VLOOKUP('1. SUMMARY'!$C$20,rate,Sheet1!V$21,0)</f>
        <v>0</v>
      </c>
      <c r="T64" s="398">
        <f>+T63/VLOOKUP('1. SUMMARY'!$C$20,rate,Sheet1!W$21,0)</f>
        <v>0</v>
      </c>
      <c r="U64" s="398">
        <f>+U63/VLOOKUP('1. SUMMARY'!$C$20,rate,Sheet1!X$21,0)</f>
        <v>0</v>
      </c>
      <c r="V64" s="398">
        <f>+V63/VLOOKUP('1. SUMMARY'!$C$20,rate,Sheet1!Y$21,0)</f>
        <v>0</v>
      </c>
      <c r="W64" s="398">
        <f>+W63/VLOOKUP('1. SUMMARY'!$C$20,rate,Sheet1!Z$21,0)</f>
        <v>0</v>
      </c>
      <c r="X64" s="398">
        <f>+X63/VLOOKUP('1. SUMMARY'!$C$20,rate,Sheet1!AA$21,0)</f>
        <v>0</v>
      </c>
      <c r="Y64" s="398">
        <f>+Y63/VLOOKUP('1. SUMMARY'!$C$20,rate,Sheet1!AB$21,0)</f>
        <v>0</v>
      </c>
      <c r="Z64" s="398">
        <f>+Z63/VLOOKUP('1. SUMMARY'!$C$20,rate,Sheet1!AC$21,0)</f>
        <v>0</v>
      </c>
      <c r="AA64" s="398">
        <f>+AA63/VLOOKUP('1. SUMMARY'!$C$20,rate,Sheet1!AD$21,0)</f>
        <v>0</v>
      </c>
      <c r="AB64" s="398">
        <f>+AB63/VLOOKUP('1. SUMMARY'!$C$20,rate,Sheet1!AE$21,0)</f>
        <v>0</v>
      </c>
      <c r="AC64" s="398">
        <f>+AC63/VLOOKUP('1. SUMMARY'!$C$20,rate,Sheet1!AF$21,0)</f>
        <v>0</v>
      </c>
      <c r="AD64" s="398">
        <f>+AD63/VLOOKUP('1. SUMMARY'!$C$20,rate,Sheet1!AG$21,0)</f>
        <v>0</v>
      </c>
      <c r="AE64" s="398">
        <f>+AE63/VLOOKUP('1. SUMMARY'!$C$20,rate,Sheet1!AH$21,0)</f>
        <v>0</v>
      </c>
      <c r="AF64" s="398">
        <f>+AF63/VLOOKUP('1. SUMMARY'!$C$20,rate,Sheet1!AI$21,0)</f>
        <v>0</v>
      </c>
      <c r="AG64" s="398">
        <f>+AG63/VLOOKUP('1. SUMMARY'!$C$20,rate,Sheet1!AJ$21,0)</f>
        <v>0</v>
      </c>
      <c r="AH64" s="219"/>
      <c r="AI64" s="398">
        <v>0</v>
      </c>
      <c r="AJ64" s="398">
        <v>0</v>
      </c>
      <c r="AK64" s="398">
        <v>0</v>
      </c>
      <c r="AL64" s="398">
        <v>0</v>
      </c>
      <c r="AM64" s="398">
        <v>0</v>
      </c>
      <c r="AN64" s="398">
        <v>0</v>
      </c>
      <c r="AO64" s="398">
        <v>0</v>
      </c>
      <c r="AP64" s="398">
        <v>0</v>
      </c>
      <c r="AQ64" s="398"/>
      <c r="AR64" s="398"/>
      <c r="AS64" s="398"/>
      <c r="AT64" s="398"/>
      <c r="AU64" s="398"/>
      <c r="AV64" s="398"/>
      <c r="AW64" s="398"/>
      <c r="AX64" s="398"/>
      <c r="AY64" s="398"/>
      <c r="AZ64" s="219"/>
    </row>
    <row r="65" spans="1:52" ht="12.75" customHeight="1">
      <c r="A65" s="221" t="s">
        <v>151</v>
      </c>
      <c r="B65" s="227"/>
      <c r="C65" s="227"/>
      <c r="D65" s="227"/>
      <c r="E65" s="227"/>
      <c r="F65" s="227"/>
      <c r="G65" s="228"/>
      <c r="H65" s="228"/>
      <c r="I65" s="228"/>
      <c r="J65" s="228"/>
      <c r="K65" s="228"/>
      <c r="L65" s="229">
        <f>SUM(B65:K65)</f>
        <v>0</v>
      </c>
      <c r="P65" s="207">
        <f t="shared" si="2"/>
        <v>1</v>
      </c>
      <c r="Q65" s="402">
        <f>Sheet1!$T$8</f>
        <v>44105</v>
      </c>
      <c r="R65" s="402">
        <f>Sheet1!$U$8</f>
        <v>44470</v>
      </c>
      <c r="S65" s="402">
        <f>Sheet1!$V$8</f>
        <v>44835</v>
      </c>
      <c r="T65" s="402">
        <f>Sheet1!$W$8</f>
        <v>45200</v>
      </c>
      <c r="U65" s="402">
        <f>Sheet1!$X$8</f>
        <v>45566</v>
      </c>
      <c r="V65" s="402">
        <f>Sheet1!$Y$8</f>
        <v>45931</v>
      </c>
      <c r="W65" s="402">
        <f>Sheet1!$Z$8</f>
        <v>46296</v>
      </c>
      <c r="X65" s="402">
        <f>Sheet1!$AA$8</f>
        <v>46661</v>
      </c>
      <c r="Y65" s="402">
        <f>Sheet1!$AB$8</f>
        <v>47027</v>
      </c>
      <c r="Z65" s="402">
        <f>Sheet1!$AC$8</f>
        <v>47392</v>
      </c>
      <c r="AA65" s="402">
        <f>$AA$5</f>
        <v>47757</v>
      </c>
      <c r="AB65" s="402">
        <f>$AB$5</f>
        <v>48122</v>
      </c>
      <c r="AC65" s="402">
        <f>$AC$5</f>
        <v>48488</v>
      </c>
      <c r="AD65" s="402">
        <f>$AD$5</f>
        <v>48853</v>
      </c>
      <c r="AE65" s="402">
        <f>$AE$5</f>
        <v>49218</v>
      </c>
      <c r="AF65" s="402">
        <f>$AF$5</f>
        <v>49583</v>
      </c>
      <c r="AG65" s="402">
        <f>$AG$5</f>
        <v>49949</v>
      </c>
      <c r="AH65" s="211"/>
      <c r="AI65" s="402">
        <f t="shared" ref="AI65:AR67" si="26">+Q65</f>
        <v>44105</v>
      </c>
      <c r="AJ65" s="402">
        <f t="shared" si="26"/>
        <v>44470</v>
      </c>
      <c r="AK65" s="402">
        <f t="shared" si="26"/>
        <v>44835</v>
      </c>
      <c r="AL65" s="402">
        <f t="shared" si="26"/>
        <v>45200</v>
      </c>
      <c r="AM65" s="402">
        <f t="shared" si="26"/>
        <v>45566</v>
      </c>
      <c r="AN65" s="402">
        <f t="shared" si="26"/>
        <v>45931</v>
      </c>
      <c r="AO65" s="402">
        <f t="shared" si="26"/>
        <v>46296</v>
      </c>
      <c r="AP65" s="402">
        <f t="shared" si="26"/>
        <v>46661</v>
      </c>
      <c r="AQ65" s="402">
        <f t="shared" si="26"/>
        <v>47027</v>
      </c>
      <c r="AR65" s="402">
        <f t="shared" si="26"/>
        <v>47392</v>
      </c>
      <c r="AS65" s="402">
        <f t="shared" ref="AS65:AY67" si="27">+AA65</f>
        <v>47757</v>
      </c>
      <c r="AT65" s="402">
        <f t="shared" si="27"/>
        <v>48122</v>
      </c>
      <c r="AU65" s="402">
        <f t="shared" si="27"/>
        <v>48488</v>
      </c>
      <c r="AV65" s="402">
        <f t="shared" si="27"/>
        <v>48853</v>
      </c>
      <c r="AW65" s="402">
        <f t="shared" si="27"/>
        <v>49218</v>
      </c>
      <c r="AX65" s="402">
        <f t="shared" si="27"/>
        <v>49583</v>
      </c>
      <c r="AY65" s="402">
        <f t="shared" si="27"/>
        <v>49949</v>
      </c>
      <c r="AZ65" s="211"/>
    </row>
    <row r="66" spans="1:52" ht="12.75" customHeight="1">
      <c r="A66" s="216"/>
      <c r="B66" s="217"/>
      <c r="C66" s="217"/>
      <c r="D66" s="217"/>
      <c r="E66" s="217"/>
      <c r="F66" s="217"/>
      <c r="G66" s="217"/>
      <c r="H66" s="217"/>
      <c r="I66" s="217"/>
      <c r="J66" s="217"/>
      <c r="K66" s="217"/>
      <c r="L66" s="218"/>
      <c r="P66" s="207">
        <f t="shared" si="2"/>
        <v>1</v>
      </c>
      <c r="Q66" s="402">
        <f>Sheet1!$T$9</f>
        <v>44469</v>
      </c>
      <c r="R66" s="402">
        <f>Sheet1!$U$9</f>
        <v>44834</v>
      </c>
      <c r="S66" s="402">
        <f>Sheet1!$V$9</f>
        <v>45199</v>
      </c>
      <c r="T66" s="402">
        <f>Sheet1!$W$9</f>
        <v>45565</v>
      </c>
      <c r="U66" s="402">
        <f>Sheet1!$X$9</f>
        <v>45930</v>
      </c>
      <c r="V66" s="402">
        <f>Sheet1!$Y$9</f>
        <v>46295</v>
      </c>
      <c r="W66" s="402">
        <f>Sheet1!$Z$9</f>
        <v>46660</v>
      </c>
      <c r="X66" s="402">
        <f>Sheet1!$AA$9</f>
        <v>47026</v>
      </c>
      <c r="Y66" s="402">
        <f>Sheet1!$AB$9</f>
        <v>47391</v>
      </c>
      <c r="Z66" s="402">
        <f>Sheet1!$AC$9</f>
        <v>47756</v>
      </c>
      <c r="AA66" s="402">
        <f>$AA$6</f>
        <v>48121</v>
      </c>
      <c r="AB66" s="402">
        <f>$AB$6</f>
        <v>48487</v>
      </c>
      <c r="AC66" s="402">
        <f>$AC$6</f>
        <v>48852</v>
      </c>
      <c r="AD66" s="402">
        <f>$AD$6</f>
        <v>49217</v>
      </c>
      <c r="AE66" s="402">
        <f>$AE$6</f>
        <v>49582</v>
      </c>
      <c r="AF66" s="402">
        <f>$AF$6</f>
        <v>49948</v>
      </c>
      <c r="AG66" s="402">
        <f>$AG$6</f>
        <v>50313</v>
      </c>
      <c r="AH66" s="211"/>
      <c r="AI66" s="402">
        <f t="shared" si="26"/>
        <v>44469</v>
      </c>
      <c r="AJ66" s="402">
        <f t="shared" si="26"/>
        <v>44834</v>
      </c>
      <c r="AK66" s="402">
        <f t="shared" si="26"/>
        <v>45199</v>
      </c>
      <c r="AL66" s="402">
        <f t="shared" si="26"/>
        <v>45565</v>
      </c>
      <c r="AM66" s="402">
        <f t="shared" si="26"/>
        <v>45930</v>
      </c>
      <c r="AN66" s="402">
        <f t="shared" si="26"/>
        <v>46295</v>
      </c>
      <c r="AO66" s="402">
        <f t="shared" si="26"/>
        <v>46660</v>
      </c>
      <c r="AP66" s="402">
        <f t="shared" si="26"/>
        <v>47026</v>
      </c>
      <c r="AQ66" s="402">
        <f t="shared" si="26"/>
        <v>47391</v>
      </c>
      <c r="AR66" s="402">
        <f t="shared" si="26"/>
        <v>47756</v>
      </c>
      <c r="AS66" s="402">
        <f t="shared" si="27"/>
        <v>48121</v>
      </c>
      <c r="AT66" s="402">
        <f t="shared" si="27"/>
        <v>48487</v>
      </c>
      <c r="AU66" s="402">
        <f t="shared" si="27"/>
        <v>48852</v>
      </c>
      <c r="AV66" s="402">
        <f t="shared" si="27"/>
        <v>49217</v>
      </c>
      <c r="AW66" s="402">
        <f t="shared" si="27"/>
        <v>49582</v>
      </c>
      <c r="AX66" s="402">
        <f t="shared" si="27"/>
        <v>49948</v>
      </c>
      <c r="AY66" s="402">
        <f t="shared" si="27"/>
        <v>50313</v>
      </c>
      <c r="AZ66" s="211"/>
    </row>
    <row r="67" spans="1:52" ht="12.75" customHeight="1">
      <c r="A67" s="231" t="s">
        <v>152</v>
      </c>
      <c r="B67" s="146">
        <f t="shared" ref="B67:K67" si="28">SUM(B64:B65)</f>
        <v>0</v>
      </c>
      <c r="C67" s="146">
        <f t="shared" si="28"/>
        <v>0</v>
      </c>
      <c r="D67" s="146">
        <f t="shared" si="28"/>
        <v>0</v>
      </c>
      <c r="E67" s="146">
        <f t="shared" si="28"/>
        <v>0</v>
      </c>
      <c r="F67" s="146">
        <f t="shared" si="28"/>
        <v>0</v>
      </c>
      <c r="G67" s="146">
        <f t="shared" si="28"/>
        <v>0</v>
      </c>
      <c r="H67" s="146">
        <f t="shared" si="28"/>
        <v>0</v>
      </c>
      <c r="I67" s="146">
        <f t="shared" si="28"/>
        <v>0</v>
      </c>
      <c r="J67" s="146">
        <f t="shared" si="28"/>
        <v>0</v>
      </c>
      <c r="K67" s="146">
        <f t="shared" si="28"/>
        <v>0</v>
      </c>
      <c r="L67" s="229">
        <f>SUM(B67:K67)</f>
        <v>0</v>
      </c>
      <c r="P67" s="207">
        <f t="shared" si="2"/>
        <v>1</v>
      </c>
      <c r="Q67" s="403">
        <f>IF(IF(Q66&lt;$C$27,0,DATEDIF($C$27,Q66+1,"m"))&lt;0,0,IF(Q66&lt;$C$27,0,DATEDIF($C$27,Q66+1,"m")))</f>
        <v>0</v>
      </c>
      <c r="R67" s="403">
        <f>IF(IF(Q67=12,0,IF(R66&gt;$C$28,12-DATEDIF($C$28,R66+1,"m"),IF(R66&lt;$C$27,0,DATEDIF($C$27,R66+1,"m"))))&lt;0,0,IF(Q67=12,0,IF(R66&gt;$C$28,12-DATEDIF($C$28,R66+1,"m"),IF(R66&lt;$C$27,0,DATEDIF($C$27,R66+1,"m")))))</f>
        <v>0</v>
      </c>
      <c r="S67" s="403">
        <f>IF(IF(Q67+R67=12,0,IF(S66&gt;$C$28,12-DATEDIF($C$28,S66+1,"m"),IF(S66&lt;$C$27,0,DATEDIF($C$27,S66+1,"m"))))&lt;0,0,IF(Q67+R67=12,0,IF(S66&gt;$C$28,12-DATEDIF($C$28,S66+1,"m"),IF(S66&lt;$C$27,0,DATEDIF($C$27,S66+1,"m")))))</f>
        <v>0</v>
      </c>
      <c r="T67" s="403">
        <f>IF(IF(R67+S67+Q67=12,0,IF(T66&gt;$C$28,12-DATEDIF($C$28,T66+1,"m"),IF(T66&lt;$C$27,0,DATEDIF($C$27,T66+1,"m"))))&lt;0,0,IF(R67+S67+Q67=12,0,IF(T66&gt;$C$28,12-DATEDIF($C$28,T66+1,"m"),IF(T66&lt;$C$27,0,DATEDIF($C$27,T66+1,"m")))))</f>
        <v>0</v>
      </c>
      <c r="U67" s="403">
        <f>IF(IF(S67+T67+R67+Q67=12,0,IF(U66&gt;$C$28,12-DATEDIF($C$28,U66+1,"m"),IF(U66&lt;$C$27,0,DATEDIF($C$27,U66+1,"m"))))&lt;0,0,IF(S67+T67+R67+Q67=12,0,IF(U66&gt;$C$28,12-DATEDIF($C$28,U66+1,"m"),IF(U66&lt;$C$27,0,DATEDIF($C$27,U66+1,"m")))))</f>
        <v>0</v>
      </c>
      <c r="V67" s="403">
        <f>IF(IF(T67+U67+S67+R67+Q67=12,0,IF(V66&gt;$C$28,12-DATEDIF($C$28,V66+1,"m"),IF(V66&lt;$C$27,0,DATEDIF($C$27,V66+1,"m"))))&lt;0,0,IF(T67+U67+S67+R67+Q67=12,0,IF(V66&gt;$C$28,12-DATEDIF($C$28,V66+1,"m"),IF(V66&lt;$C$27,0,DATEDIF($C$27,V66+1,"m")))))</f>
        <v>0</v>
      </c>
      <c r="W67" s="403">
        <f>IF(IF(U67+V67+T67+S67+R67+Q67=12,0,IF(W66&gt;$C$28,12-DATEDIF($C$28,W66+1,"m"),IF(W66&lt;$C$27,0,DATEDIF($C$27,W66+1,"m"))))&lt;0,0,IF(U67+V67+T67+S67+R67+Q67=12,0,IF(W66&gt;$C$28,12-DATEDIF($C$28,W66+1,"m"),IF(W66&lt;$C$27,0,DATEDIF($C$27,W66+1,"m")))))</f>
        <v>0</v>
      </c>
      <c r="X67" s="403">
        <f>IF(IF(V67+W67+U67+T67+S67+R67+Q67=12,0,IF(X66&gt;$C$28,12-DATEDIF($C$28,X66+1,"m"),IF(X66&lt;$C$27,0,DATEDIF($C$27,X66+1,"m"))))&lt;0,0,IF(V67+W67+U67+T67+S67+R67+Q67=12,0,IF(X66&gt;$C$28,12-DATEDIF($C$28,X66+1,"m"),IF(X66&lt;$C$27,0,DATEDIF($C$27,X66+1,"m")))))</f>
        <v>0</v>
      </c>
      <c r="Y67" s="403">
        <f>IF(IF(W67+X67+V67+U67+T67+S67+R67=12,0,IF(Y66&gt;$C$28,12-DATEDIF($C$28,Y66+1,"m"),IF(Y66&lt;$C$27,0,DATEDIF($C$27,Y66+1,"m"))))&lt;0,0,IF(W67+X67+V67+U67+T67+S67+R67=12,0,IF(Y66&gt;$C$28,12-DATEDIF($C$28,Y66+1,"m"),IF(Y66&lt;$C$27,0,DATEDIF($C$27,Y66+1,"m")))))</f>
        <v>0</v>
      </c>
      <c r="Z67" s="403">
        <f>IF(IF(X67+Y67+W67+V67+U67+T67+S67=12,0,IF(Z66&gt;$C$28,12-DATEDIF($C$28,Z66+1,"m"),IF(Z66&lt;$C$27,0,DATEDIF($C$27,Z66+1,"m"))))&lt;0,0,IF(X67+Y67+W67+V67+U67+T67+S67=12,0,IF(Z66&gt;$C$28,12-DATEDIF($C$28,Z66+1,"m"),IF(Z66&lt;$C$27,0,DATEDIF($C$27,Z66+1,"m")))))</f>
        <v>0</v>
      </c>
      <c r="AA67" s="403"/>
      <c r="AB67" s="403"/>
      <c r="AC67" s="403"/>
      <c r="AD67" s="403"/>
      <c r="AE67" s="403"/>
      <c r="AF67" s="403"/>
      <c r="AG67" s="403"/>
      <c r="AH67" s="423">
        <f>SUM(Q67:AG67)</f>
        <v>0</v>
      </c>
      <c r="AI67" s="403">
        <f t="shared" si="26"/>
        <v>0</v>
      </c>
      <c r="AJ67" s="403">
        <f t="shared" si="26"/>
        <v>0</v>
      </c>
      <c r="AK67" s="403">
        <f t="shared" si="26"/>
        <v>0</v>
      </c>
      <c r="AL67" s="403">
        <f t="shared" si="26"/>
        <v>0</v>
      </c>
      <c r="AM67" s="403">
        <f t="shared" si="26"/>
        <v>0</v>
      </c>
      <c r="AN67" s="403">
        <f t="shared" si="26"/>
        <v>0</v>
      </c>
      <c r="AO67" s="403">
        <f t="shared" si="26"/>
        <v>0</v>
      </c>
      <c r="AP67" s="403">
        <f t="shared" si="26"/>
        <v>0</v>
      </c>
      <c r="AQ67" s="403">
        <f t="shared" si="26"/>
        <v>0</v>
      </c>
      <c r="AR67" s="403">
        <f t="shared" si="26"/>
        <v>0</v>
      </c>
      <c r="AS67" s="403">
        <f t="shared" si="27"/>
        <v>0</v>
      </c>
      <c r="AT67" s="403">
        <f t="shared" si="27"/>
        <v>0</v>
      </c>
      <c r="AU67" s="403">
        <f t="shared" si="27"/>
        <v>0</v>
      </c>
      <c r="AV67" s="403">
        <f t="shared" si="27"/>
        <v>0</v>
      </c>
      <c r="AW67" s="403">
        <f t="shared" si="27"/>
        <v>0</v>
      </c>
      <c r="AX67" s="403">
        <f t="shared" si="27"/>
        <v>0</v>
      </c>
      <c r="AY67" s="403">
        <f t="shared" si="27"/>
        <v>0</v>
      </c>
      <c r="AZ67" s="211">
        <f>SUM(AI67:AY67)</f>
        <v>0</v>
      </c>
    </row>
    <row r="68" spans="1:52" ht="12.75" customHeight="1">
      <c r="A68" s="216"/>
      <c r="B68" s="217"/>
      <c r="C68" s="217"/>
      <c r="D68" s="217"/>
      <c r="E68" s="217"/>
      <c r="F68" s="217"/>
      <c r="G68" s="217"/>
      <c r="H68" s="217"/>
      <c r="I68" s="217"/>
      <c r="J68" s="217"/>
      <c r="K68" s="217"/>
      <c r="L68" s="218"/>
      <c r="P68" s="207">
        <f t="shared" si="2"/>
        <v>1</v>
      </c>
      <c r="Q68" s="404">
        <f>IF(Q67=0,0,(IF(($C$33+$B$33)&lt;=25000,(($C$33/+$AH67)*Q67)*VLOOKUP('1. SUMMARY'!$C$20,rate,Sheet1!T$21,0),((IF($B$33&gt;=25000,0,((25000-$B$33)/+$AH67)*Q67)*VLOOKUP('1. SUMMARY'!$C$20,rate,Sheet1!T$21,0))))))</f>
        <v>0</v>
      </c>
      <c r="R68" s="404">
        <f>IF(R67=0,0,(IF(($C$33+$B$33)&lt;=25000,(($C$33/+$AH67)*R67)*VLOOKUP('1. SUMMARY'!$C$20,rate,Sheet1!U$21,0),((IF($B$33&gt;=25000,0,((25000-$B$33)/+$AH67)*R67)*VLOOKUP('1. SUMMARY'!$C$20,rate,Sheet1!U$21,0))))))</f>
        <v>0</v>
      </c>
      <c r="S68" s="404">
        <f>IF(S67=0,0,(IF(($C$33+$B$33)&lt;=25000,(($C$33/+$AH67)*S67)*VLOOKUP('1. SUMMARY'!$C$20,rate,Sheet1!V$21,0),((IF($B$33&gt;=25000,0,((25000-$B$33)/+$AH67)*S67)*VLOOKUP('1. SUMMARY'!$C$20,rate,Sheet1!V$21,0))))))</f>
        <v>0</v>
      </c>
      <c r="T68" s="404">
        <f>IF(T67=0,0,(IF(($C$33+$B$33)&lt;=25000,(($C$33/+$AH67)*T67)*VLOOKUP('1. SUMMARY'!$C$20,rate,Sheet1!W$21,0),((IF($B$33&gt;=25000,0,((25000-$B$33)/+$AH67)*T67)*VLOOKUP('1. SUMMARY'!$C$20,rate,Sheet1!W$21,0))))))</f>
        <v>0</v>
      </c>
      <c r="U68" s="404">
        <f>IF(U67=0,0,(IF(($C$33+$B$33)&lt;=25000,(($C$33/+$AH67)*U67)*VLOOKUP('1. SUMMARY'!$C$20,rate,Sheet1!X$21,0),((IF($B$33&gt;=25000,0,((25000-$B$33)/+$AH67)*U67)*VLOOKUP('1. SUMMARY'!$C$20,rate,Sheet1!X$21,0))))))</f>
        <v>0</v>
      </c>
      <c r="V68" s="404">
        <f>IF(V67=0,0,(IF(($C$33+$B$33)&lt;=25000,(($C$33/+$AH67)*V67)*VLOOKUP('1. SUMMARY'!$C$20,rate,Sheet1!Y$21,0),((IF($B$33&gt;=25000,0,((25000-$B$33)/+$AH67)*V67)*VLOOKUP('1. SUMMARY'!$C$20,rate,Sheet1!Y$21,0))))))</f>
        <v>0</v>
      </c>
      <c r="W68" s="404">
        <f>IF(W67=0,0,(IF(($C$33+$B$33)&lt;=25000,(($C$33/+$AH67)*W67)*VLOOKUP('1. SUMMARY'!$C$20,rate,Sheet1!Z$21,0),((IF($B$33&gt;=25000,0,((25000-$B$33)/+$AH67)*W67)*VLOOKUP('1. SUMMARY'!$C$20,rate,Sheet1!Z$21,0))))))</f>
        <v>0</v>
      </c>
      <c r="X68" s="404">
        <f>IF(X67=0,0,(IF(($C$33+$B$33)&lt;=25000,(($C$33/+$AH67)*X67)*VLOOKUP('1. SUMMARY'!$C$20,rate,Sheet1!AA$21,0),((IF($B$33&gt;=25000,0,((25000-$B$33)/+$AH67)*X67)*VLOOKUP('1. SUMMARY'!$C$20,rate,Sheet1!AA$21,0))))))</f>
        <v>0</v>
      </c>
      <c r="Y68" s="404">
        <f>IF(Y67=0,0,(IF(($C$33+$B$33)&lt;=25000,(($C$33/+$AH67)*Y67)*VLOOKUP('1. SUMMARY'!$C$20,rate,Sheet1!AB$21,0),((IF($B$33&gt;=25000,0,((25000-$B$33)/+$AH67)*Y67)*VLOOKUP('1. SUMMARY'!$C$20,rate,Sheet1!AB$21,0))))))</f>
        <v>0</v>
      </c>
      <c r="Z68" s="404">
        <f>IF(Z67=0,0,(IF(($C$33+$B$33)&lt;=25000,(($C$33/+$AH67)*Z67)*VLOOKUP('1. SUMMARY'!$C$20,rate,Sheet1!AC$21,0),((IF($B$33&gt;=25000,0,((25000-$B$33)/+$AH67)*Z67)*VLOOKUP('1. SUMMARY'!$C$20,rate,Sheet1!AC$21,0))))))</f>
        <v>0</v>
      </c>
      <c r="AA68" s="404">
        <f>IF(AA67=0,0,(IF(($C$33+$B$33)&lt;=25000,(($C$33/+$AH67)*AA67)*VLOOKUP('1. SUMMARY'!$C$20,rate,Sheet1!AD$21,0),((IF($B$33&gt;=25000,0,((25000-$B$33)/+$AH67)*AA67)*VLOOKUP('1. SUMMARY'!$C$20,rate,Sheet1!AD$21,0))))))</f>
        <v>0</v>
      </c>
      <c r="AB68" s="404">
        <f>IF(AB67=0,0,(IF(($C$33+$B$33)&lt;=25000,(($C$33/+$AH67)*AB67)*VLOOKUP('1. SUMMARY'!$C$20,rate,Sheet1!AE$21,0),((IF($B$33&gt;=25000,0,((25000-$B$33)/+$AH67)*AB67)*VLOOKUP('1. SUMMARY'!$C$20,rate,Sheet1!AE$21,0))))))</f>
        <v>0</v>
      </c>
      <c r="AC68" s="404">
        <f>IF(AC67=0,0,(IF(($C$33+$B$33)&lt;=25000,(($C$33/+$AH67)*AC67)*VLOOKUP('1. SUMMARY'!$C$20,rate,Sheet1!AF$21,0),((IF($B$33&gt;=25000,0,((25000-$B$33)/+$AH67)*AC67)*VLOOKUP('1. SUMMARY'!$C$20,rate,Sheet1!AF$21,0))))))</f>
        <v>0</v>
      </c>
      <c r="AD68" s="404">
        <f>IF(AD67=0,0,(IF(($C$33+$B$33)&lt;=25000,(($C$33/+$AH67)*AD67)*VLOOKUP('1. SUMMARY'!$C$20,rate,Sheet1!AG$21,0),((IF($B$33&gt;=25000,0,((25000-$B$33)/+$AH67)*AD67)*VLOOKUP('1. SUMMARY'!$C$20,rate,Sheet1!AG$21,0))))))</f>
        <v>0</v>
      </c>
      <c r="AE68" s="404">
        <f>IF(AE67=0,0,(IF(($C$33+$B$33)&lt;=25000,(($C$33/+$AH67)*AE67)*VLOOKUP('1. SUMMARY'!$C$20,rate,Sheet1!AH$21,0),((IF($B$33&gt;=25000,0,((25000-$B$33)/+$AH67)*AE67)*VLOOKUP('1. SUMMARY'!$C$20,rate,Sheet1!AH$21,0))))))</f>
        <v>0</v>
      </c>
      <c r="AF68" s="404">
        <f>IF(AF67=0,0,(IF(($C$33+$B$33)&lt;=25000,(($C$33/+$AH67)*AF67)*VLOOKUP('1. SUMMARY'!$C$20,rate,Sheet1!AI$21,0),((IF($B$33&gt;=25000,0,((25000-$B$33)/+$AH67)*AF67)*VLOOKUP('1. SUMMARY'!$C$20,rate,Sheet1!AI$21,0))))))</f>
        <v>0</v>
      </c>
      <c r="AG68" s="404">
        <f>IF(AG67=0,0,(IF(($C$33+$B$33)&lt;=25000,(($C$33/+$AH67)*AG67)*VLOOKUP('1. SUMMARY'!$C$20,rate,Sheet1!AJ$21,0),((IF($B$33&gt;=25000,0,((25000-$B$33)/+$AH67)*AG67)*VLOOKUP('1. SUMMARY'!$C$20,rate,Sheet1!AJ$21,0))))))</f>
        <v>0</v>
      </c>
      <c r="AH68" s="219">
        <f>SUM(Q68:AG68)</f>
        <v>0</v>
      </c>
      <c r="AI68" s="404">
        <f>IF(AI67=0,0,((+$C33/$AZ67)*AI67)*VLOOKUP('1. SUMMARY'!$C$20,rate,Sheet1!T$21,0))</f>
        <v>0</v>
      </c>
      <c r="AJ68" s="404">
        <f>IF(AJ67=0,0,((+$C33/$AZ67)*AJ67)*VLOOKUP('1. SUMMARY'!$C$20,rate,Sheet1!U$21,0))</f>
        <v>0</v>
      </c>
      <c r="AK68" s="404">
        <f>IF(AK67=0,0,((+$C33/$AZ67)*AK67)*VLOOKUP('1. SUMMARY'!$C$20,rate,Sheet1!V$21,0))</f>
        <v>0</v>
      </c>
      <c r="AL68" s="404">
        <f>IF(AL67=0,0,((+$C33/$AZ67)*AL67)*VLOOKUP('1. SUMMARY'!$C$20,rate,Sheet1!W$21,0))</f>
        <v>0</v>
      </c>
      <c r="AM68" s="404">
        <f>IF(AM67=0,0,((+$C33/$AZ67)*AM67)*VLOOKUP('1. SUMMARY'!$C$20,rate,Sheet1!X$21,0))</f>
        <v>0</v>
      </c>
      <c r="AN68" s="404">
        <f>IF(AN67=0,0,((+$C33/$AZ67)*AN67)*VLOOKUP('1. SUMMARY'!$C$20,rate,Sheet1!Y$21,0))</f>
        <v>0</v>
      </c>
      <c r="AO68" s="404">
        <f>IF(AO67=0,0,((+$C33/$AZ67)*AO67)*VLOOKUP('1. SUMMARY'!$C$20,rate,Sheet1!Z$21,0))</f>
        <v>0</v>
      </c>
      <c r="AP68" s="404">
        <f>IF(AP67=0,0,((+$C33/$AZ67)*AP67)*VLOOKUP('1. SUMMARY'!$C$20,rate,Sheet1!AA$21,0))</f>
        <v>0</v>
      </c>
      <c r="AQ68" s="404">
        <f>IF(AQ67=0,0,((+$C33/$AZ67)*AQ67)*VLOOKUP('1. SUMMARY'!$C$20,rate,Sheet1!AB$21,0))</f>
        <v>0</v>
      </c>
      <c r="AR68" s="404">
        <f>IF(AR67=0,0,((+$C33/$AZ67)*AR67)*VLOOKUP('1. SUMMARY'!$C$20,rate,Sheet1!AC$21,0))</f>
        <v>0</v>
      </c>
      <c r="AS68" s="404">
        <f>IF(AS67=0,0,((+$C33/$AZ67)*AS67)*VLOOKUP('1. SUMMARY'!$C$20,rate,Sheet1!AD$21,0))</f>
        <v>0</v>
      </c>
      <c r="AT68" s="404">
        <f>IF(AT67=0,0,((+$C33/$AZ67)*AT67)*VLOOKUP('1. SUMMARY'!$C$20,rate,Sheet1!AE$21,0))</f>
        <v>0</v>
      </c>
      <c r="AU68" s="404">
        <f>IF(AU67=0,0,((+$C33/$AZ67)*AU67)*VLOOKUP('1. SUMMARY'!$C$20,rate,Sheet1!AF$21,0))</f>
        <v>0</v>
      </c>
      <c r="AV68" s="404">
        <f>IF(AV67=0,0,((+$C33/$AZ67)*AV67)*VLOOKUP('1. SUMMARY'!$C$20,rate,Sheet1!AG$21,0))</f>
        <v>0</v>
      </c>
      <c r="AW68" s="404">
        <f>IF(AW67=0,0,((+$C33/$AZ67)*AW67)*VLOOKUP('1. SUMMARY'!$C$20,rate,Sheet1!AH$21,0))</f>
        <v>0</v>
      </c>
      <c r="AX68" s="404">
        <f>IF(AX67=0,0,((+$C33/$AZ67)*AX67)*VLOOKUP('1. SUMMARY'!$C$20,rate,Sheet1!AI$21,0))</f>
        <v>0</v>
      </c>
      <c r="AY68" s="404">
        <f>IF(AY67=0,0,((+$C33/$AZ67)*AY67)*VLOOKUP('1. SUMMARY'!$C$20,rate,Sheet1!AJ$21,0))</f>
        <v>0</v>
      </c>
      <c r="AZ68" s="211">
        <f>SUM(AI68:AY68)</f>
        <v>0</v>
      </c>
    </row>
    <row r="69" spans="1:52" ht="12.75" customHeight="1">
      <c r="A69" s="226" t="s">
        <v>153</v>
      </c>
      <c r="B69" s="233">
        <f>IF(B61="No "&amp;B60,0,IF('1. SUMMARY'!$Q$20=1,+$AH163,$AZ163))</f>
        <v>0</v>
      </c>
      <c r="C69" s="233">
        <f>IF(C61="No "&amp;C60,0,IF('1. SUMMARY'!$Q$20=1,+$AH168,$AZ168))</f>
        <v>0</v>
      </c>
      <c r="D69" s="233">
        <f>IF(D61="No "&amp;D60,0,IF('1. SUMMARY'!$Q$20=1,+$AH173,$AZ173))</f>
        <v>0</v>
      </c>
      <c r="E69" s="146">
        <f>IF(E61="No "&amp;E60,0,IF('1. SUMMARY'!$Q$20=1,+$AH178,$AZ178))</f>
        <v>0</v>
      </c>
      <c r="F69" s="146">
        <f>IF(F61="No "&amp;F60,0,IF('1. SUMMARY'!$Q$20=1,+$AH183,$AZ183))</f>
        <v>0</v>
      </c>
      <c r="G69" s="146">
        <f>IF(G61="No "&amp;G60,0,IF('1. SUMMARY'!$Q$20=1,+$AH188,$AZ188))</f>
        <v>0</v>
      </c>
      <c r="H69" s="146">
        <f>IF(H61="No "&amp;H60,0,IF('1. SUMMARY'!$Q$20=1,+$AH193,$AZ193))</f>
        <v>0</v>
      </c>
      <c r="I69" s="146">
        <f>IF(I61="No "&amp;I60,0,IF('1. SUMMARY'!$Q$20=1,+$AH198,$AZ198))</f>
        <v>0</v>
      </c>
      <c r="J69" s="146">
        <f>IF(J61="No "&amp;J60,0,IF('1. SUMMARY'!$Q$20=1,+$AH203,$AZ203))</f>
        <v>0</v>
      </c>
      <c r="K69" s="146">
        <f>IF(K61="No "&amp;K60,0,IF('1. SUMMARY'!$Q$20=1,+$AH208,$AZ208))</f>
        <v>0</v>
      </c>
      <c r="L69" s="229">
        <f>SUM(B69:K69)</f>
        <v>0</v>
      </c>
      <c r="P69" s="207">
        <f t="shared" si="2"/>
        <v>1</v>
      </c>
      <c r="Q69" s="404">
        <f>+Q68/VLOOKUP('1. SUMMARY'!$C$20,rate,Sheet1!T$21,0)</f>
        <v>0</v>
      </c>
      <c r="R69" s="404">
        <f>+R68/VLOOKUP('1. SUMMARY'!$C$20,rate,Sheet1!U$21,0)</f>
        <v>0</v>
      </c>
      <c r="S69" s="404">
        <f>+S68/VLOOKUP('1. SUMMARY'!$C$20,rate,Sheet1!V$21,0)</f>
        <v>0</v>
      </c>
      <c r="T69" s="404">
        <f>+T68/VLOOKUP('1. SUMMARY'!$C$20,rate,Sheet1!W$21,0)</f>
        <v>0</v>
      </c>
      <c r="U69" s="404">
        <f>+U68/VLOOKUP('1. SUMMARY'!$C$20,rate,Sheet1!X$21,0)</f>
        <v>0</v>
      </c>
      <c r="V69" s="404">
        <f>+V68/VLOOKUP('1. SUMMARY'!$C$20,rate,Sheet1!Y$21,0)</f>
        <v>0</v>
      </c>
      <c r="W69" s="404">
        <f>+W68/VLOOKUP('1. SUMMARY'!$C$20,rate,Sheet1!Z$21,0)</f>
        <v>0</v>
      </c>
      <c r="X69" s="404">
        <f>+X68/VLOOKUP('1. SUMMARY'!$C$20,rate,Sheet1!AA$21,0)</f>
        <v>0</v>
      </c>
      <c r="Y69" s="404">
        <f>+Y68/VLOOKUP('1. SUMMARY'!$C$20,rate,Sheet1!AB$21,0)</f>
        <v>0</v>
      </c>
      <c r="Z69" s="404">
        <f>+Z68/VLOOKUP('1. SUMMARY'!$C$20,rate,Sheet1!AC$21,0)</f>
        <v>0</v>
      </c>
      <c r="AA69" s="404">
        <f>+AA68/VLOOKUP('1. SUMMARY'!$C$20,rate,Sheet1!AD$21,0)</f>
        <v>0</v>
      </c>
      <c r="AB69" s="404">
        <f>+AB68/VLOOKUP('1. SUMMARY'!$C$20,rate,Sheet1!AE$21,0)</f>
        <v>0</v>
      </c>
      <c r="AC69" s="404">
        <f>+AC68/VLOOKUP('1. SUMMARY'!$C$20,rate,Sheet1!AF$21,0)</f>
        <v>0</v>
      </c>
      <c r="AD69" s="404">
        <f>+AD68/VLOOKUP('1. SUMMARY'!$C$20,rate,Sheet1!AG$21,0)</f>
        <v>0</v>
      </c>
      <c r="AE69" s="404">
        <f>+AE68/VLOOKUP('1. SUMMARY'!$C$20,rate,Sheet1!AH$21,0)</f>
        <v>0</v>
      </c>
      <c r="AF69" s="404">
        <f>+AF68/VLOOKUP('1. SUMMARY'!$C$20,rate,Sheet1!AI$21,0)</f>
        <v>0</v>
      </c>
      <c r="AG69" s="404">
        <f>+AG68/VLOOKUP('1. SUMMARY'!$C$20,rate,Sheet1!AJ$21,0)</f>
        <v>0</v>
      </c>
      <c r="AH69" s="219"/>
      <c r="AI69" s="404">
        <v>0</v>
      </c>
      <c r="AJ69" s="404">
        <v>0</v>
      </c>
      <c r="AK69" s="404">
        <v>0</v>
      </c>
      <c r="AL69" s="404">
        <v>0</v>
      </c>
      <c r="AM69" s="404">
        <v>0</v>
      </c>
      <c r="AN69" s="404">
        <v>0</v>
      </c>
      <c r="AO69" s="404">
        <v>0</v>
      </c>
      <c r="AP69" s="404">
        <v>0</v>
      </c>
      <c r="AQ69" s="404"/>
      <c r="AR69" s="404"/>
      <c r="AS69" s="404"/>
      <c r="AT69" s="404"/>
      <c r="AU69" s="404"/>
      <c r="AV69" s="404"/>
      <c r="AW69" s="404"/>
      <c r="AX69" s="404"/>
      <c r="AY69" s="404"/>
      <c r="AZ69" s="219"/>
    </row>
    <row r="70" spans="1:52" ht="12.75" customHeight="1">
      <c r="A70" s="216"/>
      <c r="B70" s="234"/>
      <c r="C70" s="234"/>
      <c r="D70" s="234"/>
      <c r="E70" s="234"/>
      <c r="F70" s="234"/>
      <c r="G70" s="234"/>
      <c r="H70" s="234"/>
      <c r="I70" s="234"/>
      <c r="J70" s="234"/>
      <c r="K70" s="234"/>
      <c r="L70" s="235"/>
      <c r="P70" s="207">
        <f t="shared" si="2"/>
        <v>1</v>
      </c>
      <c r="Q70" s="399">
        <f>Sheet1!$T$8</f>
        <v>44105</v>
      </c>
      <c r="R70" s="399">
        <f>Sheet1!$U$8</f>
        <v>44470</v>
      </c>
      <c r="S70" s="399">
        <f>Sheet1!$V$8</f>
        <v>44835</v>
      </c>
      <c r="T70" s="399">
        <f>Sheet1!$W$8</f>
        <v>45200</v>
      </c>
      <c r="U70" s="399">
        <f>Sheet1!$X$8</f>
        <v>45566</v>
      </c>
      <c r="V70" s="399">
        <f>Sheet1!$Y$8</f>
        <v>45931</v>
      </c>
      <c r="W70" s="399">
        <f>Sheet1!$Z$8</f>
        <v>46296</v>
      </c>
      <c r="X70" s="399">
        <f>Sheet1!$AA$8</f>
        <v>46661</v>
      </c>
      <c r="Y70" s="399">
        <f>Sheet1!$AB$8</f>
        <v>47027</v>
      </c>
      <c r="Z70" s="399">
        <f>Sheet1!$AC$8</f>
        <v>47392</v>
      </c>
      <c r="AA70" s="399">
        <f>$AA$5</f>
        <v>47757</v>
      </c>
      <c r="AB70" s="399">
        <f>$AB$5</f>
        <v>48122</v>
      </c>
      <c r="AC70" s="399">
        <f>$AC$5</f>
        <v>48488</v>
      </c>
      <c r="AD70" s="399">
        <f>$AD$5</f>
        <v>48853</v>
      </c>
      <c r="AE70" s="399">
        <f>$AE$5</f>
        <v>49218</v>
      </c>
      <c r="AF70" s="399">
        <f>$AF$5</f>
        <v>49583</v>
      </c>
      <c r="AG70" s="399">
        <f>$AG$5</f>
        <v>49949</v>
      </c>
      <c r="AH70" s="211"/>
      <c r="AI70" s="399">
        <f t="shared" ref="AI70:AR72" si="29">+Q70</f>
        <v>44105</v>
      </c>
      <c r="AJ70" s="399">
        <f t="shared" si="29"/>
        <v>44470</v>
      </c>
      <c r="AK70" s="399">
        <f t="shared" si="29"/>
        <v>44835</v>
      </c>
      <c r="AL70" s="399">
        <f t="shared" si="29"/>
        <v>45200</v>
      </c>
      <c r="AM70" s="399">
        <f t="shared" si="29"/>
        <v>45566</v>
      </c>
      <c r="AN70" s="399">
        <f t="shared" si="29"/>
        <v>45931</v>
      </c>
      <c r="AO70" s="399">
        <f t="shared" si="29"/>
        <v>46296</v>
      </c>
      <c r="AP70" s="399">
        <f t="shared" si="29"/>
        <v>46661</v>
      </c>
      <c r="AQ70" s="399">
        <f t="shared" si="29"/>
        <v>47027</v>
      </c>
      <c r="AR70" s="399">
        <f t="shared" si="29"/>
        <v>47392</v>
      </c>
      <c r="AS70" s="399">
        <f t="shared" ref="AS70:AY72" si="30">+AA70</f>
        <v>47757</v>
      </c>
      <c r="AT70" s="399">
        <f t="shared" si="30"/>
        <v>48122</v>
      </c>
      <c r="AU70" s="399">
        <f t="shared" si="30"/>
        <v>48488</v>
      </c>
      <c r="AV70" s="399">
        <f t="shared" si="30"/>
        <v>48853</v>
      </c>
      <c r="AW70" s="399">
        <f t="shared" si="30"/>
        <v>49218</v>
      </c>
      <c r="AX70" s="399">
        <f t="shared" si="30"/>
        <v>49583</v>
      </c>
      <c r="AY70" s="399">
        <f t="shared" si="30"/>
        <v>49949</v>
      </c>
      <c r="AZ70" s="211"/>
    </row>
    <row r="71" spans="1:52" ht="12.75" customHeight="1" thickBot="1">
      <c r="A71" s="236" t="s">
        <v>154</v>
      </c>
      <c r="B71" s="237">
        <f>SUM(B67:B69)</f>
        <v>0</v>
      </c>
      <c r="C71" s="237" t="str">
        <f>IF(C61="No Year 2","",SUM(C67:C69))</f>
        <v/>
      </c>
      <c r="D71" s="237" t="str">
        <f>IF(D61="No Year 3","",SUM(D67:D69))</f>
        <v/>
      </c>
      <c r="E71" s="237" t="str">
        <f>IF(E61="No Year 4","",SUM(E67:E69))</f>
        <v/>
      </c>
      <c r="F71" s="237" t="str">
        <f>IF(F61="No Year 5","",SUM(F67:F69))</f>
        <v/>
      </c>
      <c r="G71" s="237" t="str">
        <f>IF(G61="No Year 6","",SUM(G67:G69))</f>
        <v/>
      </c>
      <c r="H71" s="237" t="str">
        <f>IF(H61="No Year 7","",SUM(H67:H69))</f>
        <v/>
      </c>
      <c r="I71" s="237" t="str">
        <f>IF(I61="No Year 8","",SUM(I67:I69))</f>
        <v/>
      </c>
      <c r="J71" s="237" t="str">
        <f>IF(J61="No Year 9","",SUM(J67:J69))</f>
        <v/>
      </c>
      <c r="K71" s="237" t="str">
        <f>IF(K61="No Year 10","",SUM(K67:K69))</f>
        <v/>
      </c>
      <c r="L71" s="238">
        <f>SUM(B71:K71)</f>
        <v>0</v>
      </c>
      <c r="N71" s="86">
        <f>IF(L71&gt;0,1,0)</f>
        <v>0</v>
      </c>
      <c r="P71" s="207">
        <f t="shared" si="2"/>
        <v>1</v>
      </c>
      <c r="Q71" s="399">
        <f>Sheet1!$T$9</f>
        <v>44469</v>
      </c>
      <c r="R71" s="399">
        <f>Sheet1!$U$9</f>
        <v>44834</v>
      </c>
      <c r="S71" s="399">
        <f>Sheet1!$V$9</f>
        <v>45199</v>
      </c>
      <c r="T71" s="399">
        <f>Sheet1!$W$9</f>
        <v>45565</v>
      </c>
      <c r="U71" s="399">
        <f>Sheet1!$X$9</f>
        <v>45930</v>
      </c>
      <c r="V71" s="399">
        <f>Sheet1!$Y$9</f>
        <v>46295</v>
      </c>
      <c r="W71" s="399">
        <f>Sheet1!$Z$9</f>
        <v>46660</v>
      </c>
      <c r="X71" s="399">
        <f>Sheet1!$AA$9</f>
        <v>47026</v>
      </c>
      <c r="Y71" s="399">
        <f>Sheet1!$AB$9</f>
        <v>47391</v>
      </c>
      <c r="Z71" s="399">
        <f>Sheet1!$AC$9</f>
        <v>47756</v>
      </c>
      <c r="AA71" s="399">
        <f>$AA$6</f>
        <v>48121</v>
      </c>
      <c r="AB71" s="399">
        <f>$AB$6</f>
        <v>48487</v>
      </c>
      <c r="AC71" s="399">
        <f>$AC$6</f>
        <v>48852</v>
      </c>
      <c r="AD71" s="399">
        <f>$AD$6</f>
        <v>49217</v>
      </c>
      <c r="AE71" s="399">
        <f>$AE$6</f>
        <v>49582</v>
      </c>
      <c r="AF71" s="399">
        <f>$AF$6</f>
        <v>49948</v>
      </c>
      <c r="AG71" s="399">
        <f>$AG$6</f>
        <v>50313</v>
      </c>
      <c r="AH71" s="211"/>
      <c r="AI71" s="399">
        <f t="shared" si="29"/>
        <v>44469</v>
      </c>
      <c r="AJ71" s="399">
        <f t="shared" si="29"/>
        <v>44834</v>
      </c>
      <c r="AK71" s="399">
        <f t="shared" si="29"/>
        <v>45199</v>
      </c>
      <c r="AL71" s="399">
        <f t="shared" si="29"/>
        <v>45565</v>
      </c>
      <c r="AM71" s="399">
        <f t="shared" si="29"/>
        <v>45930</v>
      </c>
      <c r="AN71" s="399">
        <f t="shared" si="29"/>
        <v>46295</v>
      </c>
      <c r="AO71" s="399">
        <f t="shared" si="29"/>
        <v>46660</v>
      </c>
      <c r="AP71" s="399">
        <f t="shared" si="29"/>
        <v>47026</v>
      </c>
      <c r="AQ71" s="399">
        <f t="shared" si="29"/>
        <v>47391</v>
      </c>
      <c r="AR71" s="399">
        <f t="shared" si="29"/>
        <v>47756</v>
      </c>
      <c r="AS71" s="399">
        <f t="shared" si="30"/>
        <v>48121</v>
      </c>
      <c r="AT71" s="399">
        <f t="shared" si="30"/>
        <v>48487</v>
      </c>
      <c r="AU71" s="399">
        <f t="shared" si="30"/>
        <v>48852</v>
      </c>
      <c r="AV71" s="399">
        <f t="shared" si="30"/>
        <v>49217</v>
      </c>
      <c r="AW71" s="399">
        <f t="shared" si="30"/>
        <v>49582</v>
      </c>
      <c r="AX71" s="399">
        <f t="shared" si="30"/>
        <v>49948</v>
      </c>
      <c r="AY71" s="399">
        <f t="shared" si="30"/>
        <v>50313</v>
      </c>
      <c r="AZ71" s="211"/>
    </row>
    <row r="72" spans="1:52" ht="12.75" customHeight="1" thickTop="1">
      <c r="P72" s="207">
        <f t="shared" si="2"/>
        <v>1</v>
      </c>
      <c r="Q72" s="400">
        <f>IF(IF(Q71&lt;D27,0,DATEDIF(D27,Q71+1,"m"))&lt;0,0,IF(Q71&lt;D27,0,DATEDIF(D27,Q71+1,"m")))</f>
        <v>0</v>
      </c>
      <c r="R72" s="400">
        <f>IF(IF(Q72=12,0,IF(R71&gt;D28,12-DATEDIF(D28,R71+1,"m"),IF(R71&lt;D27,0,DATEDIF(D27,R71+1,"m"))))&lt;0,0,IF(Q72=12,0,IF(R71&gt;D28,12-DATEDIF(D28,R71+1,"m"),IF(R71&lt;D27,0,DATEDIF(D27,R71+1,"m")))))</f>
        <v>0</v>
      </c>
      <c r="S72" s="400">
        <f>IF(IF(Q72+R72=12,0,IF(S71&gt;D28,12-DATEDIF(D28,S71+1,"m"),IF(S71&lt;D27,0,DATEDIF(D27,S71+1,"m"))))&lt;0,0,IF(Q72+R72=12,0,IF(S71&gt;D28,12-DATEDIF(D28,S71+1,"m"),IF(S71&lt;D27,0,DATEDIF(D27,S71+1,"m")))))</f>
        <v>0</v>
      </c>
      <c r="T72" s="400">
        <f>IF(IF(R72+S72+Q72=12,0,IF(T71&gt;D28,12-DATEDIF(D28,T71+1,"m"),IF(T71&lt;D27,0,DATEDIF(D27,T71+1,"m"))))&lt;0,0,IF(R72+S72+Q72=12,0,IF(T71&gt;D28,12-DATEDIF(D28,T71+1,"m"),IF(T71&lt;D27,0,DATEDIF(D27,T71+1,"m")))))</f>
        <v>0</v>
      </c>
      <c r="U72" s="400">
        <f>IF(IF(S72+T72+R72+Q72=12,0,IF(U71&gt;$D$28,12-DATEDIF($D$28,U71+1,"m"),IF(U71&lt;$D$27,0,DATEDIF($D$27,U71+1,"m"))))&lt;0,0,IF(S72+T72+R72+Q72=12,0,IF(U71&gt;$D$28,12-DATEDIF($D$28,U71+1,"m"),IF(U71&lt;$D$27,0,DATEDIF($D$27,U71+1,"m")))))</f>
        <v>0</v>
      </c>
      <c r="V72" s="400">
        <f>IF(IF(T72+U72+S72+R72+Q72=12,0,IF(V71&gt;$D$28,12-DATEDIF($D$28,V71+1,"m"),IF(V71&lt;$D$27,0,DATEDIF($D$27,V71+1,"m"))))&lt;0,0,IF(T72+U72+S72+R72+Q72=12,0,IF(V71&gt;$D$28,12-DATEDIF($D$28,V71+1,"m"),IF(V71&lt;$D$27,0,DATEDIF($D$27,V71+1,"m")))))</f>
        <v>0</v>
      </c>
      <c r="W72" s="400">
        <f>IF(IF(U72+V72+T72+S72+R72+Q72=12,0,IF(W71&gt;$D$28,12-DATEDIF($D$28,W71+1,"m"),IF(W71&lt;$D$27,0,DATEDIF($D$27,W71+1,"m"))))&lt;0,0,IF(U72+V72+T72+S72+R72+Q72=12,0,IF(W71&gt;$D$28,12-DATEDIF($D$28,W71+1,"m"),IF(W71&lt;$D$27,0,DATEDIF($D$27,W71+1,"m")))))</f>
        <v>0</v>
      </c>
      <c r="X72" s="400">
        <f>IF(IF(V72+W72+U72+T72+S72+R72+Q72=12,0,IF(X71&gt;$D$28,12-DATEDIF($D$28,X71+1,"m"),IF(X71&lt;$D$27,0,DATEDIF($D$27,X71+1,"m"))))&lt;0,0,IF(V72+W72+U72+T72+S72+R72+Q72=12,0,IF(X71&gt;$D$28,12-DATEDIF($D$28,X71+1,"m"),IF(X71&lt;$D$27,0,DATEDIF($D$27,X71+1,"m")))))</f>
        <v>0</v>
      </c>
      <c r="Y72" s="400">
        <f>IF(IF(W72+X72+V72+U72+T72+S72+R72=12,0,IF(Y71&gt;$D$28,12-DATEDIF($D$28,Y71+1,"m"),IF(Y71&lt;$D$27,0,DATEDIF($D$27,Y71+1,"m"))))&lt;0,0,IF(W72+X72+V72+U72+T72+S72+R72=12,0,IF(Y71&gt;$D$28,12-DATEDIF($D$28,Y71+1,"m"),IF(Y71&lt;$D$27,0,DATEDIF($D$27,Y71+1,"m")))))</f>
        <v>0</v>
      </c>
      <c r="Z72" s="400">
        <f>IF(IF(X72+Y72+W72+V72+U72+T72+S72=12,0,IF(Z71&gt;$D$28,12-DATEDIF($D$28,Z71+1,"m"),IF(Z71&lt;$D$27,0,DATEDIF($D$27,Z71+1,"m"))))&lt;0,0,IF(X72+Y72+W72+V72+U72+T72+S72=12,0,IF(Z71&gt;$D$28,12-DATEDIF($D$28,Z71+1,"m"),IF(Z71&lt;$D$27,0,DATEDIF($D$27,Z71+1,"m")))))</f>
        <v>0</v>
      </c>
      <c r="AA72" s="400"/>
      <c r="AB72" s="400"/>
      <c r="AC72" s="400"/>
      <c r="AD72" s="400"/>
      <c r="AE72" s="400"/>
      <c r="AF72" s="400"/>
      <c r="AG72" s="400"/>
      <c r="AH72" s="423">
        <f>SUM(Q72:AG72)</f>
        <v>0</v>
      </c>
      <c r="AI72" s="400">
        <f t="shared" si="29"/>
        <v>0</v>
      </c>
      <c r="AJ72" s="400">
        <f t="shared" si="29"/>
        <v>0</v>
      </c>
      <c r="AK72" s="400">
        <f t="shared" si="29"/>
        <v>0</v>
      </c>
      <c r="AL72" s="400">
        <f t="shared" si="29"/>
        <v>0</v>
      </c>
      <c r="AM72" s="400">
        <f t="shared" si="29"/>
        <v>0</v>
      </c>
      <c r="AN72" s="400">
        <f t="shared" si="29"/>
        <v>0</v>
      </c>
      <c r="AO72" s="400">
        <f t="shared" si="29"/>
        <v>0</v>
      </c>
      <c r="AP72" s="400">
        <f t="shared" si="29"/>
        <v>0</v>
      </c>
      <c r="AQ72" s="400">
        <f t="shared" si="29"/>
        <v>0</v>
      </c>
      <c r="AR72" s="400">
        <f t="shared" si="29"/>
        <v>0</v>
      </c>
      <c r="AS72" s="400">
        <f t="shared" si="30"/>
        <v>0</v>
      </c>
      <c r="AT72" s="400">
        <f t="shared" si="30"/>
        <v>0</v>
      </c>
      <c r="AU72" s="400">
        <f t="shared" si="30"/>
        <v>0</v>
      </c>
      <c r="AV72" s="400">
        <f t="shared" si="30"/>
        <v>0</v>
      </c>
      <c r="AW72" s="400">
        <f t="shared" si="30"/>
        <v>0</v>
      </c>
      <c r="AX72" s="400">
        <f t="shared" si="30"/>
        <v>0</v>
      </c>
      <c r="AY72" s="400">
        <f t="shared" si="30"/>
        <v>0</v>
      </c>
      <c r="AZ72" s="211">
        <f>SUM(AI72:AY72)</f>
        <v>0</v>
      </c>
    </row>
    <row r="73" spans="1:52" ht="12.75" customHeight="1" thickBot="1">
      <c r="P73" s="207">
        <f t="shared" si="2"/>
        <v>1</v>
      </c>
      <c r="Q73" s="401">
        <f>IF(Q72=0,0,(IF(($C$33+$B$33+$D$33)&lt;=25000,(($D$33/+$AH72)*Q72)*VLOOKUP('1. SUMMARY'!$C$20,rate,Sheet1!T$21,0),((IF(($B$33+$C$33)&gt;=25000,0,(((25000-($B$33+$C$33))/+$AH72)*Q72)*VLOOKUP('1. SUMMARY'!$C$20,rate,Sheet1!T$21,0)))))))</f>
        <v>0</v>
      </c>
      <c r="R73" s="401">
        <f>IF(R72=0,0,(IF(($C$33+$B$33+$D$33)&lt;=25000,(($D$33/+$AH72)*R72)*VLOOKUP('1. SUMMARY'!$C$20,rate,Sheet1!U$21,0),((IF(($B$33+$C$33)&gt;=25000,0,(((25000-($B$33+$C$33))/+$AH72)*R72)*VLOOKUP('1. SUMMARY'!$C$20,rate,Sheet1!U$21,0)))))))</f>
        <v>0</v>
      </c>
      <c r="S73" s="401">
        <f>IF(S72=0,0,(IF(($C$33+$B$33+$D$33)&lt;=25000,(($D$33/+$AH72)*S72)*VLOOKUP('1. SUMMARY'!$C$20,rate,Sheet1!V$21,0),((IF(($B$33+$C$33)&gt;=25000,0,(((25000-($B$33+$C$33))/+$AH72)*S72)*VLOOKUP('1. SUMMARY'!$C$20,rate,Sheet1!V$21,0)))))))</f>
        <v>0</v>
      </c>
      <c r="T73" s="401">
        <f>IF(T72=0,0,(IF(($C$33+$B$33+$D$33)&lt;=25000,(($D$33/+$AH72)*T72)*VLOOKUP('1. SUMMARY'!$C$20,rate,Sheet1!W$21,0),((IF(($B$33+$C$33)&gt;=25000,0,(((25000-($B$33+$C$33))/+$AH72)*T72)*VLOOKUP('1. SUMMARY'!$C$20,rate,Sheet1!W$21,0)))))))</f>
        <v>0</v>
      </c>
      <c r="U73" s="401">
        <f>IF(U72=0,0,(IF(($C$33+$B$33+$D$33)&lt;=25000,(($D$33/+$AH72)*U72)*VLOOKUP('1. SUMMARY'!$C$20,rate,Sheet1!X$21,0),((IF(($B$33+$C$33)&gt;=25000,0,(((25000-($B$33+$C$33))/+$AH72)*U72)*VLOOKUP('1. SUMMARY'!$C$20,rate,Sheet1!X$21,0)))))))</f>
        <v>0</v>
      </c>
      <c r="V73" s="401">
        <f>IF(V72=0,0,(IF(($C$33+$B$33+$D$33)&lt;=25000,(($D$33/+$AH72)*V72)*VLOOKUP('1. SUMMARY'!$C$20,rate,Sheet1!Y$21,0),((IF(($B$33+$C$33)&gt;=25000,0,(((25000-($B$33+$C$33))/+$AH72)*V72)*VLOOKUP('1. SUMMARY'!$C$20,rate,Sheet1!Y$21,0)))))))</f>
        <v>0</v>
      </c>
      <c r="W73" s="401">
        <f>IF(W72=0,0,(IF(($C$33+$B$33+$D$33)&lt;=25000,(($D$33/+$AH72)*W72)*VLOOKUP('1. SUMMARY'!$C$20,rate,Sheet1!Z$21,0),((IF(($B$33+$C$33)&gt;=25000,0,(((25000-($B$33+$C$33))/+$AH72)*W72)*VLOOKUP('1. SUMMARY'!$C$20,rate,Sheet1!Z$21,0)))))))</f>
        <v>0</v>
      </c>
      <c r="X73" s="401">
        <f>IF(X72=0,0,(IF(($C$33+$B$33+$D$33)&lt;=25000,(($D$33/+$AH72)*X72)*VLOOKUP('1. SUMMARY'!$C$20,rate,Sheet1!AA$21,0),((IF(($B$33+$C$33)&gt;=25000,0,(((25000-($B$33+$C$33))/+$AH72)*X72)*VLOOKUP('1. SUMMARY'!$C$20,rate,Sheet1!AA$21,0)))))))</f>
        <v>0</v>
      </c>
      <c r="Y73" s="401">
        <f>IF(Y72=0,0,(IF(($C$33+$B$33+$D$33)&lt;=25000,(($D$33/+$AH72)*Y72)*VLOOKUP('1. SUMMARY'!$C$20,rate,Sheet1!AB$21,0),((IF(($B$33+$C$33)&gt;=25000,0,(((25000-($B$33+$C$33))/+$AH72)*Y72)*VLOOKUP('1. SUMMARY'!$C$20,rate,Sheet1!AB$21,0)))))))</f>
        <v>0</v>
      </c>
      <c r="Z73" s="401">
        <f>IF(Z72=0,0,(IF(($C$33+$B$33+$D$33)&lt;=25000,(($D$33/+$AH72)*Z72)*VLOOKUP('1. SUMMARY'!$C$20,rate,Sheet1!AC$21,0),((IF(($B$33+$C$33)&gt;=25000,0,(((25000-($B$33+$C$33))/+$AH72)*Z72)*VLOOKUP('1. SUMMARY'!$C$20,rate,Sheet1!AC$21,0)))))))</f>
        <v>0</v>
      </c>
      <c r="AA73" s="401">
        <f>IF(AA72=0,0,(IF(($C$33+$B$33+$D$33)&lt;=25000,(($D$33/+$AH72)*AA72)*VLOOKUP('1. SUMMARY'!$C$20,rate,Sheet1!AD$21,0),((IF(($B$33+$C$33)&gt;=25000,0,(((25000-($B$33+$C$33))/+$AH72)*AA72)*VLOOKUP('1. SUMMARY'!$C$20,rate,Sheet1!AD$21,0)))))))</f>
        <v>0</v>
      </c>
      <c r="AB73" s="401">
        <f>IF(AB72=0,0,(IF(($C$33+$B$33+$D$33)&lt;=25000,(($D$33/+$AH72)*AB72)*VLOOKUP('1. SUMMARY'!$C$20,rate,Sheet1!AE$21,0),((IF(($B$33+$C$33)&gt;=25000,0,(((25000-($B$33+$C$33))/+$AH72)*AB72)*VLOOKUP('1. SUMMARY'!$C$20,rate,Sheet1!AE$21,0)))))))</f>
        <v>0</v>
      </c>
      <c r="AC73" s="401">
        <f>IF(AC72=0,0,(IF(($C$33+$B$33+$D$33)&lt;=25000,(($D$33/+$AH72)*AC72)*VLOOKUP('1. SUMMARY'!$C$20,rate,Sheet1!AF$21,0),((IF(($B$33+$C$33)&gt;=25000,0,(((25000-($B$33+$C$33))/+$AH72)*AC72)*VLOOKUP('1. SUMMARY'!$C$20,rate,Sheet1!AF$21,0)))))))</f>
        <v>0</v>
      </c>
      <c r="AD73" s="401">
        <f>IF(AD72=0,0,(IF(($C$33+$B$33+$D$33)&lt;=25000,(($D$33/+$AH72)*AD72)*VLOOKUP('1. SUMMARY'!$C$20,rate,Sheet1!AG$21,0),((IF(($B$33+$C$33)&gt;=25000,0,(((25000-($B$33+$C$33))/+$AH72)*AD72)*VLOOKUP('1. SUMMARY'!$C$20,rate,Sheet1!AG$21,0)))))))</f>
        <v>0</v>
      </c>
      <c r="AE73" s="401">
        <f>IF(AE72=0,0,(IF(($C$33+$B$33+$D$33)&lt;=25000,(($D$33/+$AH72)*AE72)*VLOOKUP('1. SUMMARY'!$C$20,rate,Sheet1!AH$21,0),((IF(($B$33+$C$33)&gt;=25000,0,(((25000-($B$33+$C$33))/+$AH72)*AE72)*VLOOKUP('1. SUMMARY'!$C$20,rate,Sheet1!AH$21,0)))))))</f>
        <v>0</v>
      </c>
      <c r="AF73" s="401">
        <f>IF(AF72=0,0,(IF(($C$33+$B$33+$D$33)&lt;=25000,(($D$33/+$AH72)*AF72)*VLOOKUP('1. SUMMARY'!$C$20,rate,Sheet1!AI$21,0),((IF(($B$33+$C$33)&gt;=25000,0,(((25000-($B$33+$C$33))/+$AH72)*AF72)*VLOOKUP('1. SUMMARY'!$C$20,rate,Sheet1!AI$21,0)))))))</f>
        <v>0</v>
      </c>
      <c r="AG73" s="401">
        <f>IF(AG72=0,0,(IF(($C$33+$B$33+$D$33)&lt;=25000,(($D$33/+$AH72)*AG72)*VLOOKUP('1. SUMMARY'!$C$20,rate,Sheet1!AJ$21,0),((IF(($B$33+$C$33)&gt;=25000,0,(((25000-($B$33+$C$33))/+$AH72)*AG72)*VLOOKUP('1. SUMMARY'!$C$20,rate,Sheet1!AJ$21,0)))))))</f>
        <v>0</v>
      </c>
      <c r="AH73" s="219">
        <f>SUM(Q73:AG73)</f>
        <v>0</v>
      </c>
      <c r="AI73" s="401">
        <f>IF(Q72=0,0,((+$D33/$AZ$17)*AI72)*VLOOKUP('1. SUMMARY'!$C$20,rate,Sheet1!T$21,0))</f>
        <v>0</v>
      </c>
      <c r="AJ73" s="401">
        <f>IF(R72=0,0,((+$D33/$AZ$17)*AJ72)*VLOOKUP('1. SUMMARY'!$C$20,rate,Sheet1!U$21,0))</f>
        <v>0</v>
      </c>
      <c r="AK73" s="401">
        <f>IF(S72=0,0,((+$D33/$AZ$17)*AK72)*VLOOKUP('1. SUMMARY'!$C$20,rate,Sheet1!V$21,0))</f>
        <v>0</v>
      </c>
      <c r="AL73" s="401">
        <f>IF(T72=0,0,((+$D33/$AZ$17)*AL72)*VLOOKUP('1. SUMMARY'!$C$20,rate,Sheet1!W$21,0))</f>
        <v>0</v>
      </c>
      <c r="AM73" s="401">
        <f>IF(U72=0,0,((+$D33/$AZ$17)*AM72)*VLOOKUP('1. SUMMARY'!$C$20,rate,Sheet1!X$21,0))</f>
        <v>0</v>
      </c>
      <c r="AN73" s="401">
        <f>IF(V72=0,0,((+$D33/$AZ$17)*AN72)*VLOOKUP('1. SUMMARY'!$C$20,rate,Sheet1!Y$21,0))</f>
        <v>0</v>
      </c>
      <c r="AO73" s="401">
        <f>IF(W72=0,0,((+$D33/$AZ$17)*AO72)*VLOOKUP('1. SUMMARY'!$C$20,rate,Sheet1!Z$21,0))</f>
        <v>0</v>
      </c>
      <c r="AP73" s="401">
        <f>IF(X72=0,0,((+$D33/$AZ$17)*AP72)*VLOOKUP('1. SUMMARY'!$C$20,rate,Sheet1!AA$21,0))</f>
        <v>0</v>
      </c>
      <c r="AQ73" s="401">
        <f>IF(Y72=0,0,((+$D33/$AZ$17)*AQ72)*VLOOKUP('1. SUMMARY'!$C$20,rate,Sheet1!AB$21,0))</f>
        <v>0</v>
      </c>
      <c r="AR73" s="401">
        <f>IF(Z72=0,0,((+$D33/$AZ$17)*AR72)*VLOOKUP('1. SUMMARY'!$C$20,rate,Sheet1!AC$21,0))</f>
        <v>0</v>
      </c>
      <c r="AS73" s="401">
        <f>IF(AA72=0,0,((+$D33/$AZ$17)*AS72)*VLOOKUP('1. SUMMARY'!$C$20,rate,Sheet1!AD$21,0))</f>
        <v>0</v>
      </c>
      <c r="AT73" s="401">
        <f>IF(AB72=0,0,((+$D33/$AZ$17)*AT72)*VLOOKUP('1. SUMMARY'!$C$20,rate,Sheet1!AE$21,0))</f>
        <v>0</v>
      </c>
      <c r="AU73" s="401">
        <f>IF(AC72=0,0,((+$D33/$AZ$17)*AU72)*VLOOKUP('1. SUMMARY'!$C$20,rate,Sheet1!AF$21,0))</f>
        <v>0</v>
      </c>
      <c r="AV73" s="401">
        <f>IF(AD72=0,0,((+$D33/$AZ$17)*AV72)*VLOOKUP('1. SUMMARY'!$C$20,rate,Sheet1!AG$21,0))</f>
        <v>0</v>
      </c>
      <c r="AW73" s="401">
        <f>IF(AE72=0,0,((+$D33/$AZ$17)*AW72)*VLOOKUP('1. SUMMARY'!$C$20,rate,Sheet1!AH$21,0))</f>
        <v>0</v>
      </c>
      <c r="AX73" s="401">
        <f>IF(AF72=0,0,((+$D33/$AZ$17)*AX72)*VLOOKUP('1. SUMMARY'!$C$20,rate,Sheet1!AI$21,0))</f>
        <v>0</v>
      </c>
      <c r="AY73" s="401">
        <f>IF(AG72=0,0,((+$D33/$AZ$17)*AY72)*VLOOKUP('1. SUMMARY'!$C$20,rate,Sheet1!AJ$21,0))</f>
        <v>0</v>
      </c>
      <c r="AZ73" s="211">
        <f>SUM(AI73:AY73)</f>
        <v>0</v>
      </c>
    </row>
    <row r="74" spans="1:52" ht="12.75" customHeight="1" thickTop="1">
      <c r="A74" s="212" t="s">
        <v>158</v>
      </c>
      <c r="B74" s="213"/>
      <c r="C74" s="213"/>
      <c r="D74" s="213"/>
      <c r="E74" s="213"/>
      <c r="F74" s="213"/>
      <c r="G74" s="213"/>
      <c r="H74" s="213"/>
      <c r="I74" s="213"/>
      <c r="J74" s="213"/>
      <c r="K74" s="213"/>
      <c r="L74" s="214"/>
      <c r="P74" s="207">
        <f t="shared" si="2"/>
        <v>1</v>
      </c>
      <c r="Q74" s="401">
        <f>+Q73/VLOOKUP('1. SUMMARY'!$C$20,rate,Sheet1!T$21,0)</f>
        <v>0</v>
      </c>
      <c r="R74" s="401">
        <f>+R73/VLOOKUP('1. SUMMARY'!$C$20,rate,Sheet1!U$21,0)</f>
        <v>0</v>
      </c>
      <c r="S74" s="401">
        <f>+S73/VLOOKUP('1. SUMMARY'!$C$20,rate,Sheet1!V$21,0)</f>
        <v>0</v>
      </c>
      <c r="T74" s="401">
        <f>+T73/VLOOKUP('1. SUMMARY'!$C$20,rate,Sheet1!W$21,0)</f>
        <v>0</v>
      </c>
      <c r="U74" s="401">
        <f>+U73/VLOOKUP('1. SUMMARY'!$C$20,rate,Sheet1!X$21,0)</f>
        <v>0</v>
      </c>
      <c r="V74" s="401">
        <f>+V73/VLOOKUP('1. SUMMARY'!$C$20,rate,Sheet1!Y$21,0)</f>
        <v>0</v>
      </c>
      <c r="W74" s="401">
        <f>+W73/VLOOKUP('1. SUMMARY'!$C$20,rate,Sheet1!Z$21,0)</f>
        <v>0</v>
      </c>
      <c r="X74" s="401">
        <f>+X73/VLOOKUP('1. SUMMARY'!$C$20,rate,Sheet1!AA$21,0)</f>
        <v>0</v>
      </c>
      <c r="Y74" s="401">
        <f>+Y73/VLOOKUP('1. SUMMARY'!$C$20,rate,Sheet1!AB$21,0)</f>
        <v>0</v>
      </c>
      <c r="Z74" s="401">
        <f>+Z73/VLOOKUP('1. SUMMARY'!$C$20,rate,Sheet1!AC$21,0)</f>
        <v>0</v>
      </c>
      <c r="AA74" s="401">
        <f>+AA73/VLOOKUP('1. SUMMARY'!$C$20,rate,Sheet1!AD$21,0)</f>
        <v>0</v>
      </c>
      <c r="AB74" s="401">
        <f>+AB73/VLOOKUP('1. SUMMARY'!$C$20,rate,Sheet1!AE$21,0)</f>
        <v>0</v>
      </c>
      <c r="AC74" s="401">
        <f>+AC73/VLOOKUP('1. SUMMARY'!$C$20,rate,Sheet1!AF$21,0)</f>
        <v>0</v>
      </c>
      <c r="AD74" s="401">
        <f>+AD73/VLOOKUP('1. SUMMARY'!$C$20,rate,Sheet1!AG$21,0)</f>
        <v>0</v>
      </c>
      <c r="AE74" s="401">
        <f>+AE73/VLOOKUP('1. SUMMARY'!$C$20,rate,Sheet1!AH$21,0)</f>
        <v>0</v>
      </c>
      <c r="AF74" s="401">
        <f>+AF73/VLOOKUP('1. SUMMARY'!$C$20,rate,Sheet1!AI$21,0)</f>
        <v>0</v>
      </c>
      <c r="AG74" s="401">
        <f>+AG73/VLOOKUP('1. SUMMARY'!$C$20,rate,Sheet1!AJ$21,0)</f>
        <v>0</v>
      </c>
      <c r="AH74" s="219"/>
      <c r="AI74" s="401">
        <v>0</v>
      </c>
      <c r="AJ74" s="401">
        <v>0</v>
      </c>
      <c r="AK74" s="401">
        <v>0</v>
      </c>
      <c r="AL74" s="401">
        <v>0</v>
      </c>
      <c r="AM74" s="401">
        <v>0</v>
      </c>
      <c r="AN74" s="401">
        <v>0</v>
      </c>
      <c r="AO74" s="401">
        <v>0</v>
      </c>
      <c r="AP74" s="401">
        <v>0</v>
      </c>
      <c r="AQ74" s="401"/>
      <c r="AR74" s="401"/>
      <c r="AS74" s="401"/>
      <c r="AT74" s="401"/>
      <c r="AU74" s="401"/>
      <c r="AV74" s="401"/>
      <c r="AW74" s="401"/>
      <c r="AX74" s="401"/>
      <c r="AY74" s="401"/>
      <c r="AZ74" s="219"/>
    </row>
    <row r="75" spans="1:52" ht="23.25" customHeight="1">
      <c r="A75" s="215" t="s">
        <v>149</v>
      </c>
      <c r="B75" s="575"/>
      <c r="C75" s="575"/>
      <c r="D75" s="575"/>
      <c r="E75" s="575"/>
      <c r="F75" s="575"/>
      <c r="G75" s="575"/>
      <c r="H75" s="575"/>
      <c r="I75" s="575"/>
      <c r="J75" s="575"/>
      <c r="K75" s="575"/>
      <c r="L75" s="576"/>
      <c r="P75" s="207">
        <f t="shared" si="2"/>
        <v>1</v>
      </c>
      <c r="Q75" s="405">
        <f>Sheet1!$T$8</f>
        <v>44105</v>
      </c>
      <c r="R75" s="405">
        <f>Sheet1!$U$8</f>
        <v>44470</v>
      </c>
      <c r="S75" s="405">
        <f>Sheet1!$V$8</f>
        <v>44835</v>
      </c>
      <c r="T75" s="405">
        <f>Sheet1!$W$8</f>
        <v>45200</v>
      </c>
      <c r="U75" s="405">
        <f>Sheet1!$X$8</f>
        <v>45566</v>
      </c>
      <c r="V75" s="405">
        <f>Sheet1!$Y$8</f>
        <v>45931</v>
      </c>
      <c r="W75" s="405">
        <f>Sheet1!$Z$8</f>
        <v>46296</v>
      </c>
      <c r="X75" s="405">
        <f>Sheet1!$AA$8</f>
        <v>46661</v>
      </c>
      <c r="Y75" s="405">
        <f>Sheet1!$AB$8</f>
        <v>47027</v>
      </c>
      <c r="Z75" s="405">
        <f>Sheet1!$AC$8</f>
        <v>47392</v>
      </c>
      <c r="AA75" s="405">
        <f>$AA$5</f>
        <v>47757</v>
      </c>
      <c r="AB75" s="405">
        <f>$AB$5</f>
        <v>48122</v>
      </c>
      <c r="AC75" s="405">
        <f>$AC$5</f>
        <v>48488</v>
      </c>
      <c r="AD75" s="405">
        <f>$AD$5</f>
        <v>48853</v>
      </c>
      <c r="AE75" s="405">
        <f>$AE$5</f>
        <v>49218</v>
      </c>
      <c r="AF75" s="405">
        <f>$AF$5</f>
        <v>49583</v>
      </c>
      <c r="AG75" s="405">
        <f>$AG$5</f>
        <v>49949</v>
      </c>
      <c r="AH75" s="211"/>
      <c r="AI75" s="405">
        <f t="shared" ref="AI75:AR77" si="31">+Q75</f>
        <v>44105</v>
      </c>
      <c r="AJ75" s="405">
        <f t="shared" si="31"/>
        <v>44470</v>
      </c>
      <c r="AK75" s="405">
        <f t="shared" si="31"/>
        <v>44835</v>
      </c>
      <c r="AL75" s="405">
        <f t="shared" si="31"/>
        <v>45200</v>
      </c>
      <c r="AM75" s="405">
        <f t="shared" si="31"/>
        <v>45566</v>
      </c>
      <c r="AN75" s="405">
        <f t="shared" si="31"/>
        <v>45931</v>
      </c>
      <c r="AO75" s="405">
        <f t="shared" si="31"/>
        <v>46296</v>
      </c>
      <c r="AP75" s="405">
        <f t="shared" si="31"/>
        <v>46661</v>
      </c>
      <c r="AQ75" s="405">
        <f t="shared" si="31"/>
        <v>47027</v>
      </c>
      <c r="AR75" s="405">
        <f t="shared" si="31"/>
        <v>47392</v>
      </c>
      <c r="AS75" s="405">
        <f t="shared" ref="AS75:AY77" si="32">+AA75</f>
        <v>47757</v>
      </c>
      <c r="AT75" s="405">
        <f t="shared" si="32"/>
        <v>48122</v>
      </c>
      <c r="AU75" s="405">
        <f t="shared" si="32"/>
        <v>48488</v>
      </c>
      <c r="AV75" s="405">
        <f t="shared" si="32"/>
        <v>48853</v>
      </c>
      <c r="AW75" s="405">
        <f t="shared" si="32"/>
        <v>49218</v>
      </c>
      <c r="AX75" s="405">
        <f t="shared" si="32"/>
        <v>49583</v>
      </c>
      <c r="AY75" s="405">
        <f t="shared" si="32"/>
        <v>49949</v>
      </c>
      <c r="AZ75" s="211"/>
    </row>
    <row r="76" spans="1:52" ht="12.75" customHeight="1">
      <c r="A76" s="216"/>
      <c r="B76" s="217"/>
      <c r="C76" s="217"/>
      <c r="D76" s="217"/>
      <c r="E76" s="217"/>
      <c r="F76" s="217"/>
      <c r="G76" s="217"/>
      <c r="H76" s="217"/>
      <c r="I76" s="217"/>
      <c r="J76" s="217"/>
      <c r="K76" s="217"/>
      <c r="L76" s="218"/>
      <c r="P76" s="207">
        <f t="shared" si="2"/>
        <v>1</v>
      </c>
      <c r="Q76" s="405">
        <f>Sheet1!$T$9</f>
        <v>44469</v>
      </c>
      <c r="R76" s="405">
        <f>Sheet1!$U$9</f>
        <v>44834</v>
      </c>
      <c r="S76" s="405">
        <f>Sheet1!$V$9</f>
        <v>45199</v>
      </c>
      <c r="T76" s="405">
        <f>Sheet1!$W$9</f>
        <v>45565</v>
      </c>
      <c r="U76" s="405">
        <f>Sheet1!$X$9</f>
        <v>45930</v>
      </c>
      <c r="V76" s="405">
        <f>Sheet1!$Y$9</f>
        <v>46295</v>
      </c>
      <c r="W76" s="405">
        <f>Sheet1!$Z$9</f>
        <v>46660</v>
      </c>
      <c r="X76" s="405">
        <f>Sheet1!$AA$9</f>
        <v>47026</v>
      </c>
      <c r="Y76" s="405">
        <f>Sheet1!$AB$9</f>
        <v>47391</v>
      </c>
      <c r="Z76" s="405">
        <f>Sheet1!$AC$9</f>
        <v>47756</v>
      </c>
      <c r="AA76" s="405">
        <f>$AA$6</f>
        <v>48121</v>
      </c>
      <c r="AB76" s="405">
        <f>$AB$6</f>
        <v>48487</v>
      </c>
      <c r="AC76" s="405">
        <f>$AC$6</f>
        <v>48852</v>
      </c>
      <c r="AD76" s="405">
        <f>$AD$6</f>
        <v>49217</v>
      </c>
      <c r="AE76" s="405">
        <f>$AE$6</f>
        <v>49582</v>
      </c>
      <c r="AF76" s="405">
        <f>$AF$6</f>
        <v>49948</v>
      </c>
      <c r="AG76" s="405">
        <f>$AG$6</f>
        <v>50313</v>
      </c>
      <c r="AH76" s="211"/>
      <c r="AI76" s="405">
        <f t="shared" si="31"/>
        <v>44469</v>
      </c>
      <c r="AJ76" s="405">
        <f t="shared" si="31"/>
        <v>44834</v>
      </c>
      <c r="AK76" s="405">
        <f t="shared" si="31"/>
        <v>45199</v>
      </c>
      <c r="AL76" s="405">
        <f t="shared" si="31"/>
        <v>45565</v>
      </c>
      <c r="AM76" s="405">
        <f t="shared" si="31"/>
        <v>45930</v>
      </c>
      <c r="AN76" s="405">
        <f t="shared" si="31"/>
        <v>46295</v>
      </c>
      <c r="AO76" s="405">
        <f t="shared" si="31"/>
        <v>46660</v>
      </c>
      <c r="AP76" s="405">
        <f t="shared" si="31"/>
        <v>47026</v>
      </c>
      <c r="AQ76" s="405">
        <f t="shared" si="31"/>
        <v>47391</v>
      </c>
      <c r="AR76" s="405">
        <f t="shared" si="31"/>
        <v>47756</v>
      </c>
      <c r="AS76" s="405">
        <f t="shared" si="32"/>
        <v>48121</v>
      </c>
      <c r="AT76" s="405">
        <f t="shared" si="32"/>
        <v>48487</v>
      </c>
      <c r="AU76" s="405">
        <f t="shared" si="32"/>
        <v>48852</v>
      </c>
      <c r="AV76" s="405">
        <f t="shared" si="32"/>
        <v>49217</v>
      </c>
      <c r="AW76" s="405">
        <f t="shared" si="32"/>
        <v>49582</v>
      </c>
      <c r="AX76" s="405">
        <f t="shared" si="32"/>
        <v>49948</v>
      </c>
      <c r="AY76" s="405">
        <f t="shared" si="32"/>
        <v>50313</v>
      </c>
      <c r="AZ76" s="211"/>
    </row>
    <row r="77" spans="1:52" ht="12.75" customHeight="1">
      <c r="A77" s="216"/>
      <c r="B77" s="175" t="s">
        <v>81</v>
      </c>
      <c r="C77" s="175" t="s">
        <v>82</v>
      </c>
      <c r="D77" s="175" t="s">
        <v>83</v>
      </c>
      <c r="E77" s="175" t="s">
        <v>84</v>
      </c>
      <c r="F77" s="175" t="s">
        <v>85</v>
      </c>
      <c r="G77" s="175" t="s">
        <v>86</v>
      </c>
      <c r="H77" s="175" t="s">
        <v>87</v>
      </c>
      <c r="I77" s="175" t="s">
        <v>224</v>
      </c>
      <c r="J77" s="175" t="s">
        <v>225</v>
      </c>
      <c r="K77" s="175" t="s">
        <v>226</v>
      </c>
      <c r="L77" s="220" t="s">
        <v>47</v>
      </c>
      <c r="P77" s="207">
        <f t="shared" si="2"/>
        <v>1</v>
      </c>
      <c r="Q77" s="406">
        <f>IF(IF(Q76&lt;E27,0,DATEDIF(E27,Q76+1,"m"))&lt;0,0,IF(Q76&lt;E27,0,DATEDIF(E27,Q76+1,"m")))</f>
        <v>0</v>
      </c>
      <c r="R77" s="406">
        <f>IF(IF(Q77=12,0,IF(R76&gt;E28,12-DATEDIF(E28,R76+1,"m"),IF(R76&lt;E27,0,DATEDIF(E27,R76+1,"m"))))&lt;0,0,IF(Q77=12,0,IF(R76&gt;E28,12-DATEDIF(E28,R76+1,"m"),IF(R76&lt;E27,0,DATEDIF(E27,R76+1,"m")))))</f>
        <v>0</v>
      </c>
      <c r="S77" s="406">
        <f>IF(IF(Q77+R77=12,0,IF(S76&gt;E28,12-DATEDIF(E28,S76+1,"m"),IF(S76&lt;E27,0,DATEDIF(E27,S76+1,"m"))))&lt;0,0,IF(Q77+R77=12,0,IF(S76&gt;E28,12-DATEDIF(E28,S76+1,"m"),IF(S76&lt;E27,0,DATEDIF(E27,S76+1,"m")))))</f>
        <v>0</v>
      </c>
      <c r="T77" s="406">
        <f>IF(IF(R77+S77+Q77=12,0,IF(T76&gt;E28,12-DATEDIF(E28,T76+1,"m"),IF(T76&lt;E27,0,DATEDIF(E27,T76+1,"m"))))&lt;0,0,IF(R77+S77+Q77=12,0,IF(T76&gt;E28,12-DATEDIF(E28,T76+1,"m"),IF(T76&lt;E27,0,DATEDIF(E27,T76+1,"m")))))</f>
        <v>0</v>
      </c>
      <c r="U77" s="406">
        <f>IF(IF(S77+T77+R77+Q77=12,0,IF(U76&gt;$E$28,12-DATEDIF($E$28,U76+1,"m"),IF(U76&lt;$E$27,0,DATEDIF($E$27,U76+1,"m"))))&lt;0,0,IF(S77+T77+R77+Q77=12,0,IF(U76&gt;$E$28,12-DATEDIF($E$28,U76+1,"m"),IF(U76&lt;$E$27,0,DATEDIF($E$27,U76+1,"m")))))</f>
        <v>0</v>
      </c>
      <c r="V77" s="406">
        <f>IF(IF(T77+U77+S77+R77+Q77=12,0,IF(V76&gt;$E$28,12-DATEDIF($E$28,V76+1,"m"),IF(V76&lt;$E$27,0,DATEDIF($E$27,V76+1,"m"))))&lt;0,0,IF(T77+U77+S77+R77+Q77=12,0,IF(V76&gt;$E$28,12-DATEDIF($E$28,V76+1,"m"),IF(V76&lt;$E$27,0,DATEDIF($E$27,V76+1,"m")))))</f>
        <v>0</v>
      </c>
      <c r="W77" s="406">
        <f>IF(IF(U77+V77+T77+S77+R77+Q77=12,0,IF(W76&gt;$E$28,12-DATEDIF($E$28,W76+1,"m"),IF(W76&lt;$E$27,0,DATEDIF($E$27,W76+1,"m"))))&lt;0,0,IF(U77+V77+T77+S77+R77+Q77=12,0,IF(W76&gt;$E$28,12-DATEDIF($E$28,W76+1,"m"),IF(W76&lt;$E$27,0,DATEDIF($E$27,W76+1,"m")))))</f>
        <v>0</v>
      </c>
      <c r="X77" s="406">
        <f>IF(IF(V77+W77+U77+T77+S77+R77+Q77=12,0,IF(X76&gt;$E$28,12-DATEDIF($E$28,X76+1,"m"),IF(X76&lt;$E$27,0,DATEDIF($E$27,X76+1,"m"))))&lt;0,0,IF(V77+W77+U77+T77+S77+R77+Q77=12,0,IF(X76&gt;$E$28,12-DATEDIF($E$28,X76+1,"m"),IF(X76&lt;$E$27,0,DATEDIF($E$27,X76+1,"m")))))</f>
        <v>0</v>
      </c>
      <c r="Y77" s="406">
        <f>IF(IF(W77+X77+V77+U77+T77+S77+R77=12,0,IF(Y76&gt;$E$28,12-DATEDIF($E$28,Y76+1,"m"),IF(Y76&lt;$E$27,0,DATEDIF($E$27,Y76+1,"m"))))&lt;0,0,IF(W77+X77+V77+U77+T77+S77+R77=12,0,IF(Y76&gt;$E$28,12-DATEDIF($E$28,Y76+1,"m"),IF(Y76&lt;$E$27,0,DATEDIF($E$27,Y76+1,"m")))))</f>
        <v>0</v>
      </c>
      <c r="Z77" s="406">
        <f>IF(IF(X77+Y77+W77+V77+U77+T77+S77=12,0,IF(Z76&gt;$E$28,12-DATEDIF($E$28,Z76+1,"m"),IF(Z76&lt;$E$27,0,DATEDIF($E$27,Z76+1,"m"))))&lt;0,0,IF(X77+Y77+W77+V77+U77+T77+S77=12,0,IF(Z76&gt;$E$28,12-DATEDIF($E$28,Z76+1,"m"),IF(Z76&lt;$E$27,0,DATEDIF($E$27,Z76+1,"m")))))</f>
        <v>0</v>
      </c>
      <c r="AA77" s="406"/>
      <c r="AB77" s="406"/>
      <c r="AC77" s="406"/>
      <c r="AD77" s="406"/>
      <c r="AE77" s="406"/>
      <c r="AF77" s="406"/>
      <c r="AG77" s="406"/>
      <c r="AH77" s="423">
        <f>SUM(Q77:AG77)</f>
        <v>0</v>
      </c>
      <c r="AI77" s="406">
        <f t="shared" si="31"/>
        <v>0</v>
      </c>
      <c r="AJ77" s="406">
        <f t="shared" si="31"/>
        <v>0</v>
      </c>
      <c r="AK77" s="406">
        <f t="shared" si="31"/>
        <v>0</v>
      </c>
      <c r="AL77" s="406">
        <f t="shared" si="31"/>
        <v>0</v>
      </c>
      <c r="AM77" s="406">
        <f t="shared" si="31"/>
        <v>0</v>
      </c>
      <c r="AN77" s="406">
        <f t="shared" si="31"/>
        <v>0</v>
      </c>
      <c r="AO77" s="406">
        <f t="shared" si="31"/>
        <v>0</v>
      </c>
      <c r="AP77" s="406">
        <f t="shared" si="31"/>
        <v>0</v>
      </c>
      <c r="AQ77" s="406">
        <f t="shared" si="31"/>
        <v>0</v>
      </c>
      <c r="AR77" s="406">
        <f t="shared" si="31"/>
        <v>0</v>
      </c>
      <c r="AS77" s="406">
        <f t="shared" si="32"/>
        <v>0</v>
      </c>
      <c r="AT77" s="406">
        <f t="shared" si="32"/>
        <v>0</v>
      </c>
      <c r="AU77" s="406">
        <f t="shared" si="32"/>
        <v>0</v>
      </c>
      <c r="AV77" s="406">
        <f t="shared" si="32"/>
        <v>0</v>
      </c>
      <c r="AW77" s="406">
        <f t="shared" si="32"/>
        <v>0</v>
      </c>
      <c r="AX77" s="406">
        <f t="shared" si="32"/>
        <v>0</v>
      </c>
      <c r="AY77" s="406">
        <f t="shared" si="32"/>
        <v>0</v>
      </c>
      <c r="AZ77" s="211">
        <f>SUM(AI77:AY77)</f>
        <v>0</v>
      </c>
    </row>
    <row r="78" spans="1:52" ht="12.75" customHeight="1">
      <c r="A78" s="221"/>
      <c r="B78" s="222">
        <f>'1. SUMMARY'!C17</f>
        <v>0</v>
      </c>
      <c r="C78" s="222" t="str">
        <f>IF(+B79+1&gt;'1. SUMMARY'!$C$18,"No "&amp;C77,+B79+1)</f>
        <v>No Year 2</v>
      </c>
      <c r="D78" s="222" t="str">
        <f>IF(C78="No "&amp;C77,"No "&amp;D77,IF(+C79+1&gt;'1. SUMMARY'!$C$18,"No "&amp;D77,+C79+1))</f>
        <v>No Year 3</v>
      </c>
      <c r="E78" s="222" t="str">
        <f>IF(D78="No "&amp;D77,"No "&amp;E77,IF(+D79+1&gt;'1. SUMMARY'!$C$18,"No "&amp;E77,+D79+1))</f>
        <v>No Year 4</v>
      </c>
      <c r="F78" s="222" t="str">
        <f>IF(E78="No "&amp;E77,"No "&amp;F77,IF(+E79+1&gt;'1. SUMMARY'!$C$18,"No "&amp;F77,+E79+1))</f>
        <v>No Year 5</v>
      </c>
      <c r="G78" s="222" t="str">
        <f>IF(F78="No "&amp;F77,"No "&amp;G77,IF(+F79+1&gt;'1. SUMMARY'!$C$18,"No "&amp;G77,+F79+1))</f>
        <v>No Year 6</v>
      </c>
      <c r="H78" s="222" t="str">
        <f>IF(G78="No "&amp;G77,"No "&amp;H77,IF(+G79+1&gt;'1. SUMMARY'!$C$18,"No "&amp;H77,+G79+1))</f>
        <v>No Year 7</v>
      </c>
      <c r="I78" s="222" t="str">
        <f>IF(H78="No "&amp;H77,"No "&amp;I77,IF(+H79+1&gt;'1. SUMMARY'!$C$18,"No "&amp;I77,+H79+1))</f>
        <v>No Year 8</v>
      </c>
      <c r="J78" s="222" t="str">
        <f>IF(I78="No "&amp;I77,"No "&amp;J77,IF(+I79+1&gt;'1. SUMMARY'!$C$18,"No "&amp;J77,+I79+1))</f>
        <v>No Year 9</v>
      </c>
      <c r="K78" s="222" t="str">
        <f>IF(J78="No "&amp;J77,"No "&amp;K77,IF(+J79+1&gt;'1. SUMMARY'!$C$18,"No "&amp;K77,+J79+1))</f>
        <v>No Year 10</v>
      </c>
      <c r="L78" s="223"/>
      <c r="P78" s="207">
        <f t="shared" si="2"/>
        <v>1</v>
      </c>
      <c r="Q78" s="407">
        <f>IF(Q77=0,0,(IF(($C$33+$B$33+$D$33+$E$33)&lt;=25000,(($E$33/+$AH77)*Q77)*VLOOKUP('1. SUMMARY'!$C$20,rate,Sheet1!$T$21,0),((IF(($B$33+$C$33+$D$33)&gt;=25000,0,(((25000-($B$33+$C$33+$D$33))/+$AH77)*Q77)*(VLOOKUP('1. SUMMARY'!$C$20,rate,Sheet1!$T$21,0))))))))</f>
        <v>0</v>
      </c>
      <c r="R78" s="407">
        <f>IF(R77=0,0,(IF(($C$33+$B$33+$D$33+$E$33)&lt;=25000,(($E$33/+$AH77)*R77)*VLOOKUP('1. SUMMARY'!$C$20,rate,Sheet1!$T$21,0),((IF(($B$33+$C$33+$D$33)&gt;=25000,0,(((25000-($B$33+$C$33+$D$33))/+$AH77)*R77)*(VLOOKUP('1. SUMMARY'!$C$20,rate,Sheet1!$T$21,0))))))))</f>
        <v>0</v>
      </c>
      <c r="S78" s="407">
        <f>IF(S77=0,0,(IF(($C$33+$B$33+$D$33+$E$33)&lt;=25000,(($E$33/+$AH77)*S77)*VLOOKUP('1. SUMMARY'!$C$20,rate,Sheet1!$T$21,0),((IF(($B$33+$C$33+$D$33)&gt;=25000,0,(((25000-($B$33+$C$33+$D$33))/+$AH77)*S77)*(VLOOKUP('1. SUMMARY'!$C$20,rate,Sheet1!$T$21,0))))))))</f>
        <v>0</v>
      </c>
      <c r="T78" s="407">
        <f>IF(T77=0,0,(IF(($C$33+$B$33+$D$33+$E$33)&lt;=25000,(($E$33/+$AH77)*T77)*VLOOKUP('1. SUMMARY'!$C$20,rate,Sheet1!$T$21,0),((IF(($B$33+$C$33+$D$33)&gt;=25000,0,(((25000-($B$33+$C$33+$D$33))/+$AH77)*T77)*(VLOOKUP('1. SUMMARY'!$C$20,rate,Sheet1!$T$21,0))))))))</f>
        <v>0</v>
      </c>
      <c r="U78" s="407">
        <f>IF(U77=0,0,(IF(($C$33+$B$33+$D$33+$E$33)&lt;=25000,(($E$33/+$AH77)*U77)*VLOOKUP('1. SUMMARY'!$C$20,rate,Sheet1!$T$21,0),((IF(($B$33+$C$33+$D$33)&gt;=25000,0,(((25000-($B$33+$C$33+$D$33))/+$AH77)*U77)*(VLOOKUP('1. SUMMARY'!$C$20,rate,Sheet1!$T$21,0))))))))</f>
        <v>0</v>
      </c>
      <c r="V78" s="407">
        <f>IF(V77=0,0,(IF(($C$33+$B$33+$D$33+$E$33)&lt;=25000,(($E$33/+$AH77)*V77)*VLOOKUP('1. SUMMARY'!$C$20,rate,Sheet1!$T$21,0),((IF(($B$33+$C$33+$D$33)&gt;=25000,0,(((25000-($B$33+$C$33+$D$33))/+$AH77)*V77)*(VLOOKUP('1. SUMMARY'!$C$20,rate,Sheet1!$T$21,0))))))))</f>
        <v>0</v>
      </c>
      <c r="W78" s="407">
        <f>IF(W77=0,0,(IF(($C$33+$B$33+$D$33+$E$33)&lt;=25000,(($E$33/+$AH77)*W77)*VLOOKUP('1. SUMMARY'!$C$20,rate,Sheet1!$T$21,0),((IF(($B$33+$C$33+$D$33)&gt;=25000,0,(((25000-($B$33+$C$33+$D$33))/+$AH77)*W77)*(VLOOKUP('1. SUMMARY'!$C$20,rate,Sheet1!$T$21,0))))))))</f>
        <v>0</v>
      </c>
      <c r="X78" s="407">
        <f>IF(X77=0,0,(IF(($C$33+$B$33+$D$33+$E$33)&lt;=25000,(($E$33/+$AH77)*X77)*VLOOKUP('1. SUMMARY'!$C$20,rate,Sheet1!$T$21,0),((IF(($B$33+$C$33+$D$33)&gt;=25000,0,(((25000-($B$33+$C$33+$D$33))/+$AH77)*X77)*(VLOOKUP('1. SUMMARY'!$C$20,rate,Sheet1!$T$21,0))))))))</f>
        <v>0</v>
      </c>
      <c r="Y78" s="407">
        <f>IF(Y77=0,0,(IF(($C$33+$B$33+$D$33+$E$33)&lt;=25000,(($E$33/+$AH77)*Y77)*VLOOKUP('1. SUMMARY'!$C$20,rate,Sheet1!$T$21,0),((IF(($B$33+$C$33+$D$33)&gt;=25000,0,(((25000-($B$33+$C$33+$D$33))/+$AH77)*Y77)*(VLOOKUP('1. SUMMARY'!$C$20,rate,Sheet1!$T$21,0))))))))</f>
        <v>0</v>
      </c>
      <c r="Z78" s="407">
        <f>IF(Z77=0,0,(IF(($C$33+$B$33+$D$33+$E$33)&lt;=25000,(($E$33/+$AH77)*Z77)*VLOOKUP('1. SUMMARY'!$C$20,rate,Sheet1!$T$21,0),((IF(($B$33+$C$33+$D$33)&gt;=25000,0,(((25000-($B$33+$C$33+$D$33))/+$AH77)*Z77)*(VLOOKUP('1. SUMMARY'!$C$20,rate,Sheet1!$T$21,0))))))))</f>
        <v>0</v>
      </c>
      <c r="AA78" s="407">
        <f>IF(AA77=0,0,(IF(($C$33+$B$33+$D$33+$E$33)&lt;=25000,(($E$33/+$AH77)*AA77)*VLOOKUP('1. SUMMARY'!$C$20,rate,Sheet1!$T$21,0),((IF(($B$33+$C$33+$D$33)&gt;=25000,0,(((25000-($B$33+$C$33+$D$33))/+$AH77)*AA77)*(VLOOKUP('1. SUMMARY'!$C$20,rate,Sheet1!$T$21,0))))))))</f>
        <v>0</v>
      </c>
      <c r="AB78" s="407">
        <f>IF(AB77=0,0,(IF(($C$33+$B$33+$D$33+$E$33)&lt;=25000,(($E$33/+$AH77)*AB77)*VLOOKUP('1. SUMMARY'!$C$20,rate,Sheet1!$T$21,0),((IF(($B$33+$C$33+$D$33)&gt;=25000,0,(((25000-($B$33+$C$33+$D$33))/+$AH77)*AB77)*(VLOOKUP('1. SUMMARY'!$C$20,rate,Sheet1!$T$21,0))))))))</f>
        <v>0</v>
      </c>
      <c r="AC78" s="407">
        <f>IF(AC77=0,0,(IF(($C$33+$B$33+$D$33+$E$33)&lt;=25000,(($E$33/+$AH77)*AC77)*VLOOKUP('1. SUMMARY'!$C$20,rate,Sheet1!$T$21,0),((IF(($B$33+$C$33+$D$33)&gt;=25000,0,(((25000-($B$33+$C$33+$D$33))/+$AH77)*AC77)*(VLOOKUP('1. SUMMARY'!$C$20,rate,Sheet1!$T$21,0))))))))</f>
        <v>0</v>
      </c>
      <c r="AD78" s="407">
        <f>IF(AD77=0,0,(IF(($C$33+$B$33+$D$33+$E$33)&lt;=25000,(($E$33/+$AH77)*AD77)*VLOOKUP('1. SUMMARY'!$C$20,rate,Sheet1!$T$21,0),((IF(($B$33+$C$33+$D$33)&gt;=25000,0,(((25000-($B$33+$C$33+$D$33))/+$AH77)*AD77)*(VLOOKUP('1. SUMMARY'!$C$20,rate,Sheet1!$T$21,0))))))))</f>
        <v>0</v>
      </c>
      <c r="AE78" s="407">
        <f>IF(AE77=0,0,(IF(($C$33+$B$33+$D$33+$E$33)&lt;=25000,(($E$33/+$AH77)*AE77)*VLOOKUP('1. SUMMARY'!$C$20,rate,Sheet1!$T$21,0),((IF(($B$33+$C$33+$D$33)&gt;=25000,0,(((25000-($B$33+$C$33+$D$33))/+$AH77)*AE77)*(VLOOKUP('1. SUMMARY'!$C$20,rate,Sheet1!$T$21,0))))))))</f>
        <v>0</v>
      </c>
      <c r="AF78" s="407">
        <f>IF(AF77=0,0,(IF(($C$33+$B$33+$D$33+$E$33)&lt;=25000,(($E$33/+$AH77)*AF77)*VLOOKUP('1. SUMMARY'!$C$20,rate,Sheet1!$T$21,0),((IF(($B$33+$C$33+$D$33)&gt;=25000,0,(((25000-($B$33+$C$33+$D$33))/+$AH77)*AF77)*(VLOOKUP('1. SUMMARY'!$C$20,rate,Sheet1!$T$21,0))))))))</f>
        <v>0</v>
      </c>
      <c r="AG78" s="407">
        <f>IF(AG77=0,0,(IF(($C$33+$B$33+$D$33+$E$33)&lt;=25000,(($E$33/+$AH77)*AG77)*VLOOKUP('1. SUMMARY'!$C$20,rate,Sheet1!$T$21,0),((IF(($B$33+$C$33+$D$33)&gt;=25000,0,(((25000-($B$33+$C$33+$D$33))/+$AH77)*AG77)*(VLOOKUP('1. SUMMARY'!$C$20,rate,Sheet1!$T$21,0))))))))</f>
        <v>0</v>
      </c>
      <c r="AH78" s="219">
        <f>SUM(Q78:AG78)</f>
        <v>0</v>
      </c>
      <c r="AI78" s="407">
        <f>IF(AI77=0,0,((+$E33/$AZ$22)*AI77)*VLOOKUP('1. SUMMARY'!$C$20,rate,Sheet1!T$21,0))</f>
        <v>0</v>
      </c>
      <c r="AJ78" s="407">
        <f>IF(AJ77=0,0,((+$E33/$AZ$22)*AJ77)*VLOOKUP('1. SUMMARY'!$C$20,rate,Sheet1!U$21,0))</f>
        <v>0</v>
      </c>
      <c r="AK78" s="407">
        <f>IF(AK77=0,0,((+$E33/$AZ$22)*AK77)*VLOOKUP('1. SUMMARY'!$C$20,rate,Sheet1!V$21,0))</f>
        <v>0</v>
      </c>
      <c r="AL78" s="407">
        <f>IF(AL77=0,0,((+$E33/$AZ$22)*AL77)*VLOOKUP('1. SUMMARY'!$C$20,rate,Sheet1!W$21,0))</f>
        <v>0</v>
      </c>
      <c r="AM78" s="407">
        <f>IF(AM77=0,0,((+$E33/$AZ$22)*AM77)*VLOOKUP('1. SUMMARY'!$C$20,rate,Sheet1!X$21,0))</f>
        <v>0</v>
      </c>
      <c r="AN78" s="407">
        <f>IF(AN77=0,0,((+$E33/$AZ$22)*AN77)*VLOOKUP('1. SUMMARY'!$C$20,rate,Sheet1!Y$21,0))</f>
        <v>0</v>
      </c>
      <c r="AO78" s="407">
        <f>IF(AO77=0,0,((+$E33/$AZ$22)*AO77)*VLOOKUP('1. SUMMARY'!$C$20,rate,Sheet1!Z$21,0))</f>
        <v>0</v>
      </c>
      <c r="AP78" s="407">
        <f>IF(AP77=0,0,((+$E33/$AZ$22)*AP77)*VLOOKUP('1. SUMMARY'!$C$20,rate,Sheet1!AA$21,0))</f>
        <v>0</v>
      </c>
      <c r="AQ78" s="407">
        <f>IF(AQ77=0,0,((+$E33/$AZ$22)*AQ77)*VLOOKUP('1. SUMMARY'!$C$20,rate,Sheet1!AB$21,0))</f>
        <v>0</v>
      </c>
      <c r="AR78" s="407">
        <f>IF(AR77=0,0,((+$E33/$AZ$22)*AR77)*VLOOKUP('1. SUMMARY'!$C$20,rate,Sheet1!AC$21,0))</f>
        <v>0</v>
      </c>
      <c r="AS78" s="407">
        <f>IF(AS77=0,0,((+$E33/$AZ$22)*AS77)*VLOOKUP('1. SUMMARY'!$C$20,rate,Sheet1!AD$21,0))</f>
        <v>0</v>
      </c>
      <c r="AT78" s="407">
        <f>IF(AT77=0,0,((+$E33/$AZ$22)*AT77)*VLOOKUP('1. SUMMARY'!$C$20,rate,Sheet1!AE$21,0))</f>
        <v>0</v>
      </c>
      <c r="AU78" s="407">
        <f>IF(AU77=0,0,((+$E33/$AZ$22)*AU77)*VLOOKUP('1. SUMMARY'!$C$20,rate,Sheet1!AF$21,0))</f>
        <v>0</v>
      </c>
      <c r="AV78" s="407">
        <f>IF(AV77=0,0,((+$E33/$AZ$22)*AV77)*VLOOKUP('1. SUMMARY'!$C$20,rate,Sheet1!AG$21,0))</f>
        <v>0</v>
      </c>
      <c r="AW78" s="407">
        <f>IF(AW77=0,0,((+$E33/$AZ$22)*AW77)*VLOOKUP('1. SUMMARY'!$C$20,rate,Sheet1!AH$21,0))</f>
        <v>0</v>
      </c>
      <c r="AX78" s="407">
        <f>IF(AX77=0,0,((+$E33/$AZ$22)*AX77)*VLOOKUP('1. SUMMARY'!$C$20,rate,Sheet1!AI$21,0))</f>
        <v>0</v>
      </c>
      <c r="AY78" s="407">
        <f>IF(AY77=0,0,((+$E33/$AZ$22)*AY77)*VLOOKUP('1. SUMMARY'!$C$20,rate,Sheet1!AJ$21,0))</f>
        <v>0</v>
      </c>
      <c r="AZ78" s="211">
        <f>SUM(AI78:AY78)</f>
        <v>0</v>
      </c>
    </row>
    <row r="79" spans="1:52" ht="12.75" customHeight="1">
      <c r="A79" s="221"/>
      <c r="B79" s="224">
        <f>IF((DATE(YEAR(B78), MONTH(B78)+12, DAY(B78)-1))&lt;=('1. SUMMARY'!$C$18),DATE(YEAR(B78), MONTH(B78)+12, DAY(B78)-1),'1. SUMMARY'!$C$18)</f>
        <v>0</v>
      </c>
      <c r="C79" s="224" t="str">
        <f>IF(C78="No "&amp;C77,"No "&amp;C77,IF(B79='1. SUMMARY'!B92,"a",IF((DATE(YEAR(C78),MONTH(C78)+12,DAY(C78)-1))&lt;=('1. SUMMARY'!$C$18),DATE(YEAR(C78),MONTH(C78)+12,DAY(C78)-1),'1. SUMMARY'!$C$18)))</f>
        <v>No Year 2</v>
      </c>
      <c r="D79" s="224" t="str">
        <f>IF(D78="No "&amp;D77,"No "&amp;D77,IF(C79='1. SUMMARY'!C92,"a",IF((DATE(YEAR(D78),MONTH(D78)+12,DAY(D78)-1))&lt;=('1. SUMMARY'!$C$18),DATE(YEAR(D78),MONTH(D78)+12,DAY(D78)-1),'1. SUMMARY'!$C$18)))</f>
        <v>No Year 3</v>
      </c>
      <c r="E79" s="224" t="str">
        <f>IF(E78="No "&amp;E77,"No "&amp;E77,IF(D79='1. SUMMARY'!E92,"a",IF((DATE(YEAR(E78),MONTH(E78)+12,DAY(E78)-1))&lt;=('1. SUMMARY'!$C$18),DATE(YEAR(E78),MONTH(E78)+12,DAY(E78)-1),'1. SUMMARY'!$C$18)))</f>
        <v>No Year 4</v>
      </c>
      <c r="F79" s="224" t="str">
        <f>IF(F78="No "&amp;F77,"No "&amp;F77,IF(E79='1. SUMMARY'!F92,"a",IF((DATE(YEAR(F78),MONTH(F78)+12,DAY(F78)-1))&lt;=('1. SUMMARY'!$C$18),DATE(YEAR(F78),MONTH(F78)+12,DAY(F78)-1),'1. SUMMARY'!$C$18)))</f>
        <v>No Year 5</v>
      </c>
      <c r="G79" s="224" t="str">
        <f>IF(G78="No "&amp;G77,"No "&amp;G77,IF(F79='1. SUMMARY'!G92,"a",IF((DATE(YEAR(G78),MONTH(G78)+12,DAY(G78)-1))&lt;=('1. SUMMARY'!$C$18),DATE(YEAR(G78),MONTH(G78)+12,DAY(G78)-1),'1. SUMMARY'!$C$18)))</f>
        <v>No Year 6</v>
      </c>
      <c r="H79" s="224" t="str">
        <f>IF(H78="No "&amp;H77,"No "&amp;H77,IF(G79='1. SUMMARY'!H92,"a",IF((DATE(YEAR(H78),MONTH(H78)+12,DAY(H78)-1))&lt;=('1. SUMMARY'!$C$18),DATE(YEAR(H78),MONTH(H78)+12,DAY(H78)-1),'1. SUMMARY'!$C$18)))</f>
        <v>No Year 7</v>
      </c>
      <c r="I79" s="224" t="str">
        <f>IF(I78="No "&amp;I77,"No "&amp;I77,IF(H79='1. SUMMARY'!N92,"a",IF((DATE(YEAR(I78),MONTH(I78)+12,DAY(I78)-1))&lt;=('1. SUMMARY'!$C$18),DATE(YEAR(I78),MONTH(I78)+12,DAY(I78)-1),'1. SUMMARY'!$C$18)))</f>
        <v>No Year 8</v>
      </c>
      <c r="J79" s="224" t="str">
        <f>IF(J78="No "&amp;J77,"No "&amp;J77,IF(I79='1. SUMMARY'!O92,"a",IF((DATE(YEAR(J78),MONTH(J78)+12,DAY(J78)-1))&lt;=('1. SUMMARY'!$C$18),DATE(YEAR(J78),MONTH(J78)+12,DAY(J78)-1),'1. SUMMARY'!$C$18)))</f>
        <v>No Year 9</v>
      </c>
      <c r="K79" s="224" t="str">
        <f>IF(K78="No "&amp;K77,"No "&amp;K77,IF(J79='1. SUMMARY'!P90,"a",IF((DATE(YEAR(K78),MONTH(K78)+12,DAY(K78)-1))&lt;=('1. SUMMARY'!$C$18),DATE(YEAR(K78),MONTH(K78)+12,DAY(K78)-1),'1. SUMMARY'!$C$18)))</f>
        <v>No Year 10</v>
      </c>
      <c r="L79" s="218"/>
      <c r="P79" s="207">
        <f t="shared" si="2"/>
        <v>1</v>
      </c>
      <c r="Q79" s="407">
        <f>+Q78/VLOOKUP('1. SUMMARY'!$C$20,rate,Sheet1!T$21,0)</f>
        <v>0</v>
      </c>
      <c r="R79" s="407">
        <f>+R78/VLOOKUP('1. SUMMARY'!$C$20,rate,Sheet1!U$21,0)</f>
        <v>0</v>
      </c>
      <c r="S79" s="407">
        <f>+S78/VLOOKUP('1. SUMMARY'!$C$20,rate,Sheet1!V$21,0)</f>
        <v>0</v>
      </c>
      <c r="T79" s="407">
        <f>+T78/VLOOKUP('1. SUMMARY'!$C$20,rate,Sheet1!W$21,0)</f>
        <v>0</v>
      </c>
      <c r="U79" s="407">
        <f>+U78/VLOOKUP('1. SUMMARY'!$C$20,rate,Sheet1!X$21,0)</f>
        <v>0</v>
      </c>
      <c r="V79" s="407">
        <f>+V78/VLOOKUP('1. SUMMARY'!$C$20,rate,Sheet1!Y$21,0)</f>
        <v>0</v>
      </c>
      <c r="W79" s="407">
        <f>+W78/VLOOKUP('1. SUMMARY'!$C$20,rate,Sheet1!Z$21,0)</f>
        <v>0</v>
      </c>
      <c r="X79" s="407">
        <f>+X78/VLOOKUP('1. SUMMARY'!$C$20,rate,Sheet1!AA$21,0)</f>
        <v>0</v>
      </c>
      <c r="Y79" s="407">
        <f>+Y78/VLOOKUP('1. SUMMARY'!$C$20,rate,Sheet1!AB$21,0)</f>
        <v>0</v>
      </c>
      <c r="Z79" s="407">
        <f>+Z78/VLOOKUP('1. SUMMARY'!$C$20,rate,Sheet1!AC$21,0)</f>
        <v>0</v>
      </c>
      <c r="AA79" s="407">
        <f>+AA78/VLOOKUP('1. SUMMARY'!$C$20,rate,Sheet1!AD$21,0)</f>
        <v>0</v>
      </c>
      <c r="AB79" s="407">
        <f>+AB78/VLOOKUP('1. SUMMARY'!$C$20,rate,Sheet1!AE$21,0)</f>
        <v>0</v>
      </c>
      <c r="AC79" s="407">
        <f>+AC78/VLOOKUP('1. SUMMARY'!$C$20,rate,Sheet1!AF$21,0)</f>
        <v>0</v>
      </c>
      <c r="AD79" s="407">
        <f>+AD78/VLOOKUP('1. SUMMARY'!$C$20,rate,Sheet1!AG$21,0)</f>
        <v>0</v>
      </c>
      <c r="AE79" s="407">
        <f>+AE78/VLOOKUP('1. SUMMARY'!$C$20,rate,Sheet1!AH$21,0)</f>
        <v>0</v>
      </c>
      <c r="AF79" s="407">
        <f>+AF78/VLOOKUP('1. SUMMARY'!$C$20,rate,Sheet1!AI$21,0)</f>
        <v>0</v>
      </c>
      <c r="AG79" s="407">
        <f>+AG78/VLOOKUP('1. SUMMARY'!$C$20,rate,Sheet1!AJ$21,0)</f>
        <v>0</v>
      </c>
      <c r="AH79" s="219"/>
      <c r="AI79" s="407">
        <v>0</v>
      </c>
      <c r="AJ79" s="407">
        <v>0</v>
      </c>
      <c r="AK79" s="407">
        <v>0</v>
      </c>
      <c r="AL79" s="407">
        <v>0</v>
      </c>
      <c r="AM79" s="407">
        <v>0</v>
      </c>
      <c r="AN79" s="407">
        <v>0</v>
      </c>
      <c r="AO79" s="407">
        <v>0</v>
      </c>
      <c r="AP79" s="407">
        <v>0</v>
      </c>
      <c r="AQ79" s="407"/>
      <c r="AR79" s="407"/>
      <c r="AS79" s="407"/>
      <c r="AT79" s="407"/>
      <c r="AU79" s="407"/>
      <c r="AV79" s="407"/>
      <c r="AW79" s="407"/>
      <c r="AX79" s="407"/>
      <c r="AY79" s="407"/>
      <c r="AZ79" s="219"/>
    </row>
    <row r="80" spans="1:52" ht="12.75" customHeight="1">
      <c r="A80" s="216"/>
      <c r="B80" s="225"/>
      <c r="C80" s="225"/>
      <c r="D80" s="225"/>
      <c r="E80" s="225"/>
      <c r="F80" s="225"/>
      <c r="G80" s="225"/>
      <c r="H80" s="225"/>
      <c r="I80" s="225"/>
      <c r="J80" s="225"/>
      <c r="K80" s="225"/>
      <c r="L80" s="223"/>
      <c r="P80" s="207">
        <f t="shared" si="2"/>
        <v>1</v>
      </c>
      <c r="Q80" s="408">
        <f>Sheet1!$T$8</f>
        <v>44105</v>
      </c>
      <c r="R80" s="408">
        <f>Sheet1!$U$8</f>
        <v>44470</v>
      </c>
      <c r="S80" s="408">
        <f>Sheet1!$V$8</f>
        <v>44835</v>
      </c>
      <c r="T80" s="408">
        <f>Sheet1!$W$8</f>
        <v>45200</v>
      </c>
      <c r="U80" s="408">
        <f>Sheet1!$X$8</f>
        <v>45566</v>
      </c>
      <c r="V80" s="408">
        <f>Sheet1!$Y$8</f>
        <v>45931</v>
      </c>
      <c r="W80" s="408">
        <f>Sheet1!$Z$8</f>
        <v>46296</v>
      </c>
      <c r="X80" s="408">
        <f>Sheet1!$AA$8</f>
        <v>46661</v>
      </c>
      <c r="Y80" s="408">
        <f>Sheet1!$AB$8</f>
        <v>47027</v>
      </c>
      <c r="Z80" s="408">
        <f>Sheet1!$AC$8</f>
        <v>47392</v>
      </c>
      <c r="AA80" s="408">
        <f>$AA$5</f>
        <v>47757</v>
      </c>
      <c r="AB80" s="408">
        <f>$AB$5</f>
        <v>48122</v>
      </c>
      <c r="AC80" s="408">
        <f>$AC$5</f>
        <v>48488</v>
      </c>
      <c r="AD80" s="408">
        <f>$AD$5</f>
        <v>48853</v>
      </c>
      <c r="AE80" s="408">
        <f>$AE$5</f>
        <v>49218</v>
      </c>
      <c r="AF80" s="408">
        <f>$AF$5</f>
        <v>49583</v>
      </c>
      <c r="AG80" s="408">
        <f>$AG$5</f>
        <v>49949</v>
      </c>
      <c r="AH80" s="211"/>
      <c r="AI80" s="408">
        <f t="shared" ref="AI80:AR82" si="33">+Q80</f>
        <v>44105</v>
      </c>
      <c r="AJ80" s="408">
        <f t="shared" si="33"/>
        <v>44470</v>
      </c>
      <c r="AK80" s="408">
        <f t="shared" si="33"/>
        <v>44835</v>
      </c>
      <c r="AL80" s="408">
        <f t="shared" si="33"/>
        <v>45200</v>
      </c>
      <c r="AM80" s="408">
        <f t="shared" si="33"/>
        <v>45566</v>
      </c>
      <c r="AN80" s="408">
        <f t="shared" si="33"/>
        <v>45931</v>
      </c>
      <c r="AO80" s="408">
        <f t="shared" si="33"/>
        <v>46296</v>
      </c>
      <c r="AP80" s="408">
        <f t="shared" si="33"/>
        <v>46661</v>
      </c>
      <c r="AQ80" s="408">
        <f t="shared" si="33"/>
        <v>47027</v>
      </c>
      <c r="AR80" s="408">
        <f t="shared" si="33"/>
        <v>47392</v>
      </c>
      <c r="AS80" s="408">
        <f t="shared" ref="AS80:AY82" si="34">+AA80</f>
        <v>47757</v>
      </c>
      <c r="AT80" s="408">
        <f t="shared" si="34"/>
        <v>48122</v>
      </c>
      <c r="AU80" s="408">
        <f t="shared" si="34"/>
        <v>48488</v>
      </c>
      <c r="AV80" s="408">
        <f t="shared" si="34"/>
        <v>48853</v>
      </c>
      <c r="AW80" s="408">
        <f t="shared" si="34"/>
        <v>49218</v>
      </c>
      <c r="AX80" s="408">
        <f t="shared" si="34"/>
        <v>49583</v>
      </c>
      <c r="AY80" s="408">
        <f t="shared" si="34"/>
        <v>49949</v>
      </c>
      <c r="AZ80" s="211"/>
    </row>
    <row r="81" spans="1:52" ht="12.75" customHeight="1">
      <c r="A81" s="226" t="s">
        <v>150</v>
      </c>
      <c r="B81" s="227"/>
      <c r="C81" s="227"/>
      <c r="D81" s="227"/>
      <c r="E81" s="227"/>
      <c r="F81" s="227"/>
      <c r="G81" s="228"/>
      <c r="H81" s="228"/>
      <c r="I81" s="228"/>
      <c r="J81" s="228"/>
      <c r="K81" s="228"/>
      <c r="L81" s="229">
        <f>SUM(B81:K81)</f>
        <v>0</v>
      </c>
      <c r="P81" s="207">
        <f t="shared" si="2"/>
        <v>1</v>
      </c>
      <c r="Q81" s="408">
        <f>Sheet1!$T$9</f>
        <v>44469</v>
      </c>
      <c r="R81" s="408">
        <f>Sheet1!$U$9</f>
        <v>44834</v>
      </c>
      <c r="S81" s="408">
        <f>Sheet1!$V$9</f>
        <v>45199</v>
      </c>
      <c r="T81" s="408">
        <f>Sheet1!$W$9</f>
        <v>45565</v>
      </c>
      <c r="U81" s="408">
        <f>Sheet1!$X$9</f>
        <v>45930</v>
      </c>
      <c r="V81" s="408">
        <f>Sheet1!$Y$9</f>
        <v>46295</v>
      </c>
      <c r="W81" s="408">
        <f>Sheet1!$Z$9</f>
        <v>46660</v>
      </c>
      <c r="X81" s="408">
        <f>Sheet1!$AA$9</f>
        <v>47026</v>
      </c>
      <c r="Y81" s="408">
        <f>Sheet1!$AB$9</f>
        <v>47391</v>
      </c>
      <c r="Z81" s="408">
        <f>Sheet1!$AC$9</f>
        <v>47756</v>
      </c>
      <c r="AA81" s="408">
        <f>$AA$6</f>
        <v>48121</v>
      </c>
      <c r="AB81" s="408">
        <f>$AB$6</f>
        <v>48487</v>
      </c>
      <c r="AC81" s="408">
        <f>$AC$6</f>
        <v>48852</v>
      </c>
      <c r="AD81" s="408">
        <f>$AD$6</f>
        <v>49217</v>
      </c>
      <c r="AE81" s="408">
        <f>$AE$6</f>
        <v>49582</v>
      </c>
      <c r="AF81" s="408">
        <f>$AF$6</f>
        <v>49948</v>
      </c>
      <c r="AG81" s="408">
        <f>$AG$6</f>
        <v>50313</v>
      </c>
      <c r="AH81" s="211"/>
      <c r="AI81" s="408">
        <f t="shared" si="33"/>
        <v>44469</v>
      </c>
      <c r="AJ81" s="408">
        <f t="shared" si="33"/>
        <v>44834</v>
      </c>
      <c r="AK81" s="408">
        <f t="shared" si="33"/>
        <v>45199</v>
      </c>
      <c r="AL81" s="408">
        <f t="shared" si="33"/>
        <v>45565</v>
      </c>
      <c r="AM81" s="408">
        <f t="shared" si="33"/>
        <v>45930</v>
      </c>
      <c r="AN81" s="408">
        <f t="shared" si="33"/>
        <v>46295</v>
      </c>
      <c r="AO81" s="408">
        <f t="shared" si="33"/>
        <v>46660</v>
      </c>
      <c r="AP81" s="408">
        <f t="shared" si="33"/>
        <v>47026</v>
      </c>
      <c r="AQ81" s="408">
        <f t="shared" si="33"/>
        <v>47391</v>
      </c>
      <c r="AR81" s="408">
        <f t="shared" si="33"/>
        <v>47756</v>
      </c>
      <c r="AS81" s="408">
        <f t="shared" si="34"/>
        <v>48121</v>
      </c>
      <c r="AT81" s="408">
        <f t="shared" si="34"/>
        <v>48487</v>
      </c>
      <c r="AU81" s="408">
        <f t="shared" si="34"/>
        <v>48852</v>
      </c>
      <c r="AV81" s="408">
        <f t="shared" si="34"/>
        <v>49217</v>
      </c>
      <c r="AW81" s="408">
        <f t="shared" si="34"/>
        <v>49582</v>
      </c>
      <c r="AX81" s="408">
        <f t="shared" si="34"/>
        <v>49948</v>
      </c>
      <c r="AY81" s="408">
        <f t="shared" si="34"/>
        <v>50313</v>
      </c>
      <c r="AZ81" s="211"/>
    </row>
    <row r="82" spans="1:52" ht="12.75" customHeight="1">
      <c r="A82" s="221" t="s">
        <v>151</v>
      </c>
      <c r="B82" s="227"/>
      <c r="C82" s="227"/>
      <c r="D82" s="227"/>
      <c r="E82" s="227"/>
      <c r="F82" s="227"/>
      <c r="G82" s="228"/>
      <c r="H82" s="228"/>
      <c r="I82" s="228"/>
      <c r="J82" s="228"/>
      <c r="K82" s="228"/>
      <c r="L82" s="229">
        <f>SUM(B82:K82)</f>
        <v>0</v>
      </c>
      <c r="O82" s="207">
        <v>5</v>
      </c>
      <c r="P82" s="207">
        <f t="shared" si="2"/>
        <v>1</v>
      </c>
      <c r="Q82" s="409">
        <f>IF(IF(Q81&lt;F27,0,DATEDIF(F27,Q81+1,"m"))&lt;0,0,IF(Q81&lt;F27,0,DATEDIF(F27,Q81+1,"m")))</f>
        <v>0</v>
      </c>
      <c r="R82" s="409">
        <f>IF(IF(Q82=12,0,IF(R81&gt;F28,12-DATEDIF(F28,R81+1,"m"),IF(R81&lt;F27,0,DATEDIF(F27,R81+1,"m"))))&lt;0,0,IF(Q82=12,0,IF(R81&gt;F28,12-DATEDIF(F28,R81+1,"m"),IF(R81&lt;F27,0,DATEDIF(F27,R81+1,"m")))))</f>
        <v>0</v>
      </c>
      <c r="S82" s="409">
        <f>IF(IF(Q82+R82=12,0,IF(S81&gt;F28,12-DATEDIF(F28,S81+1,"m"),IF(S81&lt;F27,0,DATEDIF(F27,S81+1,"m"))))&lt;0,0,IF(Q82+R82=12,0,IF(S81&gt;F28,12-DATEDIF(F28,S81+1,"m"),IF(S81&lt;F27,0,DATEDIF(F27,S81+1,"m")))))</f>
        <v>0</v>
      </c>
      <c r="T82" s="409">
        <f>IF(IF(R82+S82+Q82=12,0,IF(T81&gt;F28,12-DATEDIF(F28,T81+1,"m"),IF(T81&lt;F27,0,DATEDIF(F27,T81+1,"m"))))&lt;0,0,IF(R82+S82+Q82=12,0,IF(T81&gt;F28,12-DATEDIF(F28,T81+1,"m"),IF(T81&lt;F27,0,DATEDIF(F27,T81+1,"m")))))</f>
        <v>0</v>
      </c>
      <c r="U82" s="409">
        <f>IF(IF(S82+T82+R82+Q82=12,0,IF(U81&gt;$F$28,12-DATEDIF($F$28,U81+1,"m"),IF(U81&lt;$F$27,0,DATEDIF($F$27,U81+1,"m"))))&lt;0,0,IF(S82+T82+R82+Q82=12,0,IF(U81&gt;$F$28,12-DATEDIF($F$28,U81+1,"m"),IF(U81&lt;$F$27,0,DATEDIF($F$27,U81+1,"m")))))</f>
        <v>0</v>
      </c>
      <c r="V82" s="409">
        <f>IF(IF(T82+U82+S82+R82+Q82=12,0,IF(V81&gt;$F$28,12-DATEDIF($F$28,V81+1,"m"),IF(V81&lt;$F$27,0,DATEDIF($F$27,V81+1,"m"))))&lt;0,0,IF(T82+U82+S82+R82+Q82=12,0,IF(V81&gt;$F$28,12-DATEDIF($F$28,V81+1,"m"),IF(V81&lt;$F$27,0,DATEDIF($F$27,V81+1,"m")))))</f>
        <v>0</v>
      </c>
      <c r="W82" s="409">
        <f>IF(IF(U82+V82+T82+S82+R82+Q82=12,0,IF(W81&gt;$F$28,12-DATEDIF($F$28,W81+1,"m"),IF(W81&lt;$F$27,0,DATEDIF($F$27,W81+1,"m"))))&lt;0,0,IF(U82+V82+T82+S82+R82+Q82=12,0,IF(W81&gt;$F$28,12-DATEDIF($F$28,W81+1,"m"),IF(W81&lt;$F$27,0,DATEDIF($F$27,W81+1,"m")))))</f>
        <v>0</v>
      </c>
      <c r="X82" s="409">
        <f>IF(IF(V82+W82+U82+T82+S82+R82+Q82=12,0,IF(X81&gt;$F$28,12-DATEDIF($F$28,X81+1,"m"),IF(X81&lt;$F$27,0,DATEDIF($F$27,X81+1,"m"))))&lt;0,0,IF(V82+W82+U82+T82+S82+R82+Q82=12,0,IF(X81&gt;$F$28,12-DATEDIF($F$28,X81+1,"m"),IF(X81&lt;$F$27,0,DATEDIF($F$27,X81+1,"m")))))</f>
        <v>0</v>
      </c>
      <c r="Y82" s="409">
        <f>IF(IF(W82+X82+V82+U82+T82+S82+R82=12,0,IF(Y81&gt;$F$28,12-DATEDIF($F$28,Y81+1,"m"),IF(Y81&lt;$F$27,0,DATEDIF($F$27,Y81+1,"m"))))&lt;0,0,IF(W82+X82+V82+U82+T82+S82+R82=12,0,IF(Y81&gt;$F$28,12-DATEDIF($F$28,Y81+1,"m"),IF(Y81&lt;$F$27,0,DATEDIF($F$27,Y81+1,"m")))))</f>
        <v>0</v>
      </c>
      <c r="Z82" s="409">
        <f>IF(IF(X82+Y82+W82+V82+U82+T82+S82=12,0,IF(Z81&gt;$F$28,12-DATEDIF($F$28,Z81+1,"m"),IF(Z81&lt;$F$27,0,DATEDIF($F$27,Z81+1,"m"))))&lt;0,0,IF(X82+Y82+W82+V82+U82+T82+S82=12,0,IF(Z81&gt;$F$28,12-DATEDIF($F$28,Z81+1,"m"),IF(Z81&lt;$F$27,0,DATEDIF($F$27,Z81+1,"m")))))</f>
        <v>0</v>
      </c>
      <c r="AA82" s="409"/>
      <c r="AB82" s="409"/>
      <c r="AC82" s="409"/>
      <c r="AD82" s="409"/>
      <c r="AE82" s="409"/>
      <c r="AF82" s="409"/>
      <c r="AG82" s="409"/>
      <c r="AH82" s="423">
        <f>SUM(Q82:AG82)</f>
        <v>0</v>
      </c>
      <c r="AI82" s="409">
        <f t="shared" si="33"/>
        <v>0</v>
      </c>
      <c r="AJ82" s="409">
        <f t="shared" si="33"/>
        <v>0</v>
      </c>
      <c r="AK82" s="409">
        <f t="shared" si="33"/>
        <v>0</v>
      </c>
      <c r="AL82" s="409">
        <f t="shared" si="33"/>
        <v>0</v>
      </c>
      <c r="AM82" s="409">
        <f t="shared" si="33"/>
        <v>0</v>
      </c>
      <c r="AN82" s="409">
        <f t="shared" si="33"/>
        <v>0</v>
      </c>
      <c r="AO82" s="409">
        <f t="shared" si="33"/>
        <v>0</v>
      </c>
      <c r="AP82" s="409">
        <f t="shared" si="33"/>
        <v>0</v>
      </c>
      <c r="AQ82" s="409">
        <f t="shared" si="33"/>
        <v>0</v>
      </c>
      <c r="AR82" s="409">
        <f t="shared" si="33"/>
        <v>0</v>
      </c>
      <c r="AS82" s="409">
        <f t="shared" si="34"/>
        <v>0</v>
      </c>
      <c r="AT82" s="409">
        <f t="shared" si="34"/>
        <v>0</v>
      </c>
      <c r="AU82" s="409">
        <f t="shared" si="34"/>
        <v>0</v>
      </c>
      <c r="AV82" s="409">
        <f t="shared" si="34"/>
        <v>0</v>
      </c>
      <c r="AW82" s="409">
        <f t="shared" si="34"/>
        <v>0</v>
      </c>
      <c r="AX82" s="409">
        <f t="shared" si="34"/>
        <v>0</v>
      </c>
      <c r="AY82" s="409">
        <f t="shared" si="34"/>
        <v>0</v>
      </c>
      <c r="AZ82" s="211">
        <f>SUM(AI82:AY82)</f>
        <v>0</v>
      </c>
    </row>
    <row r="83" spans="1:52" ht="12.75" customHeight="1">
      <c r="A83" s="216"/>
      <c r="B83" s="217"/>
      <c r="C83" s="217"/>
      <c r="D83" s="217"/>
      <c r="E83" s="217"/>
      <c r="F83" s="217"/>
      <c r="G83" s="217"/>
      <c r="H83" s="217"/>
      <c r="I83" s="217"/>
      <c r="J83" s="217"/>
      <c r="K83" s="217"/>
      <c r="L83" s="218"/>
      <c r="P83" s="207">
        <f t="shared" si="2"/>
        <v>1</v>
      </c>
      <c r="Q83" s="410">
        <f>IF(Q82=0,0,(IF(($C$33+$B$33+$D$33+$E$33+$F$33)&lt;=25000,(($F$33/+$AH82)*Q82)*VLOOKUP('1. SUMMARY'!$C$20,rate,Sheet1!T$21,0),((IF(($B$33+$C$33+$D$33+$E$33)&gt;=25000,0,(((25000-($B$33+$C$33+$D$33+$E$33))/+$AH82)*Q82)*(VLOOKUP('1. SUMMARY'!$C$20,rate,Sheet1!T$21,0))))))))</f>
        <v>0</v>
      </c>
      <c r="R83" s="410">
        <f>IF(R82=0,0,(IF(($C$33+$B$33+$D$33+$E$33+$F$33)&lt;=25000,(($F$33/+$AH82)*R82)*VLOOKUP('1. SUMMARY'!$C$20,rate,Sheet1!U$21,0),((IF(($B$33+$C$33+$D$33+$E$33)&gt;=25000,0,(((25000-($B$33+$C$33+$D$33+$E$33))/+$AH82)*R82)*(VLOOKUP('1. SUMMARY'!$C$20,rate,Sheet1!U$21,0))))))))</f>
        <v>0</v>
      </c>
      <c r="S83" s="410">
        <f>IF(S82=0,0,(IF(($C$33+$B$33+$D$33+$E$33+$F$33)&lt;=25000,(($F$33/+$AH82)*S82)*VLOOKUP('1. SUMMARY'!$C$20,rate,Sheet1!V$21,0),((IF(($B$33+$C$33+$D$33+$E$33)&gt;=25000,0,(((25000-($B$33+$C$33+$D$33+$E$33))/+$AH82)*S82)*(VLOOKUP('1. SUMMARY'!$C$20,rate,Sheet1!V$21,0))))))))</f>
        <v>0</v>
      </c>
      <c r="T83" s="410">
        <f>IF(T82=0,0,(IF(($C$33+$B$33+$D$33+$E$33+$F$33)&lt;=25000,(($F$33/+$AH82)*T82)*VLOOKUP('1. SUMMARY'!$C$20,rate,Sheet1!W$21,0),((IF(($B$33+$C$33+$D$33+$E$33)&gt;=25000,0,(((25000-($B$33+$C$33+$D$33+$E$33))/+$AH82)*T82)*(VLOOKUP('1. SUMMARY'!$C$20,rate,Sheet1!W$21,0))))))))</f>
        <v>0</v>
      </c>
      <c r="U83" s="410">
        <f>IF(U82=0,0,(IF(($C$33+$B$33+$D$33+$E$33+$F$33)&lt;=25000,(($F$33/+$AH82)*U82)*VLOOKUP('1. SUMMARY'!$C$20,rate,Sheet1!X$21,0),((IF(($B$33+$C$33+$D$33+$E$33)&gt;=25000,0,(((25000-($B$33+$C$33+$D$33+$E$33))/+$AH82)*U82)*(VLOOKUP('1. SUMMARY'!$C$20,rate,Sheet1!X$21,0))))))))</f>
        <v>0</v>
      </c>
      <c r="V83" s="410">
        <f>IF(V82=0,0,(IF(($C$33+$B$33+$D$33+$E$33+$F$33)&lt;=25000,(($F$33/+$AH82)*V82)*VLOOKUP('1. SUMMARY'!$C$20,rate,Sheet1!Y$21,0),((IF(($B$33+$C$33+$D$33+$E$33)&gt;=25000,0,(((25000-($B$33+$C$33+$D$33+$E$33))/+$AH82)*V82)*(VLOOKUP('1. SUMMARY'!$C$20,rate,Sheet1!Y$21,0))))))))</f>
        <v>0</v>
      </c>
      <c r="W83" s="410">
        <f>IF(W82=0,0,(IF(($C$33+$B$33+$D$33+$E$33+$F$33)&lt;=25000,(($F$33/+$AH82)*W82)*VLOOKUP('1. SUMMARY'!$C$20,rate,Sheet1!Z$21,0),((IF(($B$33+$C$33+$D$33+$E$33)&gt;=25000,0,(((25000-($B$33+$C$33+$D$33+$E$33))/+$AH82)*W82)*(VLOOKUP('1. SUMMARY'!$C$20,rate,Sheet1!Z$21,0))))))))</f>
        <v>0</v>
      </c>
      <c r="X83" s="410">
        <f>IF(X82=0,0,(IF(($C$33+$B$33+$D$33+$E$33+$F$33)&lt;=25000,(($F$33/+$AH82)*X82)*VLOOKUP('1. SUMMARY'!$C$20,rate,Sheet1!AA$21,0),((IF(($B$33+$C$33+$D$33+$E$33)&gt;=25000,0,(((25000-($B$33+$C$33+$D$33+$E$33))/+$AH82)*X82)*(VLOOKUP('1. SUMMARY'!$C$20,rate,Sheet1!AA$21,0))))))))</f>
        <v>0</v>
      </c>
      <c r="Y83" s="410">
        <f>IF(Y82=0,0,(IF(($C$33+$B$33+$D$33+$E$33+$F$33)&lt;=25000,(($F$33/+$AH82)*Y82)*VLOOKUP('1. SUMMARY'!$C$20,rate,Sheet1!AB$21,0),((IF(($B$33+$C$33+$D$33+$E$33)&gt;=25000,0,(((25000-($B$33+$C$33+$D$33+$E$33))/+$AH82)*Y82)*(VLOOKUP('1. SUMMARY'!$C$20,rate,Sheet1!AB$21,0))))))))</f>
        <v>0</v>
      </c>
      <c r="Z83" s="410">
        <f>IF(Z82=0,0,(IF(($C$33+$B$33+$D$33+$E$33+$F$33)&lt;=25000,(($F$33/+$AH82)*Z82)*VLOOKUP('1. SUMMARY'!$C$20,rate,Sheet1!AC$21,0),((IF(($B$33+$C$33+$D$33+$E$33)&gt;=25000,0,(((25000-($B$33+$C$33+$D$33+$E$33))/+$AH82)*Z82)*(VLOOKUP('1. SUMMARY'!$C$20,rate,Sheet1!AC$21,0))))))))</f>
        <v>0</v>
      </c>
      <c r="AA83" s="410">
        <f>IF(AA82=0,0,(IF(($C$33+$B$33+$D$33+$E$33+$F$33)&lt;=25000,(($F$33/+$AH82)*AA82)*VLOOKUP('1. SUMMARY'!$C$20,rate,Sheet1!AD$21,0),((IF(($B$33+$C$33+$D$33+$E$33)&gt;=25000,0,(((25000-($B$33+$C$33+$D$33+$E$33))/+$AH82)*AA82)*(VLOOKUP('1. SUMMARY'!$C$20,rate,Sheet1!AD$21,0))))))))</f>
        <v>0</v>
      </c>
      <c r="AB83" s="410">
        <f>IF(AB82=0,0,(IF(($C$33+$B$33+$D$33+$E$33+$F$33)&lt;=25000,(($F$33/+$AH82)*AB82)*VLOOKUP('1. SUMMARY'!$C$20,rate,Sheet1!AE$21,0),((IF(($B$33+$C$33+$D$33+$E$33)&gt;=25000,0,(((25000-($B$33+$C$33+$D$33+$E$33))/+$AH82)*AB82)*(VLOOKUP('1. SUMMARY'!$C$20,rate,Sheet1!AE$21,0))))))))</f>
        <v>0</v>
      </c>
      <c r="AC83" s="410">
        <f>IF(AC82=0,0,(IF(($C$33+$B$33+$D$33+$E$33+$F$33)&lt;=25000,(($F$33/+$AH82)*AC82)*VLOOKUP('1. SUMMARY'!$C$20,rate,Sheet1!AF$21,0),((IF(($B$33+$C$33+$D$33+$E$33)&gt;=25000,0,(((25000-($B$33+$C$33+$D$33+$E$33))/+$AH82)*AC82)*(VLOOKUP('1. SUMMARY'!$C$20,rate,Sheet1!AF$21,0))))))))</f>
        <v>0</v>
      </c>
      <c r="AD83" s="410">
        <f>IF(AD82=0,0,(IF(($C$33+$B$33+$D$33+$E$33+$F$33)&lt;=25000,(($F$33/+$AH82)*AD82)*VLOOKUP('1. SUMMARY'!$C$20,rate,Sheet1!AG$21,0),((IF(($B$33+$C$33+$D$33+$E$33)&gt;=25000,0,(((25000-($B$33+$C$33+$D$33+$E$33))/+$AH82)*AD82)*(VLOOKUP('1. SUMMARY'!$C$20,rate,Sheet1!AG$21,0))))))))</f>
        <v>0</v>
      </c>
      <c r="AE83" s="410">
        <f>IF(AE82=0,0,(IF(($C$33+$B$33+$D$33+$E$33+$F$33)&lt;=25000,(($F$33/+$AH82)*AE82)*VLOOKUP('1. SUMMARY'!$C$20,rate,Sheet1!AH$21,0),((IF(($B$33+$C$33+$D$33+$E$33)&gt;=25000,0,(((25000-($B$33+$C$33+$D$33+$E$33))/+$AH82)*AE82)*(VLOOKUP('1. SUMMARY'!$C$20,rate,Sheet1!AH$21,0))))))))</f>
        <v>0</v>
      </c>
      <c r="AF83" s="410">
        <f>IF(AF82=0,0,(IF(($C$33+$B$33+$D$33+$E$33+$F$33)&lt;=25000,(($F$33/+$AH82)*AF82)*VLOOKUP('1. SUMMARY'!$C$20,rate,Sheet1!AI$21,0),((IF(($B$33+$C$33+$D$33+$E$33)&gt;=25000,0,(((25000-($B$33+$C$33+$D$33+$E$33))/+$AH82)*AF82)*(VLOOKUP('1. SUMMARY'!$C$20,rate,Sheet1!AI$21,0))))))))</f>
        <v>0</v>
      </c>
      <c r="AG83" s="410">
        <f>IF(AG82=0,0,(IF(($C$33+$B$33+$D$33+$E$33+$F$33)&lt;=25000,(($F$33/+$AH82)*AG82)*VLOOKUP('1. SUMMARY'!$C$20,rate,Sheet1!AJ$21,0),((IF(($B$33+$C$33+$D$33+$E$33)&gt;=25000,0,(((25000-($B$33+$C$33+$D$33+$E$33))/+$AH82)*AG82)*(VLOOKUP('1. SUMMARY'!$C$20,rate,Sheet1!AJ$21,0))))))))</f>
        <v>0</v>
      </c>
      <c r="AH83" s="219">
        <f>SUM(Q83:AG83)</f>
        <v>0</v>
      </c>
      <c r="AI83" s="410">
        <f>IF(AI82=0,0,((+$F33/$AZ82)*AI82)*VLOOKUP('1. SUMMARY'!$C$20,rate,Sheet1!T$21,0))</f>
        <v>0</v>
      </c>
      <c r="AJ83" s="410">
        <f>IF(AJ82=0,0,((+$F33/$AZ82)*AJ82)*VLOOKUP('1. SUMMARY'!$C$20,rate,Sheet1!U$21,0))</f>
        <v>0</v>
      </c>
      <c r="AK83" s="410">
        <f>IF(AK82=0,0,((+$F33/$AZ82)*AK82)*VLOOKUP('1. SUMMARY'!$C$20,rate,Sheet1!V$21,0))</f>
        <v>0</v>
      </c>
      <c r="AL83" s="410">
        <f>IF(AL82=0,0,((+$F33/$AZ82)*AL82)*VLOOKUP('1. SUMMARY'!$C$20,rate,Sheet1!W$21,0))</f>
        <v>0</v>
      </c>
      <c r="AM83" s="410">
        <f>IF(AM82=0,0,((+$F33/$AZ82)*AM82)*VLOOKUP('1. SUMMARY'!$C$20,rate,Sheet1!X$21,0))</f>
        <v>0</v>
      </c>
      <c r="AN83" s="410">
        <f>IF(AN82=0,0,((+$F33/$AZ82)*AN82)*VLOOKUP('1. SUMMARY'!$C$20,rate,Sheet1!Y$21,0))</f>
        <v>0</v>
      </c>
      <c r="AO83" s="410">
        <f>IF(AO82=0,0,((+$F33/$AZ82)*AO82)*VLOOKUP('1. SUMMARY'!$C$20,rate,Sheet1!Z$21,0))</f>
        <v>0</v>
      </c>
      <c r="AP83" s="410">
        <f>IF(AP82=0,0,((+$F33/$AZ82)*AP82)*VLOOKUP('1. SUMMARY'!$C$20,rate,Sheet1!AA$21,0))</f>
        <v>0</v>
      </c>
      <c r="AQ83" s="410">
        <f>IF(AQ82=0,0,((+$F33/$AZ82)*AQ82)*VLOOKUP('1. SUMMARY'!$C$20,rate,Sheet1!AB$21,0))</f>
        <v>0</v>
      </c>
      <c r="AR83" s="410">
        <f>IF(AR82=0,0,((+$F33/$AZ82)*AR82)*VLOOKUP('1. SUMMARY'!$C$20,rate,Sheet1!AC$21,0))</f>
        <v>0</v>
      </c>
      <c r="AS83" s="410">
        <f>IF(AS82=0,0,((+$F33/$AZ82)*AS82)*VLOOKUP('1. SUMMARY'!$C$20,rate,Sheet1!AD$21,0))</f>
        <v>0</v>
      </c>
      <c r="AT83" s="410">
        <f>IF(AT82=0,0,((+$F33/$AZ82)*AT82)*VLOOKUP('1. SUMMARY'!$C$20,rate,Sheet1!AE$21,0))</f>
        <v>0</v>
      </c>
      <c r="AU83" s="410">
        <f>IF(AU82=0,0,((+$F33/$AZ82)*AU82)*VLOOKUP('1. SUMMARY'!$C$20,rate,Sheet1!AF$21,0))</f>
        <v>0</v>
      </c>
      <c r="AV83" s="410">
        <f>IF(AV82=0,0,((+$F33/$AZ82)*AV82)*VLOOKUP('1. SUMMARY'!$C$20,rate,Sheet1!AG$21,0))</f>
        <v>0</v>
      </c>
      <c r="AW83" s="410">
        <f>IF(AW82=0,0,((+$F33/$AZ82)*AW82)*VLOOKUP('1. SUMMARY'!$C$20,rate,Sheet1!AH$21,0))</f>
        <v>0</v>
      </c>
      <c r="AX83" s="410">
        <f>IF(AX82=0,0,((+$F33/$AZ82)*AX82)*VLOOKUP('1. SUMMARY'!$C$20,rate,Sheet1!AI$21,0))</f>
        <v>0</v>
      </c>
      <c r="AY83" s="410">
        <f>IF(AY82=0,0,((+$F33/$AZ82)*AY82)*VLOOKUP('1. SUMMARY'!$C$20,rate,Sheet1!AJ$21,0))</f>
        <v>0</v>
      </c>
      <c r="AZ83" s="211">
        <f>SUM(AI83:AY83)</f>
        <v>0</v>
      </c>
    </row>
    <row r="84" spans="1:52" ht="12.75" customHeight="1">
      <c r="A84" s="231" t="s">
        <v>152</v>
      </c>
      <c r="B84" s="146">
        <f t="shared" ref="B84:K84" si="35">SUM(B81:B82)</f>
        <v>0</v>
      </c>
      <c r="C84" s="146">
        <f t="shared" si="35"/>
        <v>0</v>
      </c>
      <c r="D84" s="146">
        <f t="shared" si="35"/>
        <v>0</v>
      </c>
      <c r="E84" s="146">
        <f t="shared" si="35"/>
        <v>0</v>
      </c>
      <c r="F84" s="146">
        <f t="shared" si="35"/>
        <v>0</v>
      </c>
      <c r="G84" s="146">
        <f t="shared" si="35"/>
        <v>0</v>
      </c>
      <c r="H84" s="146">
        <f t="shared" si="35"/>
        <v>0</v>
      </c>
      <c r="I84" s="146">
        <f t="shared" si="35"/>
        <v>0</v>
      </c>
      <c r="J84" s="146">
        <f t="shared" si="35"/>
        <v>0</v>
      </c>
      <c r="K84" s="146">
        <f t="shared" si="35"/>
        <v>0</v>
      </c>
      <c r="L84" s="229">
        <f>SUM(B84:K84)</f>
        <v>0</v>
      </c>
      <c r="P84" s="207">
        <f t="shared" si="2"/>
        <v>1</v>
      </c>
      <c r="Q84" s="410">
        <f>+Q83/VLOOKUP('1. SUMMARY'!$C$20,rate,Sheet1!T$21,0)</f>
        <v>0</v>
      </c>
      <c r="R84" s="410">
        <f>+R83/VLOOKUP('1. SUMMARY'!$C$20,rate,Sheet1!U$21,0)</f>
        <v>0</v>
      </c>
      <c r="S84" s="410">
        <f>+S83/VLOOKUP('1. SUMMARY'!$C$20,rate,Sheet1!V$21,0)</f>
        <v>0</v>
      </c>
      <c r="T84" s="410">
        <f>+T83/VLOOKUP('1. SUMMARY'!$C$20,rate,Sheet1!W$21,0)</f>
        <v>0</v>
      </c>
      <c r="U84" s="410">
        <f>+U83/VLOOKUP('1. SUMMARY'!$C$20,rate,Sheet1!X$21,0)</f>
        <v>0</v>
      </c>
      <c r="V84" s="410">
        <f>+V83/VLOOKUP('1. SUMMARY'!$C$20,rate,Sheet1!Y$21,0)</f>
        <v>0</v>
      </c>
      <c r="W84" s="410">
        <f>+W83/VLOOKUP('1. SUMMARY'!$C$20,rate,Sheet1!Z$21,0)</f>
        <v>0</v>
      </c>
      <c r="X84" s="410">
        <f>+X83/VLOOKUP('1. SUMMARY'!$C$20,rate,Sheet1!AA$21,0)</f>
        <v>0</v>
      </c>
      <c r="Y84" s="410">
        <f>+Y83/VLOOKUP('1. SUMMARY'!$C$20,rate,Sheet1!AB$21,0)</f>
        <v>0</v>
      </c>
      <c r="Z84" s="410">
        <f>+Z83/VLOOKUP('1. SUMMARY'!$C$20,rate,Sheet1!AC$21,0)</f>
        <v>0</v>
      </c>
      <c r="AA84" s="410">
        <f>+AA83/VLOOKUP('1. SUMMARY'!$C$20,rate,Sheet1!AD$21,0)</f>
        <v>0</v>
      </c>
      <c r="AB84" s="410">
        <f>+AB83/VLOOKUP('1. SUMMARY'!$C$20,rate,Sheet1!AE$21,0)</f>
        <v>0</v>
      </c>
      <c r="AC84" s="410">
        <f>+AC83/VLOOKUP('1. SUMMARY'!$C$20,rate,Sheet1!AF$21,0)</f>
        <v>0</v>
      </c>
      <c r="AD84" s="410">
        <f>+AD83/VLOOKUP('1. SUMMARY'!$C$20,rate,Sheet1!AG$21,0)</f>
        <v>0</v>
      </c>
      <c r="AE84" s="410">
        <f>+AE83/VLOOKUP('1. SUMMARY'!$C$20,rate,Sheet1!AH$21,0)</f>
        <v>0</v>
      </c>
      <c r="AF84" s="410">
        <f>+AF83/VLOOKUP('1. SUMMARY'!$C$20,rate,Sheet1!AI$21,0)</f>
        <v>0</v>
      </c>
      <c r="AG84" s="410">
        <f>+AG83/VLOOKUP('1. SUMMARY'!$C$20,rate,Sheet1!AJ$21,0)</f>
        <v>0</v>
      </c>
      <c r="AH84" s="219"/>
      <c r="AI84" s="410">
        <v>0</v>
      </c>
      <c r="AJ84" s="410">
        <v>0</v>
      </c>
      <c r="AK84" s="410">
        <v>0</v>
      </c>
      <c r="AL84" s="410">
        <v>0</v>
      </c>
      <c r="AM84" s="410">
        <v>0</v>
      </c>
      <c r="AN84" s="410">
        <v>0</v>
      </c>
      <c r="AO84" s="410">
        <v>0</v>
      </c>
      <c r="AP84" s="410">
        <v>0</v>
      </c>
      <c r="AQ84" s="410"/>
      <c r="AR84" s="410"/>
      <c r="AS84" s="410"/>
      <c r="AT84" s="410"/>
      <c r="AU84" s="410"/>
      <c r="AV84" s="410"/>
      <c r="AW84" s="410"/>
      <c r="AX84" s="410"/>
      <c r="AY84" s="410"/>
      <c r="AZ84" s="219"/>
    </row>
    <row r="85" spans="1:52" ht="12.75" customHeight="1">
      <c r="A85" s="216"/>
      <c r="B85" s="217"/>
      <c r="C85" s="217"/>
      <c r="D85" s="217"/>
      <c r="E85" s="217"/>
      <c r="F85" s="217"/>
      <c r="G85" s="217"/>
      <c r="H85" s="217"/>
      <c r="I85" s="217"/>
      <c r="J85" s="217"/>
      <c r="K85" s="217"/>
      <c r="L85" s="218"/>
      <c r="P85" s="207">
        <f t="shared" ref="P85:P109" si="36">IF(Q110=39356,(+P84+1),P84)</f>
        <v>1</v>
      </c>
      <c r="Q85" s="413">
        <f>Sheet1!$T$8</f>
        <v>44105</v>
      </c>
      <c r="R85" s="413">
        <f>Sheet1!$U$8</f>
        <v>44470</v>
      </c>
      <c r="S85" s="413">
        <f>Sheet1!$V$8</f>
        <v>44835</v>
      </c>
      <c r="T85" s="413">
        <f>Sheet1!$W$8</f>
        <v>45200</v>
      </c>
      <c r="U85" s="413">
        <f>Sheet1!$X$8</f>
        <v>45566</v>
      </c>
      <c r="V85" s="413">
        <f>Sheet1!$Y$8</f>
        <v>45931</v>
      </c>
      <c r="W85" s="413">
        <f>Sheet1!$Z$8</f>
        <v>46296</v>
      </c>
      <c r="X85" s="413">
        <f>Sheet1!$AA$8</f>
        <v>46661</v>
      </c>
      <c r="Y85" s="413">
        <f>Sheet1!$AB$8</f>
        <v>47027</v>
      </c>
      <c r="Z85" s="413">
        <f>Sheet1!$AC$8</f>
        <v>47392</v>
      </c>
      <c r="AA85" s="413">
        <f>$AA$5</f>
        <v>47757</v>
      </c>
      <c r="AB85" s="413">
        <f>$AB$5</f>
        <v>48122</v>
      </c>
      <c r="AC85" s="413">
        <f>$AC$5</f>
        <v>48488</v>
      </c>
      <c r="AD85" s="413">
        <f>$AD$5</f>
        <v>48853</v>
      </c>
      <c r="AE85" s="413">
        <f>$AE$5</f>
        <v>49218</v>
      </c>
      <c r="AF85" s="413">
        <f>$AF$5</f>
        <v>49583</v>
      </c>
      <c r="AG85" s="413">
        <f>$AG$5</f>
        <v>49949</v>
      </c>
      <c r="AH85" s="211"/>
      <c r="AI85" s="413">
        <f t="shared" ref="AI85:AR87" si="37">+Q85</f>
        <v>44105</v>
      </c>
      <c r="AJ85" s="413">
        <f t="shared" si="37"/>
        <v>44470</v>
      </c>
      <c r="AK85" s="413">
        <f t="shared" si="37"/>
        <v>44835</v>
      </c>
      <c r="AL85" s="413">
        <f t="shared" si="37"/>
        <v>45200</v>
      </c>
      <c r="AM85" s="413">
        <f t="shared" si="37"/>
        <v>45566</v>
      </c>
      <c r="AN85" s="413">
        <f t="shared" si="37"/>
        <v>45931</v>
      </c>
      <c r="AO85" s="413">
        <f t="shared" si="37"/>
        <v>46296</v>
      </c>
      <c r="AP85" s="413">
        <f t="shared" si="37"/>
        <v>46661</v>
      </c>
      <c r="AQ85" s="413">
        <f t="shared" si="37"/>
        <v>47027</v>
      </c>
      <c r="AR85" s="413">
        <f t="shared" si="37"/>
        <v>47392</v>
      </c>
      <c r="AS85" s="413">
        <f t="shared" ref="AS85:AY87" si="38">+AA85</f>
        <v>47757</v>
      </c>
      <c r="AT85" s="413">
        <f t="shared" si="38"/>
        <v>48122</v>
      </c>
      <c r="AU85" s="413">
        <f t="shared" si="38"/>
        <v>48488</v>
      </c>
      <c r="AV85" s="413">
        <f t="shared" si="38"/>
        <v>48853</v>
      </c>
      <c r="AW85" s="413">
        <f t="shared" si="38"/>
        <v>49218</v>
      </c>
      <c r="AX85" s="413">
        <f t="shared" si="38"/>
        <v>49583</v>
      </c>
      <c r="AY85" s="413">
        <f t="shared" si="38"/>
        <v>49949</v>
      </c>
      <c r="AZ85" s="211"/>
    </row>
    <row r="86" spans="1:52" ht="12.75" customHeight="1">
      <c r="A86" s="226" t="s">
        <v>153</v>
      </c>
      <c r="B86" s="233">
        <f>IF(B78="No "&amp;B77,0,IF('1. SUMMARY'!$Q$20=1,+$AH213,$AZ213))</f>
        <v>0</v>
      </c>
      <c r="C86" s="233">
        <f>IF(C78="No "&amp;C77,0,IF('1. SUMMARY'!$Q$20=1,+$AH218,$AZ218))</f>
        <v>0</v>
      </c>
      <c r="D86" s="233">
        <f>IF(D78="No "&amp;D77,0,IF('1. SUMMARY'!$Q$20=1,+$AH223,$AZ223))</f>
        <v>0</v>
      </c>
      <c r="E86" s="233">
        <f>IF(E78="No "&amp;E77,0,IF('1. SUMMARY'!$Q$20=1,+$AH228,$AZ228))</f>
        <v>0</v>
      </c>
      <c r="F86" s="233">
        <f>IF(F78="No "&amp;F77,0,IF('1. SUMMARY'!$Q$20=1,+$AH233,$AZ233))</f>
        <v>0</v>
      </c>
      <c r="G86" s="233">
        <f>IF(G78="No "&amp;G77,0,IF('1. SUMMARY'!$Q$20=1,+$AH238,$AZ238))</f>
        <v>0</v>
      </c>
      <c r="H86" s="233">
        <f>IF(H78="No "&amp;H77,0,IF('1. SUMMARY'!$Q$20=1,+$AH243,$AZ243))</f>
        <v>0</v>
      </c>
      <c r="I86" s="233">
        <f>IF(I78="No "&amp;I77,0,IF('1. SUMMARY'!$Q$20=1,+$AH248,$AZ248))</f>
        <v>0</v>
      </c>
      <c r="J86" s="233">
        <f>IF(J78="No "&amp;J77,0,IF('1. SUMMARY'!$Q$20=1,+$AH253,$AZ253))</f>
        <v>0</v>
      </c>
      <c r="K86" s="233">
        <f>IF(K78="No "&amp;K77,0,IF('1. SUMMARY'!$Q$20=1,+$AH258,$AZ258))</f>
        <v>0</v>
      </c>
      <c r="L86" s="229">
        <f>SUM(B86:K86)</f>
        <v>0</v>
      </c>
      <c r="P86" s="207">
        <f t="shared" si="36"/>
        <v>1</v>
      </c>
      <c r="Q86" s="413">
        <f>Sheet1!$T$9</f>
        <v>44469</v>
      </c>
      <c r="R86" s="413">
        <f>Sheet1!$U$9</f>
        <v>44834</v>
      </c>
      <c r="S86" s="413">
        <f>Sheet1!$V$9</f>
        <v>45199</v>
      </c>
      <c r="T86" s="413">
        <f>Sheet1!$W$9</f>
        <v>45565</v>
      </c>
      <c r="U86" s="413">
        <f>Sheet1!$X$9</f>
        <v>45930</v>
      </c>
      <c r="V86" s="413">
        <f>Sheet1!$Y$9</f>
        <v>46295</v>
      </c>
      <c r="W86" s="413">
        <f>Sheet1!$Z$9</f>
        <v>46660</v>
      </c>
      <c r="X86" s="413">
        <f>Sheet1!$AA$9</f>
        <v>47026</v>
      </c>
      <c r="Y86" s="413">
        <f>Sheet1!$AB$9</f>
        <v>47391</v>
      </c>
      <c r="Z86" s="413">
        <f>Sheet1!$AC$9</f>
        <v>47756</v>
      </c>
      <c r="AA86" s="413">
        <f>$AA$6</f>
        <v>48121</v>
      </c>
      <c r="AB86" s="413">
        <f>$AB$6</f>
        <v>48487</v>
      </c>
      <c r="AC86" s="413">
        <f>$AC$6</f>
        <v>48852</v>
      </c>
      <c r="AD86" s="413">
        <f>$AD$6</f>
        <v>49217</v>
      </c>
      <c r="AE86" s="413">
        <f>$AE$6</f>
        <v>49582</v>
      </c>
      <c r="AF86" s="413">
        <f>$AF$6</f>
        <v>49948</v>
      </c>
      <c r="AG86" s="413">
        <f>$AG$6</f>
        <v>50313</v>
      </c>
      <c r="AH86" s="211"/>
      <c r="AI86" s="413">
        <f t="shared" si="37"/>
        <v>44469</v>
      </c>
      <c r="AJ86" s="413">
        <f t="shared" si="37"/>
        <v>44834</v>
      </c>
      <c r="AK86" s="413">
        <f t="shared" si="37"/>
        <v>45199</v>
      </c>
      <c r="AL86" s="413">
        <f t="shared" si="37"/>
        <v>45565</v>
      </c>
      <c r="AM86" s="413">
        <f t="shared" si="37"/>
        <v>45930</v>
      </c>
      <c r="AN86" s="413">
        <f t="shared" si="37"/>
        <v>46295</v>
      </c>
      <c r="AO86" s="413">
        <f t="shared" si="37"/>
        <v>46660</v>
      </c>
      <c r="AP86" s="413">
        <f t="shared" si="37"/>
        <v>47026</v>
      </c>
      <c r="AQ86" s="413">
        <f t="shared" si="37"/>
        <v>47391</v>
      </c>
      <c r="AR86" s="413">
        <f t="shared" si="37"/>
        <v>47756</v>
      </c>
      <c r="AS86" s="413">
        <f t="shared" si="38"/>
        <v>48121</v>
      </c>
      <c r="AT86" s="413">
        <f t="shared" si="38"/>
        <v>48487</v>
      </c>
      <c r="AU86" s="413">
        <f t="shared" si="38"/>
        <v>48852</v>
      </c>
      <c r="AV86" s="413">
        <f t="shared" si="38"/>
        <v>49217</v>
      </c>
      <c r="AW86" s="413">
        <f t="shared" si="38"/>
        <v>49582</v>
      </c>
      <c r="AX86" s="413">
        <f t="shared" si="38"/>
        <v>49948</v>
      </c>
      <c r="AY86" s="413">
        <f t="shared" si="38"/>
        <v>50313</v>
      </c>
      <c r="AZ86" s="211"/>
    </row>
    <row r="87" spans="1:52" ht="12.75" customHeight="1">
      <c r="A87" s="216"/>
      <c r="B87" s="234"/>
      <c r="C87" s="234"/>
      <c r="D87" s="234"/>
      <c r="E87" s="234"/>
      <c r="F87" s="234"/>
      <c r="G87" s="234"/>
      <c r="H87" s="234"/>
      <c r="I87" s="234"/>
      <c r="J87" s="234"/>
      <c r="K87" s="234"/>
      <c r="L87" s="235"/>
      <c r="O87" s="207">
        <v>6</v>
      </c>
      <c r="P87" s="207">
        <f t="shared" si="36"/>
        <v>1</v>
      </c>
      <c r="Q87" s="414">
        <f>IF(IF(Q86&lt;G27,0,DATEDIF($G$27,Q86+1,"m"))&lt;0,0,IF(Q86&lt;$G$27,0,DATEDIF($G$27,Q86+1,"m")))</f>
        <v>0</v>
      </c>
      <c r="R87" s="414">
        <f>IF(IF(Q87=12,0,IF(R86&gt;$G$28,12-DATEDIF($G$28,R86+1,"m"),IF(R86&lt;$G$27,0,DATEDIF($G$27,R86+1,"m"))))&lt;0,0,IF(Q87=12,0,IF(R86&gt;$G$28,12-DATEDIF($G$28,R86+1,"m"),IF(R86&lt;$G$27,0,DATEDIF($G$27,R86+1,"m")))))</f>
        <v>0</v>
      </c>
      <c r="S87" s="414">
        <f>IF(IF(Q87+R87=12,0,IF(S86&gt;$G$28,12-DATEDIF($G$28,S86+1,"m"),IF(S86&lt;$G$27,0,DATEDIF($G$27,S86+1,"m"))))&lt;0,0,IF(Q87+R87=12,0,IF(S86&gt;$G$28,12-DATEDIF($G$28,S86+1,"m"),IF(S86&lt;$G$27,0,DATEDIF($G$27,S86+1,"m")))))</f>
        <v>0</v>
      </c>
      <c r="T87" s="414">
        <f>IF(IF(R87+S87+Q87=12,0,IF(T86&gt;$G$28,12-DATEDIF($G$28,T86+1,"m"),IF(T86&lt;$G$27,0,DATEDIF($G$27,T86+1,"m"))))&lt;0,0,IF(R87+S87+Q87=12,0,IF(T86&gt;$G$28,12-DATEDIF($G$28,T86+1,"m"),IF(T86&lt;$G$27,0,DATEDIF($G$27,T86+1,"m")))))</f>
        <v>0</v>
      </c>
      <c r="U87" s="414">
        <f>IF(IF(S87+T87+R87+Q87=12,0,IF(U86&gt;$G$28,12-DATEDIF($G$28,U86+1,"m"),IF(U86&lt;$G$27,0,DATEDIF($G$27,U86+1,"m"))))&lt;0,0,IF(S87+T87+R87+Q87=12,0,IF(U86&gt;$G$28,12-DATEDIF($G$28,U86+1,"m"),IF(U86&lt;$G$27,0,DATEDIF($G$27,U86+1,"m")))))</f>
        <v>0</v>
      </c>
      <c r="V87" s="414">
        <f>IF(IF(T87+U87+S87+R87+Q87=12,0,IF(V86&gt;$G$28,12-DATEDIF($G$28,V86+1,"m"),IF(V86&lt;$G$27,0,DATEDIF($G$27,V86+1,"m"))))&lt;0,0,IF(T87+U87+S87+R87+Q87=12,0,IF(V86&gt;$G$28,12-DATEDIF($G$28,V86+1,"m"),IF(V86&lt;$G$27,0,DATEDIF($G$27,V86+1,"m")))))</f>
        <v>0</v>
      </c>
      <c r="W87" s="414">
        <f>IF(IF(U87+V87+T87+S87+R87+Q87=12,0,IF(W86&gt;$G$28,12-DATEDIF($G$28,W86+1,"m"),IF(W86&lt;$G$27,0,DATEDIF($G$27,W86+1,"m"))))&lt;0,0,IF(U87+V87+T87+S87+R87+Q87=12,0,IF(W86&gt;$G$28,12-DATEDIF($G$28,W86+1,"m"),IF(W86&lt;$G$27,0,DATEDIF($G$27,W86+1,"m")))))</f>
        <v>0</v>
      </c>
      <c r="X87" s="414">
        <f>IF(IF(V87+W87+U87+T87+S87+R87+Q87=12,0,IF(X86&gt;$G$28,12-DATEDIF($G$28,X86+1,"m"),IF(X86&lt;$G$27,0,DATEDIF($G$27,X86+1,"m"))))&lt;0,0,IF(V87+W87+U87+T87+S87+R87+Q87=12,0,IF(X86&gt;$G$28,12-DATEDIF($G$28,X86+1,"m"),IF(X86&lt;$G$27,0,DATEDIF($G$27,X86+1,"m")))))</f>
        <v>0</v>
      </c>
      <c r="Y87" s="414">
        <f>IF(IF(W87+X87+V87+U87+T87+S87+R87+Q87=12,0,IF(Y86&gt;$G$28,12-DATEDIF($G$28,Y86+1,"m"),IF(Y86&lt;$G$27,0,DATEDIF($G$27,Y86+1,"m"))))&lt;0,0,IF(W87+X87+V87+U87+T87+S87+R87+Q87=12,0,IF(Y86&gt;$G$28,12-DATEDIF($G$28,Y86+1,"m"),IF(Y86&lt;$G$27,0,DATEDIF($G$27,Y86+1,"m")))))</f>
        <v>0</v>
      </c>
      <c r="Z87" s="414">
        <f>IF(IF(X87+Y87+W87+V87+U87+T87+S87+R87+Q87=12,0,IF(Z86&gt;$G$28,12-DATEDIF($G$28,Z86+1,"m"),IF(Z86&lt;$G$27,0,DATEDIF($G$27,Z86+1,"m"))))&lt;0,0,IF(X87+Y87+W87+V87+U87+T87+S87+R87+Q87=12,0,IF(Z86&gt;$G$28,12-DATEDIF($G$28,Z86+1,"m"),IF(Z86&lt;$G$27,0,DATEDIF($G$27,Z86+1,"m")))))</f>
        <v>0</v>
      </c>
      <c r="AA87" s="414">
        <f>IF(IF(Q87+R87+S87+Y87+Z87+X87+W87+V87+U87+T87=12,0,IF(AA86&gt;$G$28,12-DATEDIF($G$28,AA86+1,"m"),IF(AA86&lt;$G$27,0,DATEDIF($G$27,AA86+1,"m"))))&lt;0,0,IF(Q87+R87+S87+Y87+Z87+X87+W87+V87+U87+T87=12,0,IF(AA86&gt;$G$28,12-DATEDIF($G$28,AA86+1,"m"),IF(AA86&lt;$G$27,0,DATEDIF($G$27,AA86+1,"m")))))</f>
        <v>0</v>
      </c>
      <c r="AB87" s="414">
        <f>IF(IF(Q87+R87+S87+T87+Z87+AA87+Y87+X87+W87+V87+U87=12,0,IF(AB86&gt;$G$28,12-DATEDIF($G$28,AB86+1,"m"),IF(AB86&lt;$G$27,0,DATEDIF($G$27,AB86+1,"m"))))&lt;0,0,IF(Q87+R87+S87+T87+Z87+AA87+Y87+X87+W87+V87+U87=12,0,IF(AB86&gt;$G$28,12-DATEDIF($G$28,AB86+1,"m"),IF(AB86&lt;$G$27,0,DATEDIF($G$27,AB86+1,"m")))))</f>
        <v>0</v>
      </c>
      <c r="AC87" s="414">
        <f>IF(IF(Q87+R87+S87+T87+U87+AA87+AB87+Z87+Y87+X87+W87+V87=12,0,IF(AC86&gt;$G$28,12-DATEDIF($G$28,AC86+1,"m"),IF(AC86&lt;$G$27,0,DATEDIF($G$27,AC86+1,"m"))))&lt;0,0,IF(Q87+R87+S87+T87+U87+AA87+AB87+Z87+Y87+X87+W87+V87=12,0,IF(AC86&gt;$G$28,12-DATEDIF($G$28,AC86+1,"m"),IF(AC86&lt;$G$27,0,DATEDIF($G$27,AC86+1,"m")))))</f>
        <v>0</v>
      </c>
      <c r="AD87" s="414">
        <f>IF(IF(Q87+R87+S87+T87+U87+V87+AB87+AC87+AA87+Z87+Y87+X87+W87=12,0,IF(AD86&gt;$G$28,12-DATEDIF($G$28,AD86+1,"m"),IF(AD86&lt;$G$27,0,DATEDIF($G$27,AD86+1,"m"))))&lt;0,0,IF(Q87+R87+S87+T87+U87+V87+AB87+AC87+AA87+Z87+Y87+X87+W87=12,0,IF(AD86&gt;$G$28,12-DATEDIF($G$28,AD86+1,"m"),IF(AD86&lt;$G$27,0,DATEDIF($G$27,AD86+1,"m")))))</f>
        <v>0</v>
      </c>
      <c r="AE87" s="414">
        <f>IF(IF(Q87+R87+S87+T87+U87+V87+W87+AC87+AD87+AB87+AA87+Z87+Y87+X87=12,0,IF(AE86&gt;$G$28,12-DATEDIF($G$28,AE86+1,"m"),IF(AE86&lt;$G$27,0,DATEDIF($G$27,AE86+1,"m"))))&lt;0,0,IF(Q87+R87+S87+T87+U87+V87+W87+AC87+AD87+AB87+AA87+Z87+Y87+X87=12,0,IF(AE86&gt;$G$28,12-DATEDIF($G$28,AE86+1,"m"),IF(AE86&lt;$G$27,0,DATEDIF($G$27,AE86+1,"m")))))</f>
        <v>0</v>
      </c>
      <c r="AF87" s="414">
        <f>IF(IF(Q87+R87+S87+T87+U87+V87+W87+X87+AD87+AE87+AC87+AB87+AA87+Z87+Y87=12,0,IF(AF86&gt;$G$28,12-DATEDIF($G$28,AF86+1,"m"),IF(AF86&lt;$G$27,0,DATEDIF($G$27,AF86+1,"m"))))&lt;0,0,IF(Q87+R87+S87+T87+U87+V87+W87+X87+AD87+AE87+AC87+AB87+AA87+Z87+Y87=12,0,IF(AF86&gt;$G$28,12-DATEDIF($G$28,AF86+1,"m"),IF(AF86&lt;$G$27,0,DATEDIF($G$27,AF86+1,"m")))))</f>
        <v>0</v>
      </c>
      <c r="AG87" s="414">
        <f>IF(IF(Q87+R87+S87+T87+U87+V87+W87+X87+Y87+AE87+AF87+AD87+AC87+AB87+AA87+Z87=12,0,IF(AG86&gt;$G$28,12-DATEDIF($G$28,AG86+1,"m"),IF(AG86&lt;$G$27,0,DATEDIF($G$27,AG86+1,"m"))))&lt;0,0,IF(Q87+R87+S87+T87+U87+V87+W87+X87+Y87+AE87+AF87+AD87+AC87+AB87+AA87+Z87=12,0,IF(AG86&gt;$G$28,12-DATEDIF($G$28,AG86+1,"m"),IF(AG86&lt;$G$27,0,DATEDIF($G$27,AG86+1,"m")))))</f>
        <v>0</v>
      </c>
      <c r="AH87" s="423">
        <f>SUM(Q87:AG87)</f>
        <v>0</v>
      </c>
      <c r="AI87" s="414">
        <f t="shared" si="37"/>
        <v>0</v>
      </c>
      <c r="AJ87" s="414">
        <f t="shared" si="37"/>
        <v>0</v>
      </c>
      <c r="AK87" s="414">
        <f t="shared" si="37"/>
        <v>0</v>
      </c>
      <c r="AL87" s="414">
        <f t="shared" si="37"/>
        <v>0</v>
      </c>
      <c r="AM87" s="414">
        <f t="shared" si="37"/>
        <v>0</v>
      </c>
      <c r="AN87" s="414">
        <f t="shared" si="37"/>
        <v>0</v>
      </c>
      <c r="AO87" s="414">
        <f t="shared" si="37"/>
        <v>0</v>
      </c>
      <c r="AP87" s="414">
        <f t="shared" si="37"/>
        <v>0</v>
      </c>
      <c r="AQ87" s="414">
        <f t="shared" si="37"/>
        <v>0</v>
      </c>
      <c r="AR87" s="414">
        <f t="shared" si="37"/>
        <v>0</v>
      </c>
      <c r="AS87" s="414">
        <f t="shared" si="38"/>
        <v>0</v>
      </c>
      <c r="AT87" s="414">
        <f t="shared" si="38"/>
        <v>0</v>
      </c>
      <c r="AU87" s="414">
        <f t="shared" si="38"/>
        <v>0</v>
      </c>
      <c r="AV87" s="414">
        <f t="shared" si="38"/>
        <v>0</v>
      </c>
      <c r="AW87" s="414">
        <f t="shared" si="38"/>
        <v>0</v>
      </c>
      <c r="AX87" s="414">
        <f t="shared" si="38"/>
        <v>0</v>
      </c>
      <c r="AY87" s="414">
        <f t="shared" si="38"/>
        <v>0</v>
      </c>
      <c r="AZ87" s="211">
        <f>SUM(AI87:AY87)</f>
        <v>0</v>
      </c>
    </row>
    <row r="88" spans="1:52" ht="12.75" customHeight="1" thickBot="1">
      <c r="A88" s="236" t="s">
        <v>154</v>
      </c>
      <c r="B88" s="237">
        <f>SUM(B84:B86)</f>
        <v>0</v>
      </c>
      <c r="C88" s="237" t="str">
        <f>IF(C78="No Year 2","",SUM(C84:C86))</f>
        <v/>
      </c>
      <c r="D88" s="237" t="str">
        <f>IF(D78="No Year 3","",SUM(D84:D86))</f>
        <v/>
      </c>
      <c r="E88" s="237" t="str">
        <f>IF(E78="No Year 4","",SUM(E84:E86))</f>
        <v/>
      </c>
      <c r="F88" s="237" t="str">
        <f>IF(F78="No Year 5","",SUM(F84:F86))</f>
        <v/>
      </c>
      <c r="G88" s="237" t="str">
        <f>IF(G78="No Year 6","",SUM(G84:G86))</f>
        <v/>
      </c>
      <c r="H88" s="237" t="str">
        <f>IF(H78="No Year 7","",SUM(H84:H86))</f>
        <v/>
      </c>
      <c r="I88" s="237" t="str">
        <f>IF(I78="No Year 8","",SUM(I84:I86))</f>
        <v/>
      </c>
      <c r="J88" s="237" t="str">
        <f>IF(J78="No Year 9","",SUM(J84:J86))</f>
        <v/>
      </c>
      <c r="K88" s="237" t="str">
        <f>IF(K78="No Year 10","",SUM(K84:K86))</f>
        <v/>
      </c>
      <c r="L88" s="238">
        <f>SUM(B88:K88)</f>
        <v>0</v>
      </c>
      <c r="N88" s="86">
        <f>IF(L88&gt;0,1,0)</f>
        <v>0</v>
      </c>
      <c r="P88" s="207">
        <f t="shared" si="36"/>
        <v>1</v>
      </c>
      <c r="Q88" s="415">
        <f>IF(Q87=0,0,(IF(($B$33+$C$33+$D$33+$E$33+$F$33+$G$33)&lt;=25000,(($G$33/+$AH87)*Q87)*VLOOKUP('1. SUMMARY'!$C$20,rate,Sheet1!T$21,0),((IF(($F$33+$B$33+$C$33+$D$33+$E$33)&gt;=25000,0,(((25000-($B$33+$C$33+$D$33+$E$33+$F$33))/+$AH87)*Q87)*(VLOOKUP('1. SUMMARY'!$C$20,rate,Sheet1!T$21,0))))))))</f>
        <v>0</v>
      </c>
      <c r="R88" s="415">
        <f>IF(R87=0,0,(IF(($B$33+$C$33+$D$33+$E$33+$F$33+$G$33)&lt;=25000,(($G$33/+$AH87)*R87)*VLOOKUP('1. SUMMARY'!$C$20,rate,Sheet1!U$21,0),((IF(($F$33+$B$33+$C$33+$D$33+$E$33)&gt;=25000,0,(((25000-($B$33+$C$33+$D$33+$E$33+$F$33))/+$AH87)*R87)*(VLOOKUP('1. SUMMARY'!$C$20,rate,Sheet1!U$21,0))))))))</f>
        <v>0</v>
      </c>
      <c r="S88" s="415">
        <f>IF(S87=0,0,(IF(($B$33+$C$33+$D$33+$E$33+$F$33+$G$33)&lt;=25000,(($G$33/+$AH87)*S87)*VLOOKUP('1. SUMMARY'!$C$20,rate,Sheet1!V$21,0),((IF(($F$33+$B$33+$C$33+$D$33+$E$33)&gt;=25000,0,(((25000-($B$33+$C$33+$D$33+$E$33+$F$33))/+$AH87)*S87)*(VLOOKUP('1. SUMMARY'!$C$20,rate,Sheet1!V$21,0))))))))</f>
        <v>0</v>
      </c>
      <c r="T88" s="415">
        <f>IF(T87=0,0,(IF(($B$33+$C$33+$D$33+$E$33+$F$33+$G$33)&lt;=25000,(($G$33/+$AH87)*T87)*VLOOKUP('1. SUMMARY'!$C$20,rate,Sheet1!W$21,0),((IF(($F$33+$B$33+$C$33+$D$33+$E$33)&gt;=25000,0,(((25000-($B$33+$C$33+$D$33+$E$33+$F$33))/+$AH87)*T87)*(VLOOKUP('1. SUMMARY'!$C$20,rate,Sheet1!W$21,0))))))))</f>
        <v>0</v>
      </c>
      <c r="U88" s="415">
        <f>IF(U87=0,0,(IF(($B$33+$C$33+$D$33+$E$33+$F$33+$G$33)&lt;=25000,(($G$33/+$AH87)*U87)*VLOOKUP('1. SUMMARY'!$C$20,rate,Sheet1!X$21,0),((IF(($F$33+$B$33+$C$33+$D$33+$E$33)&gt;=25000,0,(((25000-($B$33+$C$33+$D$33+$E$33+$F$33))/+$AH87)*U87)*(VLOOKUP('1. SUMMARY'!$C$20,rate,Sheet1!X$21,0))))))))</f>
        <v>0</v>
      </c>
      <c r="V88" s="415">
        <f>IF(V87=0,0,(IF(($B$33+$C$33+$D$33+$E$33+$F$33+$G$33)&lt;=25000,(($G$33/+$AH87)*V87)*VLOOKUP('1. SUMMARY'!$C$20,rate,Sheet1!Y$21,0),((IF(($F$33+$B$33+$C$33+$D$33+$E$33)&gt;=25000,0,(((25000-($B$33+$C$33+$D$33+$E$33+$F$33))/+$AH87)*V87)*(VLOOKUP('1. SUMMARY'!$C$20,rate,Sheet1!Y$21,0))))))))</f>
        <v>0</v>
      </c>
      <c r="W88" s="415">
        <f>IF(W87=0,0,(IF(($B$33+$C$33+$D$33+$E$33+$F$33+$G$33)&lt;=25000,(($G$33/+$AH87)*W87)*VLOOKUP('1. SUMMARY'!$C$20,rate,Sheet1!Z$21,0),((IF(($F$33+$B$33+$C$33+$D$33+$E$33)&gt;=25000,0,(((25000-($B$33+$C$33+$D$33+$E$33+$F$33))/+$AH87)*W87)*(VLOOKUP('1. SUMMARY'!$C$20,rate,Sheet1!Z$21,0))))))))</f>
        <v>0</v>
      </c>
      <c r="X88" s="415">
        <f>IF(X87=0,0,(IF(($B$33+$C$33+$D$33+$E$33+$F$33+$G$33)&lt;=25000,(($G$33/+$AH87)*X87)*VLOOKUP('1. SUMMARY'!$C$20,rate,Sheet1!AA$21,0),((IF(($F$33+$B$33+$C$33+$D$33+$E$33)&gt;=25000,0,(((25000-($B$33+$C$33+$D$33+$E$33+$F$33))/+$AH87)*X87)*(VLOOKUP('1. SUMMARY'!$C$20,rate,Sheet1!AA$21,0))))))))</f>
        <v>0</v>
      </c>
      <c r="Y88" s="415">
        <f>IF(Y87=0,0,(IF(($B$33+$C$33+$D$33+$E$33+$F$33+$G$33)&lt;=25000,(($G$33/+$AH87)*Y87)*VLOOKUP('1. SUMMARY'!$C$20,rate,Sheet1!AB$21,0),((IF(($F$33+$B$33+$C$33+$D$33+$E$33)&gt;=25000,0,(((25000-($B$33+$C$33+$D$33+$E$33+$F$33))/+$AH87)*Y87)*(VLOOKUP('1. SUMMARY'!$C$20,rate,Sheet1!AB$21,0))))))))</f>
        <v>0</v>
      </c>
      <c r="Z88" s="415">
        <f>IF(Z87=0,0,(IF(($B$33+$C$33+$D$33+$E$33+$F$33+$G$33)&lt;=25000,(($G$33/+$AH87)*Z87)*VLOOKUP('1. SUMMARY'!$C$20,rate,Sheet1!AC$21,0),((IF(($F$33+$B$33+$C$33+$D$33+$E$33)&gt;=25000,0,(((25000-($B$33+$C$33+$D$33+$E$33+$F$33))/+$AH87)*Z87)*(VLOOKUP('1. SUMMARY'!$C$20,rate,Sheet1!AC$21,0))))))))</f>
        <v>0</v>
      </c>
      <c r="AA88" s="415">
        <f>IF(AA87=0,0,(IF(($B$33+$C$33+$D$33+$E$33+$F$33+$G$33)&lt;=25000,(($G$33/+$AH87)*AA87)*VLOOKUP('1. SUMMARY'!$C$20,rate,Sheet1!AD$21,0),((IF(($F$33+$B$33+$C$33+$D$33+$E$33)&gt;=25000,0,(((25000-($B$33+$C$33+$D$33+$E$33+$F$33))/+$AH87)*AA87)*(VLOOKUP('1. SUMMARY'!$C$20,rate,Sheet1!AD$21,0))))))))</f>
        <v>0</v>
      </c>
      <c r="AB88" s="415">
        <f>IF(AB87=0,0,(IF(($B$33+$C$33+$D$33+$E$33+$F$33+$G$33)&lt;=25000,(($G$33/+$AH87)*AB87)*VLOOKUP('1. SUMMARY'!$C$20,rate,Sheet1!AE$21,0),((IF(($F$33+$B$33+$C$33+$D$33+$E$33)&gt;=25000,0,(((25000-($B$33+$C$33+$D$33+$E$33+$F$33))/+$AH87)*AB87)*(VLOOKUP('1. SUMMARY'!$C$20,rate,Sheet1!AE$21,0))))))))</f>
        <v>0</v>
      </c>
      <c r="AC88" s="415">
        <f>IF(AC87=0,0,(IF(($B$33+$C$33+$D$33+$E$33+$F$33+$G$33)&lt;=25000,(($G$33/+$AH87)*AC87)*VLOOKUP('1. SUMMARY'!$C$20,rate,Sheet1!AF$21,0),((IF(($F$33+$B$33+$C$33+$D$33+$E$33)&gt;=25000,0,(((25000-($B$33+$C$33+$D$33+$E$33+$F$33))/+$AH87)*AC87)*(VLOOKUP('1. SUMMARY'!$C$20,rate,Sheet1!AF$21,0))))))))</f>
        <v>0</v>
      </c>
      <c r="AD88" s="415">
        <f>IF(AD87=0,0,(IF(($B$33+$C$33+$D$33+$E$33+$F$33+$G$33)&lt;=25000,(($G$33/+$AH87)*AD87)*VLOOKUP('1. SUMMARY'!$C$20,rate,Sheet1!AG$21,0),((IF(($F$33+$B$33+$C$33+$D$33+$E$33)&gt;=25000,0,(((25000-($B$33+$C$33+$D$33+$E$33+$F$33))/+$AH87)*AD87)*(VLOOKUP('1. SUMMARY'!$C$20,rate,Sheet1!AG$21,0))))))))</f>
        <v>0</v>
      </c>
      <c r="AE88" s="415">
        <f>IF(AE87=0,0,(IF(($B$33+$C$33+$D$33+$E$33+$F$33+$G$33)&lt;=25000,(($G$33/+$AH87)*AE87)*VLOOKUP('1. SUMMARY'!$C$20,rate,Sheet1!AH$21,0),((IF(($F$33+$B$33+$C$33+$D$33+$E$33)&gt;=25000,0,(((25000-($B$33+$C$33+$D$33+$E$33+$F$33))/+$AH87)*AE87)*(VLOOKUP('1. SUMMARY'!$C$20,rate,Sheet1!AH$21,0))))))))</f>
        <v>0</v>
      </c>
      <c r="AF88" s="415">
        <f>IF(AF87=0,0,(IF(($B$33+$C$33+$D$33+$E$33+$F$33+$G$33)&lt;=25000,(($G$33/+$AH87)*AF87)*VLOOKUP('1. SUMMARY'!$C$20,rate,Sheet1!AI$21,0),((IF(($F$33+$B$33+$C$33+$D$33+$E$33)&gt;=25000,0,(((25000-($B$33+$C$33+$D$33+$E$33+$F$33))/+$AH87)*AF87)*(VLOOKUP('1. SUMMARY'!$C$20,rate,Sheet1!AI$21,0))))))))</f>
        <v>0</v>
      </c>
      <c r="AG88" s="415">
        <f>IF(AG87=0,0,(IF(($B$33+$C$33+$D$33+$E$33+$F$33+$G$33)&lt;=25000,(($G$33/+$AH87)*AG87)*VLOOKUP('1. SUMMARY'!$C$20,rate,Sheet1!AJ$21,0),((IF(($F$33+$B$33+$C$33+$D$33+$E$33)&gt;=25000,0,(((25000-($B$33+$C$33+$D$33+$E$33+$F$33))/+$AH87)*AG87)*(VLOOKUP('1. SUMMARY'!$C$20,rate,Sheet1!AJ$21,0))))))))</f>
        <v>0</v>
      </c>
      <c r="AH88" s="219">
        <f>SUM(Q88:AG88)</f>
        <v>0</v>
      </c>
      <c r="AI88" s="415">
        <f>IF(AI87=0,0,((+$G33/$AZ87)*AI87)*VLOOKUP('1. SUMMARY'!$C$20,rate,Sheet1!T$21,0))</f>
        <v>0</v>
      </c>
      <c r="AJ88" s="415">
        <f>IF(AJ87=0,0,((+$G33/$AZ87)*AJ87)*VLOOKUP('1. SUMMARY'!$C$20,rate,Sheet1!U$21,0))</f>
        <v>0</v>
      </c>
      <c r="AK88" s="415">
        <f>IF(AK87=0,0,((+$G33/$AZ87)*AK87)*VLOOKUP('1. SUMMARY'!$C$20,rate,Sheet1!V$21,0))</f>
        <v>0</v>
      </c>
      <c r="AL88" s="415">
        <f>IF(AL87=0,0,((+$G33/$AZ87)*AL87)*VLOOKUP('1. SUMMARY'!$C$20,rate,Sheet1!W$21,0))</f>
        <v>0</v>
      </c>
      <c r="AM88" s="415">
        <f>IF(AM87=0,0,((+$G33/$AZ87)*AM87)*VLOOKUP('1. SUMMARY'!$C$20,rate,Sheet1!X$21,0))</f>
        <v>0</v>
      </c>
      <c r="AN88" s="415">
        <f>IF(AN87=0,0,((+$G33/$AZ87)*AN87)*VLOOKUP('1. SUMMARY'!$C$20,rate,Sheet1!Y$21,0))</f>
        <v>0</v>
      </c>
      <c r="AO88" s="415">
        <f>IF(AO87=0,0,((+$G33/$AZ87)*AO87)*VLOOKUP('1. SUMMARY'!$C$20,rate,Sheet1!Z$21,0))</f>
        <v>0</v>
      </c>
      <c r="AP88" s="415">
        <f>IF(AP87=0,0,((+$G33/$AZ87)*AP87)*VLOOKUP('1. SUMMARY'!$C$20,rate,Sheet1!AA$21,0))</f>
        <v>0</v>
      </c>
      <c r="AQ88" s="415">
        <f>IF(AQ87=0,0,((+$G33/$AZ87)*AQ87)*VLOOKUP('1. SUMMARY'!$C$20,rate,Sheet1!AB$21,0))</f>
        <v>0</v>
      </c>
      <c r="AR88" s="415">
        <f>IF(AR87=0,0,((+$G33/$AZ87)*AR87)*VLOOKUP('1. SUMMARY'!$C$20,rate,Sheet1!AC$21,0))</f>
        <v>0</v>
      </c>
      <c r="AS88" s="415">
        <f>IF(AS87=0,0,((+$G33/$AZ87)*AS87)*VLOOKUP('1. SUMMARY'!$C$20,rate,Sheet1!AD$21,0))</f>
        <v>0</v>
      </c>
      <c r="AT88" s="415">
        <f>IF(AT87=0,0,((+$G33/$AZ87)*AT87)*VLOOKUP('1. SUMMARY'!$C$20,rate,Sheet1!AE$21,0))</f>
        <v>0</v>
      </c>
      <c r="AU88" s="415">
        <f>IF(AU87=0,0,((+$G33/$AZ87)*AU87)*VLOOKUP('1. SUMMARY'!$C$20,rate,Sheet1!AF$21,0))</f>
        <v>0</v>
      </c>
      <c r="AV88" s="415">
        <f>IF(AV87=0,0,((+$G33/$AZ87)*AV87)*VLOOKUP('1. SUMMARY'!$C$20,rate,Sheet1!AG$21,0))</f>
        <v>0</v>
      </c>
      <c r="AW88" s="415">
        <f>IF(AW87=0,0,((+$G33/$AZ87)*AW87)*VLOOKUP('1. SUMMARY'!$C$20,rate,Sheet1!AH$21,0))</f>
        <v>0</v>
      </c>
      <c r="AX88" s="415">
        <f>IF(AX87=0,0,((+$G33/$AZ87)*AX87)*VLOOKUP('1. SUMMARY'!$C$20,rate,Sheet1!AI$21,0))</f>
        <v>0</v>
      </c>
      <c r="AY88" s="415">
        <f>IF(AY87=0,0,((+$G33/$AZ87)*AY87)*VLOOKUP('1. SUMMARY'!$C$20,rate,Sheet1!AJ$21,0))</f>
        <v>0</v>
      </c>
      <c r="AZ88" s="211">
        <f>SUM(AI88:AY88)</f>
        <v>0</v>
      </c>
    </row>
    <row r="89" spans="1:52" ht="12.75" customHeight="1" thickTop="1">
      <c r="P89" s="207">
        <f t="shared" si="36"/>
        <v>1</v>
      </c>
      <c r="Q89" s="415">
        <f>+Q88/VLOOKUP('1. SUMMARY'!$C$20,rate,Sheet1!T$21,0)</f>
        <v>0</v>
      </c>
      <c r="R89" s="415">
        <f>+R88/VLOOKUP('1. SUMMARY'!$C$20,rate,Sheet1!U$21,0)</f>
        <v>0</v>
      </c>
      <c r="S89" s="415">
        <f>+S88/VLOOKUP('1. SUMMARY'!$C$20,rate,Sheet1!V$21,0)</f>
        <v>0</v>
      </c>
      <c r="T89" s="415">
        <f>+T88/VLOOKUP('1. SUMMARY'!$C$20,rate,Sheet1!W$21,0)</f>
        <v>0</v>
      </c>
      <c r="U89" s="415">
        <f>+U88/VLOOKUP('1. SUMMARY'!$C$20,rate,Sheet1!X$21,0)</f>
        <v>0</v>
      </c>
      <c r="V89" s="415">
        <f>+V88/VLOOKUP('1. SUMMARY'!$C$20,rate,Sheet1!Y$21,0)</f>
        <v>0</v>
      </c>
      <c r="W89" s="415">
        <f>+W88/VLOOKUP('1. SUMMARY'!$C$20,rate,Sheet1!Z$21,0)</f>
        <v>0</v>
      </c>
      <c r="X89" s="415">
        <f>+X88/VLOOKUP('1. SUMMARY'!$C$20,rate,Sheet1!AA$21,0)</f>
        <v>0</v>
      </c>
      <c r="Y89" s="415">
        <f>+Y88/VLOOKUP('1. SUMMARY'!$C$20,rate,Sheet1!AB$21,0)</f>
        <v>0</v>
      </c>
      <c r="Z89" s="415">
        <f>+Z88/VLOOKUP('1. SUMMARY'!$C$20,rate,Sheet1!AC$21,0)</f>
        <v>0</v>
      </c>
      <c r="AA89" s="415">
        <f>+AA88/VLOOKUP('1. SUMMARY'!$C$20,rate,Sheet1!AD$21,0)</f>
        <v>0</v>
      </c>
      <c r="AB89" s="415">
        <f>+AB88/VLOOKUP('1. SUMMARY'!$C$20,rate,Sheet1!AE$21,0)</f>
        <v>0</v>
      </c>
      <c r="AC89" s="415">
        <f>+AC88/VLOOKUP('1. SUMMARY'!$C$20,rate,Sheet1!AF$21,0)</f>
        <v>0</v>
      </c>
      <c r="AD89" s="415">
        <f>+AD88/VLOOKUP('1. SUMMARY'!$C$20,rate,Sheet1!AG$21,0)</f>
        <v>0</v>
      </c>
      <c r="AE89" s="415">
        <f>+AE88/VLOOKUP('1. SUMMARY'!$C$20,rate,Sheet1!AH$21,0)</f>
        <v>0</v>
      </c>
      <c r="AF89" s="415">
        <f>+AF88/VLOOKUP('1. SUMMARY'!$C$20,rate,Sheet1!AI$21,0)</f>
        <v>0</v>
      </c>
      <c r="AG89" s="415">
        <f>+AG88/VLOOKUP('1. SUMMARY'!$C$20,rate,Sheet1!AJ$21,0)</f>
        <v>0</v>
      </c>
      <c r="AH89" s="219"/>
      <c r="AI89" s="415">
        <v>0</v>
      </c>
      <c r="AJ89" s="415">
        <v>0</v>
      </c>
      <c r="AK89" s="415">
        <v>0</v>
      </c>
      <c r="AL89" s="415">
        <v>0</v>
      </c>
      <c r="AM89" s="415">
        <v>0</v>
      </c>
      <c r="AN89" s="415">
        <v>0</v>
      </c>
      <c r="AO89" s="415">
        <v>0</v>
      </c>
      <c r="AP89" s="415">
        <v>0</v>
      </c>
      <c r="AQ89" s="415"/>
      <c r="AR89" s="415"/>
      <c r="AS89" s="415"/>
      <c r="AT89" s="415"/>
      <c r="AU89" s="415"/>
      <c r="AV89" s="415"/>
      <c r="AW89" s="415"/>
      <c r="AX89" s="415"/>
      <c r="AY89" s="415"/>
      <c r="AZ89" s="219"/>
    </row>
    <row r="90" spans="1:52" ht="12.75" customHeight="1" thickBot="1">
      <c r="P90" s="207">
        <f t="shared" si="36"/>
        <v>1</v>
      </c>
      <c r="Q90" s="411">
        <v>41913</v>
      </c>
      <c r="R90" s="411">
        <v>42278</v>
      </c>
      <c r="S90" s="411">
        <v>42644</v>
      </c>
      <c r="T90" s="411">
        <v>43009</v>
      </c>
      <c r="U90" s="411">
        <v>43374</v>
      </c>
      <c r="V90" s="411">
        <v>43739</v>
      </c>
      <c r="W90" s="411">
        <v>44105</v>
      </c>
      <c r="X90" s="411">
        <v>44470</v>
      </c>
      <c r="Y90" s="411">
        <v>44835</v>
      </c>
      <c r="Z90" s="411">
        <v>45200</v>
      </c>
      <c r="AA90" s="411">
        <v>45566</v>
      </c>
      <c r="AB90" s="411">
        <v>45931</v>
      </c>
      <c r="AC90" s="411">
        <v>46296</v>
      </c>
      <c r="AD90" s="411">
        <v>46661</v>
      </c>
      <c r="AE90" s="411">
        <v>47027</v>
      </c>
      <c r="AF90" s="411">
        <v>47392</v>
      </c>
      <c r="AG90" s="411">
        <v>47757</v>
      </c>
      <c r="AH90" s="211"/>
      <c r="AI90" s="411">
        <f t="shared" ref="AI90:AR92" si="39">+Q90</f>
        <v>41913</v>
      </c>
      <c r="AJ90" s="411">
        <f t="shared" si="39"/>
        <v>42278</v>
      </c>
      <c r="AK90" s="411">
        <f t="shared" si="39"/>
        <v>42644</v>
      </c>
      <c r="AL90" s="411">
        <f t="shared" si="39"/>
        <v>43009</v>
      </c>
      <c r="AM90" s="411">
        <f t="shared" si="39"/>
        <v>43374</v>
      </c>
      <c r="AN90" s="411">
        <f t="shared" si="39"/>
        <v>43739</v>
      </c>
      <c r="AO90" s="411">
        <f t="shared" si="39"/>
        <v>44105</v>
      </c>
      <c r="AP90" s="411">
        <f t="shared" si="39"/>
        <v>44470</v>
      </c>
      <c r="AQ90" s="411">
        <f t="shared" si="39"/>
        <v>44835</v>
      </c>
      <c r="AR90" s="411">
        <f t="shared" si="39"/>
        <v>45200</v>
      </c>
      <c r="AS90" s="411">
        <f t="shared" ref="AS90:AY92" si="40">+AA90</f>
        <v>45566</v>
      </c>
      <c r="AT90" s="411">
        <f t="shared" si="40"/>
        <v>45931</v>
      </c>
      <c r="AU90" s="411">
        <f t="shared" si="40"/>
        <v>46296</v>
      </c>
      <c r="AV90" s="411">
        <f t="shared" si="40"/>
        <v>46661</v>
      </c>
      <c r="AW90" s="411">
        <f t="shared" si="40"/>
        <v>47027</v>
      </c>
      <c r="AX90" s="411">
        <f t="shared" si="40"/>
        <v>47392</v>
      </c>
      <c r="AY90" s="411">
        <f t="shared" si="40"/>
        <v>47757</v>
      </c>
      <c r="AZ90" s="211"/>
    </row>
    <row r="91" spans="1:52" ht="12.75" customHeight="1" thickTop="1">
      <c r="A91" s="212" t="s">
        <v>159</v>
      </c>
      <c r="B91" s="213"/>
      <c r="C91" s="213"/>
      <c r="D91" s="213"/>
      <c r="E91" s="213"/>
      <c r="F91" s="213"/>
      <c r="G91" s="213"/>
      <c r="H91" s="213"/>
      <c r="I91" s="213"/>
      <c r="J91" s="213"/>
      <c r="K91" s="213"/>
      <c r="L91" s="214"/>
      <c r="P91" s="207">
        <f t="shared" si="36"/>
        <v>1</v>
      </c>
      <c r="Q91" s="411">
        <v>42277</v>
      </c>
      <c r="R91" s="411">
        <v>42643</v>
      </c>
      <c r="S91" s="411">
        <v>43008</v>
      </c>
      <c r="T91" s="411">
        <v>43373</v>
      </c>
      <c r="U91" s="411">
        <v>43738</v>
      </c>
      <c r="V91" s="411">
        <v>44104</v>
      </c>
      <c r="W91" s="411">
        <v>44469</v>
      </c>
      <c r="X91" s="411">
        <v>44834</v>
      </c>
      <c r="Y91" s="411">
        <v>45199</v>
      </c>
      <c r="Z91" s="411">
        <v>45565</v>
      </c>
      <c r="AA91" s="411">
        <v>45930</v>
      </c>
      <c r="AB91" s="411">
        <v>46295</v>
      </c>
      <c r="AC91" s="411">
        <v>46660</v>
      </c>
      <c r="AD91" s="411">
        <v>47026</v>
      </c>
      <c r="AE91" s="411">
        <v>47391</v>
      </c>
      <c r="AF91" s="411">
        <v>47756</v>
      </c>
      <c r="AG91" s="411">
        <v>48121</v>
      </c>
      <c r="AH91" s="211"/>
      <c r="AI91" s="411">
        <f t="shared" si="39"/>
        <v>42277</v>
      </c>
      <c r="AJ91" s="411">
        <f t="shared" si="39"/>
        <v>42643</v>
      </c>
      <c r="AK91" s="411">
        <f t="shared" si="39"/>
        <v>43008</v>
      </c>
      <c r="AL91" s="411">
        <f t="shared" si="39"/>
        <v>43373</v>
      </c>
      <c r="AM91" s="411">
        <f t="shared" si="39"/>
        <v>43738</v>
      </c>
      <c r="AN91" s="411">
        <f t="shared" si="39"/>
        <v>44104</v>
      </c>
      <c r="AO91" s="411">
        <f t="shared" si="39"/>
        <v>44469</v>
      </c>
      <c r="AP91" s="411">
        <f t="shared" si="39"/>
        <v>44834</v>
      </c>
      <c r="AQ91" s="411">
        <f t="shared" si="39"/>
        <v>45199</v>
      </c>
      <c r="AR91" s="411">
        <f t="shared" si="39"/>
        <v>45565</v>
      </c>
      <c r="AS91" s="411">
        <f t="shared" si="40"/>
        <v>45930</v>
      </c>
      <c r="AT91" s="411">
        <f t="shared" si="40"/>
        <v>46295</v>
      </c>
      <c r="AU91" s="411">
        <f t="shared" si="40"/>
        <v>46660</v>
      </c>
      <c r="AV91" s="411">
        <f t="shared" si="40"/>
        <v>47026</v>
      </c>
      <c r="AW91" s="411">
        <f t="shared" si="40"/>
        <v>47391</v>
      </c>
      <c r="AX91" s="411">
        <f t="shared" si="40"/>
        <v>47756</v>
      </c>
      <c r="AY91" s="411">
        <f t="shared" si="40"/>
        <v>48121</v>
      </c>
      <c r="AZ91" s="211"/>
    </row>
    <row r="92" spans="1:52" ht="23.25" customHeight="1">
      <c r="A92" s="215" t="s">
        <v>149</v>
      </c>
      <c r="B92" s="575"/>
      <c r="C92" s="575"/>
      <c r="D92" s="575"/>
      <c r="E92" s="575"/>
      <c r="F92" s="575"/>
      <c r="G92" s="575"/>
      <c r="H92" s="575"/>
      <c r="I92" s="575"/>
      <c r="J92" s="575"/>
      <c r="K92" s="575"/>
      <c r="L92" s="576"/>
      <c r="O92" s="207">
        <v>7</v>
      </c>
      <c r="P92" s="207">
        <f t="shared" si="36"/>
        <v>1</v>
      </c>
      <c r="Q92" s="412">
        <f>IF(IF(Q91&lt;$H$27,0,DATEDIF($H$27,Q91+1,"m"))&lt;0,0,IF(Q91&lt;$H$27,0,DATEDIF($H$27,Q91+1,"m")))</f>
        <v>0</v>
      </c>
      <c r="R92" s="412">
        <f>IF(IF(Q92=12,0,IF(R91&gt;$H$28,12-DATEDIF($H$28,R91+1,"m"),IF(R91&lt;$H$27,0,DATEDIF($H$27,R91+1,"m"))))&lt;0,0,IF(Q92=12,0,IF(R91&gt;$H$28,12-DATEDIF($H$28,R91+1,"m"),IF(R91&lt;$H$27,0,DATEDIF($H$27,R91+1,"m")))))</f>
        <v>0</v>
      </c>
      <c r="S92" s="412">
        <f>IF(IF(Q92+R92=12,0,IF(S91&gt;$H$28,12-DATEDIF($H$28,S91+1,"m"),IF(S91&lt;$H$27,0,DATEDIF($H$27,S91+1,"m"))))&lt;0,0,IF(Q92+R92=12,0,IF(S91&gt;$H$28,12-DATEDIF($H$28,S91+1,"m"),IF(S91&lt;$H$27,0,DATEDIF($H$27,S91+1,"m")))))</f>
        <v>0</v>
      </c>
      <c r="T92" s="412">
        <f>IF(IF(R92+S92+Q92=12,0,IF(T91&gt;$H$28,12-DATEDIF($H$28,T91+1,"m"),IF(T91&lt;$H$27,0,DATEDIF($H$27,T91+1,"m"))))&lt;0,0,IF(R92+S92+Q92=12,0,IF(T91&gt;$H$28,12-DATEDIF($H$28,T91+1,"m"),IF(T91&lt;$H$27,0,DATEDIF($H$27,T91+1,"m")))))</f>
        <v>0</v>
      </c>
      <c r="U92" s="412">
        <f>IF(IF(S92+T92+R92+Q92=12,0,IF(U91&gt;$H$28,12-DATEDIF($H$28,U91+1,"m"),IF(U91&lt;$H$27,0,DATEDIF($H$27,U91+1,"m"))))&lt;0,0,IF(S92+T92+R92+Q92=12,0,IF(U91&gt;$H$28,12-DATEDIF($H$28,U91+1,"m"),IF(U91&lt;$H$27,0,DATEDIF($H$27,U91+1,"m")))))</f>
        <v>0</v>
      </c>
      <c r="V92" s="412">
        <f>IF(IF(T92+U92+S92+R92+Q92=12,0,IF(V91&gt;$H$28,12-DATEDIF($H$28,V91+1,"m"),IF(V91&lt;$H$27,0,DATEDIF($H$27,V91+1,"m"))))&lt;0,0,IF(T92+U92+S92+R92+Q92=12,0,IF(V91&gt;$H$28,12-DATEDIF($H$28,V91+1,"m"),IF(V91&lt;$H$27,0,DATEDIF($H$27,V91+1,"m")))))</f>
        <v>0</v>
      </c>
      <c r="W92" s="412">
        <f>IF(IF(U92+V92+T92+S92+R92+Q92=12,0,IF(W91&gt;$H$28,12-DATEDIF($H$28,W91+1,"m"),IF(W91&lt;$H$27,0,DATEDIF($H$27,W91+1,"m"))))&lt;0,0,IF(U92+V92+T92+S92+R92+Q92=12,0,IF(W91&gt;$H$28,12-DATEDIF($H$28,W91+1,"m"),IF(W91&lt;$H$27,0,DATEDIF($H$27,W91+1,"m")))))</f>
        <v>0</v>
      </c>
      <c r="X92" s="412">
        <f>IF(IF(V92+W92+U92+T92+S92+R92+Q92=12,0,IF(X91&gt;$H$28,12-DATEDIF($H$28,X91+1,"m"),IF(X91&lt;$H$27,0,DATEDIF($H$27,X91+1,"m"))))&lt;0,0,IF(V92+W92+U92+T92+S92+R92+Q92=12,0,IF(X91&gt;$H$28,12-DATEDIF($H$28,X91+1,"m"),IF(X91&lt;$H$27,0,DATEDIF($H$27,X91+1,"m")))))</f>
        <v>0</v>
      </c>
      <c r="Y92" s="412">
        <f>IF(IF(W92+X92+V92+U92+T92+S92+R92+Q92=12,0,IF(Y91&gt;$H$28,12-DATEDIF($H$28,Y91+1,"m"),IF(Y91&lt;$H$27,0,DATEDIF($H$27,Y91+1,"m"))))&lt;0,0,IF(W92+X92+V92+U92+T92+S92+R92+Q92=12,0,IF(Y91&gt;$H$28,12-DATEDIF($H$28,Y91+1,"m"),IF(Y91&lt;$H$27,0,DATEDIF($H$27,Y91+1,"m")))))</f>
        <v>0</v>
      </c>
      <c r="Z92" s="412">
        <f>IF(IF(X92+Y92+W92+V92+U92+T92+S92+R92+Q92=12,0,IF(Z91&gt;$H$28,12-DATEDIF($H$28,Z91+1,"m"),IF(Z91&lt;$H$27,0,DATEDIF($H$27,Z91+1,"m"))))&lt;0,0,IF(X92+Y92+W92+V92+U92+T92+S92+R92+Q92=12,0,IF(Z91&gt;$H$28,12-DATEDIF($H$28,Z91+1,"m"),IF(Z91&lt;$H$27,0,DATEDIF($H$27,Z91+1,"m")))))</f>
        <v>0</v>
      </c>
      <c r="AA92" s="412">
        <f>IF(IF(Q92+R92+S92+Y92+Z92+X92+W92+V92+U92+T92=12,0,IF(AA91&gt;$H$28,12-DATEDIF($H$28,AA91+1,"m"),IF(AA91&lt;$H$27,0,DATEDIF($H$27,AA91+1,"m"))))&lt;0,0,IF(Q92+R92+S92+Y92+Z92+X92+W92+V92+U92+T92=12,0,IF(AA91&gt;$H$28,12-DATEDIF($H$28,AA91+1,"m"),IF(AA91&lt;$H$27,0,DATEDIF($H$27,AA91+1,"m")))))</f>
        <v>0</v>
      </c>
      <c r="AB92" s="412">
        <f>IF(IF(Q92+R92+S92+T92+Z92+AA92+Y92+X92+W92+V92+U92=12,0,IF(AB91&gt;$H$28,12-DATEDIF($H$28,AB91+1,"m"),IF(AB91&lt;$H$27,0,DATEDIF($H$27,AB91+1,"m"))))&lt;0,0,IF(Q92+R92+S92+T92+Z92+AA92+Y92+X92+W92+V92+U92=12,0,IF(AB91&gt;$H$28,12-DATEDIF($H$28,AB91+1,"m"),IF(AB91&lt;$H$27,0,DATEDIF($H$27,AB91+1,"m")))))</f>
        <v>0</v>
      </c>
      <c r="AC92" s="412">
        <f>IF(IF(Q92+R92+S92+T92+U92+AA92+AB92+Z92+Y92+X92+W92+V92=12,0,IF(AC91&gt;$H$28,12-DATEDIF($H$28,AC91+1,"m"),IF(AC91&lt;$H$27,0,DATEDIF($H$27,AC91+1,"m"))))&lt;0,0,IF(Q92+R92+S92+T92+U92+AA92+AB92+Z92+Y92+X92+W92+V92=12,0,IF(AC91&gt;$H$28,12-DATEDIF($H$28,AC91+1,"m"),IF(AC91&lt;$H$27,0,DATEDIF($H$27,AC91+1,"m")))))</f>
        <v>0</v>
      </c>
      <c r="AD92" s="412">
        <f>IF(IF(Q92+R92+S92+T92+U92+V92+AB92+AC92+AA92+Z92+Y92+X92+W92=12,0,IF(AD91&gt;$H$28,12-DATEDIF($H$28,AD91+1,"m"),IF(AD91&lt;$H$27,0,DATEDIF($H$27,AD91+1,"m"))))&lt;0,0,IF(Q92+R92+S92+T92+U92+V92+AB92+AC92+AA92+Z92+Y92+X92+W92=12,0,IF(AD91&gt;$H$28,12-DATEDIF($H$28,AD91+1,"m"),IF(AD91&lt;$H$27,0,DATEDIF($H$27,AD91+1,"m")))))</f>
        <v>0</v>
      </c>
      <c r="AE92" s="412">
        <f>IF(IF(Q92+R92+S92+T92+U92+V92+W92+AC92+AD92+AB92+AA92+Z92+Y92+X92=12,0,IF(AE91&gt;$H$28,12-DATEDIF($H$28,AE91+1,"m"),IF(AE91&lt;$H$27,0,DATEDIF($H$27,AE91+1,"m"))))&lt;0,0,IF(Q92+R92+S92+T92+U92+V92+W92+AC92+AD92+AB92+AA92+Z92+Y92+X92=12,0,IF(AE91&gt;$H$28,12-DATEDIF($H$28,AE91+1,"m"),IF(AE91&lt;$H$27,0,DATEDIF($H$27,AE91+1,"m")))))</f>
        <v>0</v>
      </c>
      <c r="AF92" s="412">
        <f>IF(IF(Q92+R92+S92+T92+U92+V92+W92+X92+AD92+AE92+AC92+AB92+AA92+Z92+Y92=12,0,IF(AF91&gt;$H$28,12-DATEDIF($H$28,AF91+1,"m"),IF(AF91&lt;$H$27,0,DATEDIF($H$27,AF91+1,"m"))))&lt;0,0,IF(Q92+R92+S92+T92+U92+V92+W92+X92+AD92+AE92+AC92+AB92+AA92+Z92+Y92=12,0,IF(AF91&gt;$H$28,12-DATEDIF($H$28,AF91+1,"m"),IF(AF91&lt;$H$27,0,DATEDIF($H$27,AF91+1,"m")))))</f>
        <v>0</v>
      </c>
      <c r="AG92" s="412">
        <f>IF(IF(Q92+R92+S92+T92+U92+V92+W92+X92+Y92+AE92+AF92+AD92+AC92+AB92+AA92+Z92=12,0,IF(AG91&gt;$H$28,12-DATEDIF($H$28,AG91+1,"m"),IF(AG91&lt;$H$27,0,DATEDIF($H$27,AG91+1,"m"))))&lt;0,0,IF(Q92+R92+S92+T92+U92+V92+W92+X92+Y92+AE92+AF92+AD92+AC92+AB92+AA92+Z92=12,0,IF(AG91&gt;$H$28,12-DATEDIF($H$28,AG91+1,"m"),IF(AG91&lt;$H$27,0,DATEDIF($H$27,AG91+1,"m")))))</f>
        <v>0</v>
      </c>
      <c r="AH92" s="423">
        <f>SUM(Q92:AG92)</f>
        <v>0</v>
      </c>
      <c r="AI92" s="412">
        <f t="shared" si="39"/>
        <v>0</v>
      </c>
      <c r="AJ92" s="412">
        <f t="shared" si="39"/>
        <v>0</v>
      </c>
      <c r="AK92" s="412">
        <f t="shared" si="39"/>
        <v>0</v>
      </c>
      <c r="AL92" s="412">
        <f t="shared" si="39"/>
        <v>0</v>
      </c>
      <c r="AM92" s="412">
        <f t="shared" si="39"/>
        <v>0</v>
      </c>
      <c r="AN92" s="412">
        <f t="shared" si="39"/>
        <v>0</v>
      </c>
      <c r="AO92" s="412">
        <f t="shared" si="39"/>
        <v>0</v>
      </c>
      <c r="AP92" s="412">
        <f t="shared" si="39"/>
        <v>0</v>
      </c>
      <c r="AQ92" s="412">
        <f t="shared" si="39"/>
        <v>0</v>
      </c>
      <c r="AR92" s="412">
        <f t="shared" si="39"/>
        <v>0</v>
      </c>
      <c r="AS92" s="412">
        <f t="shared" si="40"/>
        <v>0</v>
      </c>
      <c r="AT92" s="412">
        <f t="shared" si="40"/>
        <v>0</v>
      </c>
      <c r="AU92" s="412">
        <f t="shared" si="40"/>
        <v>0</v>
      </c>
      <c r="AV92" s="412">
        <f t="shared" si="40"/>
        <v>0</v>
      </c>
      <c r="AW92" s="412">
        <f t="shared" si="40"/>
        <v>0</v>
      </c>
      <c r="AX92" s="412">
        <f t="shared" si="40"/>
        <v>0</v>
      </c>
      <c r="AY92" s="412">
        <f t="shared" si="40"/>
        <v>0</v>
      </c>
      <c r="AZ92" s="219">
        <f>SUM(AI92:AY92)</f>
        <v>0</v>
      </c>
    </row>
    <row r="93" spans="1:52" ht="12.75" customHeight="1">
      <c r="A93" s="216"/>
      <c r="B93" s="217"/>
      <c r="C93" s="217"/>
      <c r="D93" s="217"/>
      <c r="E93" s="217"/>
      <c r="F93" s="217"/>
      <c r="G93" s="217"/>
      <c r="H93" s="217"/>
      <c r="I93" s="217"/>
      <c r="J93" s="217"/>
      <c r="K93" s="217"/>
      <c r="L93" s="218"/>
      <c r="P93" s="207">
        <f t="shared" si="36"/>
        <v>1</v>
      </c>
      <c r="Q93" s="412">
        <f>IF(Q92=0,0,(IF(($B$33+$C$33+$D$33+$E$33+$F$33+$G$33+$H$33)&lt;=25000,(($H$33/+$AH92)*Q92)*VLOOKUP('1. SUMMARY'!$C$20,rate,Sheet1!T$21,0),((IF(($B$33+$C$33+$D$33+$E$33+$F$33+$G$33)&gt;=25000,0,(((25000-($B$33+$C$33+$D$33+$E$33+$F$33+$G$33))/+$AH92)*Q92)*(VLOOKUP('1. SUMMARY'!$C$20,rate,Sheet1!T$21,0))))))))</f>
        <v>0</v>
      </c>
      <c r="R93" s="412">
        <f>IF(R92=0,0,(IF(($B$33+$C$33+$D$33+$E$33+$F$33+$G$33+$H$33)&lt;=25000,(($H$33/+$AH92)*R92)*VLOOKUP('1. SUMMARY'!$C$20,rate,Sheet1!U$21,0),((IF(($B$33+$C$33+$D$33+$E$33+$F$33+$G$33)&gt;=25000,0,(((25000-($B$33+$C$33+$D$33+$E$33+$F$33+$G$33))/+$AH92)*R92)*(VLOOKUP('1. SUMMARY'!$C$20,rate,Sheet1!U$21,0))))))))</f>
        <v>0</v>
      </c>
      <c r="S93" s="412">
        <f>IF(S92=0,0,(IF(($B$33+$C$33+$D$33+$E$33+$F$33+$G$33+$H$33)&lt;=25000,(($H$33/+$AH92)*S92)*VLOOKUP('1. SUMMARY'!$C$20,rate,Sheet1!V$21,0),((IF(($B$33+$C$33+$D$33+$E$33+$F$33+$G$33)&gt;=25000,0,(((25000-($B$33+$C$33+$D$33+$E$33+$F$33+$G$33))/+$AH92)*S92)*(VLOOKUP('1. SUMMARY'!$C$20,rate,Sheet1!V$21,0))))))))</f>
        <v>0</v>
      </c>
      <c r="T93" s="412">
        <f>IF(T92=0,0,(IF(($B$33+$C$33+$D$33+$E$33+$F$33+$G$33+$H$33)&lt;=25000,(($H$33/+$AH92)*T92)*VLOOKUP('1. SUMMARY'!$C$20,rate,Sheet1!W$21,0),((IF(($B$33+$C$33+$D$33+$E$33+$F$33+$G$33)&gt;=25000,0,(((25000-($B$33+$C$33+$D$33+$E$33+$F$33+$G$33))/+$AH92)*T92)*(VLOOKUP('1. SUMMARY'!$C$20,rate,Sheet1!W$21,0))))))))</f>
        <v>0</v>
      </c>
      <c r="U93" s="412">
        <f>IF(U92=0,0,(IF(($B$33+$C$33+$D$33+$E$33+$F$33+$G$33+$H$33)&lt;=25000,(($H$33/+$AH92)*U92)*VLOOKUP('1. SUMMARY'!$C$20,rate,Sheet1!X$21,0),((IF(($B$33+$C$33+$D$33+$E$33+$F$33+$G$33)&gt;=25000,0,(((25000-($B$33+$C$33+$D$33+$E$33+$F$33+$G$33))/+$AH92)*U92)*(VLOOKUP('1. SUMMARY'!$C$20,rate,Sheet1!X$21,0))))))))</f>
        <v>0</v>
      </c>
      <c r="V93" s="412">
        <f>IF(V92=0,0,(IF(($B$33+$C$33+$D$33+$E$33+$F$33+$G$33+$H$33)&lt;=25000,(($H$33/+$AH92)*V92)*VLOOKUP('1. SUMMARY'!$C$20,rate,Sheet1!Y$21,0),((IF(($B$33+$C$33+$D$33+$E$33+$F$33+$G$33)&gt;=25000,0,(((25000-($B$33+$C$33+$D$33+$E$33+$F$33+$G$33))/+$AH92)*V92)*(VLOOKUP('1. SUMMARY'!$C$20,rate,Sheet1!Y$21,0))))))))</f>
        <v>0</v>
      </c>
      <c r="W93" s="412">
        <f>IF(W92=0,0,(IF(($B$33+$C$33+$D$33+$E$33+$F$33+$G$33+$H$33)&lt;=25000,(($H$33/+$AH92)*W92)*VLOOKUP('1. SUMMARY'!$C$20,rate,Sheet1!Z$21,0),((IF(($B$33+$C$33+$D$33+$E$33+$F$33+$G$33)&gt;=25000,0,(((25000-($B$33+$C$33+$D$33+$E$33+$F$33+$G$33))/+$AH92)*W92)*(VLOOKUP('1. SUMMARY'!$C$20,rate,Sheet1!Z$21,0))))))))</f>
        <v>0</v>
      </c>
      <c r="X93" s="412">
        <f>IF(X92=0,0,(IF(($B$33+$C$33+$D$33+$E$33+$F$33+$G$33+$H$33)&lt;=25000,(($H$33/+$AH92)*X92)*VLOOKUP('1. SUMMARY'!$C$20,rate,Sheet1!AA$21,0),((IF(($B$33+$C$33+$D$33+$E$33+$F$33+$G$33)&gt;=25000,0,(((25000-($B$33+$C$33+$D$33+$E$33+$F$33+$G$33))/+$AH92)*X92)*(VLOOKUP('1. SUMMARY'!$C$20,rate,Sheet1!AA$21,0))))))))</f>
        <v>0</v>
      </c>
      <c r="Y93" s="412">
        <f>IF(Y92=0,0,(IF(($B$33+$C$33+$D$33+$E$33+$F$33+$G$33+$H$33)&lt;=25000,(($H$33/+$AH92)*Y92)*VLOOKUP('1. SUMMARY'!$C$20,rate,Sheet1!AB$21,0),((IF(($B$33+$C$33+$D$33+$E$33+$F$33+$G$33)&gt;=25000,0,(((25000-($B$33+$C$33+$D$33+$E$33+$F$33+$G$33))/+$AH92)*Y92)*(VLOOKUP('1. SUMMARY'!$C$20,rate,Sheet1!AB$21,0))))))))</f>
        <v>0</v>
      </c>
      <c r="Z93" s="412">
        <f>IF(Z92=0,0,(IF(($B$33+$C$33+$D$33+$E$33+$F$33+$G$33+$H$33)&lt;=25000,(($H$33/+$AH92)*Z92)*VLOOKUP('1. SUMMARY'!$C$20,rate,Sheet1!AC$21,0),((IF(($B$33+$C$33+$D$33+$E$33+$F$33+$G$33)&gt;=25000,0,(((25000-($B$33+$C$33+$D$33+$E$33+$F$33+$G$33))/+$AH92)*Z92)*(VLOOKUP('1. SUMMARY'!$C$20,rate,Sheet1!AC$21,0))))))))</f>
        <v>0</v>
      </c>
      <c r="AA93" s="412">
        <f>IF(AA92=0,0,(IF(($B$33+$C$33+$D$33+$E$33+$F$33+$G$33+$H$33)&lt;=25000,(($H$33/+$AH92)*AA92)*VLOOKUP('1. SUMMARY'!$C$20,rate,Sheet1!AD$21,0),((IF(($B$33+$C$33+$D$33+$E$33+$F$33+$G$33)&gt;=25000,0,(((25000-($B$33+$C$33+$D$33+$E$33+$F$33+$G$33))/+$AH92)*AA92)*(VLOOKUP('1. SUMMARY'!$C$20,rate,Sheet1!AD$21,0))))))))</f>
        <v>0</v>
      </c>
      <c r="AB93" s="412">
        <f>IF(AB92=0,0,(IF(($B$33+$C$33+$D$33+$E$33+$F$33+$G$33+$H$33)&lt;=25000,(($H$33/+$AH92)*AB92)*VLOOKUP('1. SUMMARY'!$C$20,rate,Sheet1!AE$21,0),((IF(($B$33+$C$33+$D$33+$E$33+$F$33+$G$33)&gt;=25000,0,(((25000-($B$33+$C$33+$D$33+$E$33+$F$33+$G$33))/+$AH92)*AB92)*(VLOOKUP('1. SUMMARY'!$C$20,rate,Sheet1!AE$21,0))))))))</f>
        <v>0</v>
      </c>
      <c r="AC93" s="412">
        <f>IF(AC92=0,0,(IF(($B$33+$C$33+$D$33+$E$33+$F$33+$G$33+$H$33)&lt;=25000,(($H$33/+$AH92)*AC92)*VLOOKUP('1. SUMMARY'!$C$20,rate,Sheet1!AF$21,0),((IF(($B$33+$C$33+$D$33+$E$33+$F$33+$G$33)&gt;=25000,0,(((25000-($B$33+$C$33+$D$33+$E$33+$F$33+$G$33))/+$AH92)*AC92)*(VLOOKUP('1. SUMMARY'!$C$20,rate,Sheet1!AF$21,0))))))))</f>
        <v>0</v>
      </c>
      <c r="AD93" s="412">
        <f>IF(AD92=0,0,(IF(($B$33+$C$33+$D$33+$E$33+$F$33+$G$33+$H$33)&lt;=25000,(($H$33/+$AH92)*AD92)*VLOOKUP('1. SUMMARY'!$C$20,rate,Sheet1!AG$21,0),((IF(($B$33+$C$33+$D$33+$E$33+$F$33+$G$33)&gt;=25000,0,(((25000-($B$33+$C$33+$D$33+$E$33+$F$33+$G$33))/+$AH92)*AD92)*(VLOOKUP('1. SUMMARY'!$C$20,rate,Sheet1!AG$21,0))))))))</f>
        <v>0</v>
      </c>
      <c r="AE93" s="412">
        <f>IF(AE92=0,0,(IF(($B$33+$C$33+$D$33+$E$33+$F$33+$G$33+$H$33)&lt;=25000,(($H$33/+$AH92)*AE92)*VLOOKUP('1. SUMMARY'!$C$20,rate,Sheet1!AH$21,0),((IF(($B$33+$C$33+$D$33+$E$33+$F$33+$G$33)&gt;=25000,0,(((25000-($B$33+$C$33+$D$33+$E$33+$F$33+$G$33))/+$AH92)*AE92)*(VLOOKUP('1. SUMMARY'!$C$20,rate,Sheet1!AH$21,0))))))))</f>
        <v>0</v>
      </c>
      <c r="AF93" s="412">
        <f>IF(AF92=0,0,(IF(($B$33+$C$33+$D$33+$E$33+$F$33+$G$33+$H$33)&lt;=25000,(($H$33/+$AH92)*AF92)*VLOOKUP('1. SUMMARY'!$C$20,rate,Sheet1!AI$21,0),((IF(($B$33+$C$33+$D$33+$E$33+$F$33+$G$33)&gt;=25000,0,(((25000-($B$33+$C$33+$D$33+$E$33+$F$33+$G$33))/+$AH92)*AF92)*(VLOOKUP('1. SUMMARY'!$C$20,rate,Sheet1!AI$21,0))))))))</f>
        <v>0</v>
      </c>
      <c r="AG93" s="412">
        <f>IF(AG92=0,0,(IF(($B$33+$C$33+$D$33+$E$33+$F$33+$G$33+$H$33)&lt;=25000,(($H$33/+$AH92)*AG92)*VLOOKUP('1. SUMMARY'!$C$20,rate,Sheet1!AJ$21,0),((IF(($B$33+$C$33+$D$33+$E$33+$F$33+$G$33)&gt;=25000,0,(((25000-($B$33+$C$33+$D$33+$E$33+$F$33+$G$33))/+$AH92)*AG92)*(VLOOKUP('1. SUMMARY'!$C$20,rate,Sheet1!AJ$21,0))))))))</f>
        <v>0</v>
      </c>
      <c r="AH93" s="219">
        <f>SUM(Q93:AG93)</f>
        <v>0</v>
      </c>
      <c r="AI93" s="412">
        <f>IF(AI92=0,0,((+$H33/$AZ92)*AI92)*VLOOKUP('1. SUMMARY'!$C$20,rate,Sheet1!T$21,0))</f>
        <v>0</v>
      </c>
      <c r="AJ93" s="412">
        <f>IF(AJ92=0,0,((+$H33/$AZ92)*AJ92)*VLOOKUP('1. SUMMARY'!$C$20,rate,Sheet1!U$21,0))</f>
        <v>0</v>
      </c>
      <c r="AK93" s="412">
        <f>IF(AK92=0,0,((+$H33/$AZ92)*AK92)*VLOOKUP('1. SUMMARY'!$C$20,rate,Sheet1!V$21,0))</f>
        <v>0</v>
      </c>
      <c r="AL93" s="412">
        <f>IF(AL92=0,0,((+$H33/$AZ92)*AL92)*VLOOKUP('1. SUMMARY'!$C$20,rate,Sheet1!W$21,0))</f>
        <v>0</v>
      </c>
      <c r="AM93" s="412">
        <f>IF(AM92=0,0,((+$H33/$AZ92)*AM92)*VLOOKUP('1. SUMMARY'!$C$20,rate,Sheet1!X$21,0))</f>
        <v>0</v>
      </c>
      <c r="AN93" s="412">
        <f>IF(AN92=0,0,((+$H33/$AZ92)*AN92)*VLOOKUP('1. SUMMARY'!$C$20,rate,Sheet1!Y$21,0))</f>
        <v>0</v>
      </c>
      <c r="AO93" s="412">
        <f>IF(AO92=0,0,((+$H33/$AZ92)*AO92)*VLOOKUP('1. SUMMARY'!$C$20,rate,Sheet1!Z$21,0))</f>
        <v>0</v>
      </c>
      <c r="AP93" s="412">
        <f>IF(AP92=0,0,((+$H33/$AZ92)*AP92)*VLOOKUP('1. SUMMARY'!$C$20,rate,Sheet1!AA$21,0))</f>
        <v>0</v>
      </c>
      <c r="AQ93" s="412">
        <f>IF(AQ92=0,0,((+$H33/$AZ92)*AQ92)*VLOOKUP('1. SUMMARY'!$C$20,rate,Sheet1!AB$21,0))</f>
        <v>0</v>
      </c>
      <c r="AR93" s="412">
        <f>IF(AR92=0,0,((+$H33/$AZ92)*AR92)*VLOOKUP('1. SUMMARY'!$C$20,rate,Sheet1!AC$21,0))</f>
        <v>0</v>
      </c>
      <c r="AS93" s="412">
        <f>IF(AS92=0,0,((+$H33/$AZ92)*AS92)*VLOOKUP('1. SUMMARY'!$C$20,rate,Sheet1!AD$21,0))</f>
        <v>0</v>
      </c>
      <c r="AT93" s="412">
        <f>IF(AT92=0,0,((+$H33/$AZ92)*AT92)*VLOOKUP('1. SUMMARY'!$C$20,rate,Sheet1!AE$21,0))</f>
        <v>0</v>
      </c>
      <c r="AU93" s="412">
        <f>IF(AU92=0,0,((+$H33/$AZ92)*AU92)*VLOOKUP('1. SUMMARY'!$C$20,rate,Sheet1!AF$21,0))</f>
        <v>0</v>
      </c>
      <c r="AV93" s="412">
        <f>IF(AV92=0,0,((+$H33/$AZ92)*AV92)*VLOOKUP('1. SUMMARY'!$C$20,rate,Sheet1!AG$21,0))</f>
        <v>0</v>
      </c>
      <c r="AW93" s="412">
        <f>IF(AW92=0,0,((+$H33/$AZ92)*AW92)*VLOOKUP('1. SUMMARY'!$C$20,rate,Sheet1!AH$21,0))</f>
        <v>0</v>
      </c>
      <c r="AX93" s="412">
        <f>IF(AX92=0,0,((+$H33/$AZ92)*AX92)*VLOOKUP('1. SUMMARY'!$C$20,rate,Sheet1!AI$21,0))</f>
        <v>0</v>
      </c>
      <c r="AY93" s="412">
        <f>IF(AY92=0,0,((+$H33/$AZ92)*AY92)*VLOOKUP('1. SUMMARY'!$C$20,rate,Sheet1!AJ$21,0))</f>
        <v>0</v>
      </c>
      <c r="AZ93" s="219">
        <f>SUM(AI93:AY93)</f>
        <v>0</v>
      </c>
    </row>
    <row r="94" spans="1:52" ht="12.75" customHeight="1">
      <c r="A94" s="216"/>
      <c r="B94" s="175" t="s">
        <v>81</v>
      </c>
      <c r="C94" s="175" t="s">
        <v>82</v>
      </c>
      <c r="D94" s="175" t="s">
        <v>83</v>
      </c>
      <c r="E94" s="175" t="s">
        <v>84</v>
      </c>
      <c r="F94" s="175" t="s">
        <v>85</v>
      </c>
      <c r="G94" s="175" t="s">
        <v>86</v>
      </c>
      <c r="H94" s="175" t="s">
        <v>87</v>
      </c>
      <c r="I94" s="175" t="s">
        <v>224</v>
      </c>
      <c r="J94" s="175" t="s">
        <v>225</v>
      </c>
      <c r="K94" s="175" t="s">
        <v>226</v>
      </c>
      <c r="L94" s="220" t="s">
        <v>47</v>
      </c>
      <c r="P94" s="207">
        <f>IF(Q119=39356,(+P93+1),P93)</f>
        <v>1</v>
      </c>
      <c r="Q94" s="412">
        <f>+Q93/VLOOKUP('1. SUMMARY'!$C$20,rate,Sheet1!T$21,0)</f>
        <v>0</v>
      </c>
      <c r="R94" s="412">
        <f>+R93/VLOOKUP('1. SUMMARY'!$C$20,rate,Sheet1!U$21,0)</f>
        <v>0</v>
      </c>
      <c r="S94" s="412">
        <f>+S93/VLOOKUP('1. SUMMARY'!$C$20,rate,Sheet1!V$21,0)</f>
        <v>0</v>
      </c>
      <c r="T94" s="412">
        <f>+T93/VLOOKUP('1. SUMMARY'!$C$20,rate,Sheet1!W$21,0)</f>
        <v>0</v>
      </c>
      <c r="U94" s="412">
        <f>+U93/VLOOKUP('1. SUMMARY'!$C$20,rate,Sheet1!X$21,0)</f>
        <v>0</v>
      </c>
      <c r="V94" s="412">
        <f>+V93/VLOOKUP('1. SUMMARY'!$C$20,rate,Sheet1!Y$21,0)</f>
        <v>0</v>
      </c>
      <c r="W94" s="412">
        <f>+W93/VLOOKUP('1. SUMMARY'!$C$20,rate,Sheet1!Z$21,0)</f>
        <v>0</v>
      </c>
      <c r="X94" s="412">
        <f>+X93/VLOOKUP('1. SUMMARY'!$C$20,rate,Sheet1!AA$21,0)</f>
        <v>0</v>
      </c>
      <c r="Y94" s="412">
        <f>+Y93/VLOOKUP('1. SUMMARY'!$C$20,rate,Sheet1!AB$21,0)</f>
        <v>0</v>
      </c>
      <c r="Z94" s="412">
        <f>+Z93/VLOOKUP('1. SUMMARY'!$C$20,rate,Sheet1!AC$21,0)</f>
        <v>0</v>
      </c>
      <c r="AA94" s="412">
        <f>+AA93/VLOOKUP('1. SUMMARY'!$C$20,rate,Sheet1!AD$21,0)</f>
        <v>0</v>
      </c>
      <c r="AB94" s="412">
        <f>+AB93/VLOOKUP('1. SUMMARY'!$C$20,rate,Sheet1!AE$21,0)</f>
        <v>0</v>
      </c>
      <c r="AC94" s="412">
        <f>+AC93/VLOOKUP('1. SUMMARY'!$C$20,rate,Sheet1!AF$21,0)</f>
        <v>0</v>
      </c>
      <c r="AD94" s="412">
        <f>+AD93/VLOOKUP('1. SUMMARY'!$C$20,rate,Sheet1!AG$21,0)</f>
        <v>0</v>
      </c>
      <c r="AE94" s="412">
        <f>+AE93/VLOOKUP('1. SUMMARY'!$C$20,rate,Sheet1!AH$21,0)</f>
        <v>0</v>
      </c>
      <c r="AF94" s="412">
        <f>+AF93/VLOOKUP('1. SUMMARY'!$C$20,rate,Sheet1!AI$21,0)</f>
        <v>0</v>
      </c>
      <c r="AG94" s="412">
        <f>+AG93/VLOOKUP('1. SUMMARY'!$C$20,rate,Sheet1!AJ$21,0)</f>
        <v>0</v>
      </c>
      <c r="AH94" s="211"/>
      <c r="AI94" s="412">
        <v>0</v>
      </c>
      <c r="AJ94" s="412">
        <v>0</v>
      </c>
      <c r="AK94" s="412">
        <v>0</v>
      </c>
      <c r="AL94" s="412">
        <v>0</v>
      </c>
      <c r="AM94" s="412">
        <v>0</v>
      </c>
      <c r="AN94" s="412">
        <v>0</v>
      </c>
      <c r="AO94" s="412">
        <v>0</v>
      </c>
      <c r="AP94" s="412">
        <v>0</v>
      </c>
      <c r="AQ94" s="412"/>
      <c r="AR94" s="412"/>
      <c r="AS94" s="412"/>
      <c r="AT94" s="412"/>
      <c r="AU94" s="412"/>
      <c r="AV94" s="412"/>
      <c r="AW94" s="412"/>
      <c r="AX94" s="412"/>
      <c r="AY94" s="412"/>
      <c r="AZ94" s="219"/>
    </row>
    <row r="95" spans="1:52" ht="12.75" customHeight="1">
      <c r="A95" s="221"/>
      <c r="B95" s="222">
        <f>'1. SUMMARY'!C17</f>
        <v>0</v>
      </c>
      <c r="C95" s="222" t="str">
        <f>IF(+B96+1&gt;'1. SUMMARY'!$C$18,"No "&amp;C94,+B96+1)</f>
        <v>No Year 2</v>
      </c>
      <c r="D95" s="222" t="str">
        <f>IF(C95="No "&amp;C94,"No "&amp;D94,IF(+C96+1&gt;'1. SUMMARY'!$C$18,"No "&amp;D94,+C96+1))</f>
        <v>No Year 3</v>
      </c>
      <c r="E95" s="222" t="str">
        <f>IF(D95="No "&amp;D94,"No "&amp;E94,IF(+D96+1&gt;'1. SUMMARY'!$C$18,"No "&amp;E94,+D96+1))</f>
        <v>No Year 4</v>
      </c>
      <c r="F95" s="222" t="str">
        <f>IF(E95="No "&amp;E94,"No "&amp;F94,IF(+E96+1&gt;'1. SUMMARY'!$C$18,"No "&amp;F94,+E96+1))</f>
        <v>No Year 5</v>
      </c>
      <c r="G95" s="222" t="str">
        <f>IF(F95="No "&amp;F94,"No "&amp;G94,IF(+F96+1&gt;'1. SUMMARY'!$C$18,"No "&amp;G94,+F96+1))</f>
        <v>No Year 6</v>
      </c>
      <c r="H95" s="222" t="str">
        <f>IF(G95="No "&amp;G94,"No "&amp;H94,IF(+G96+1&gt;'1. SUMMARY'!$C$18,"No "&amp;H94,+G96+1))</f>
        <v>No Year 7</v>
      </c>
      <c r="I95" s="222" t="str">
        <f>IF(H95="No "&amp;H94,"No "&amp;I94,IF(+H96+1&gt;'1. SUMMARY'!$C$18,"No "&amp;I94,+H96+1))</f>
        <v>No Year 8</v>
      </c>
      <c r="J95" s="222" t="str">
        <f>IF(I95="No "&amp;I94,"No "&amp;J94,IF(+I96+1&gt;'1. SUMMARY'!$C$18,"No "&amp;J94,+I96+1))</f>
        <v>No Year 9</v>
      </c>
      <c r="K95" s="222" t="str">
        <f>IF(J95="No "&amp;J94,"No "&amp;K94,IF(+J96+1&gt;'1. SUMMARY'!$C$18,"No "&amp;K94,+J96+1))</f>
        <v>No Year 10</v>
      </c>
      <c r="L95" s="223"/>
      <c r="P95" s="207">
        <f t="shared" si="36"/>
        <v>1</v>
      </c>
      <c r="Q95" s="418">
        <f>Sheet1!$T$8</f>
        <v>44105</v>
      </c>
      <c r="R95" s="418">
        <f>Sheet1!$U$8</f>
        <v>44470</v>
      </c>
      <c r="S95" s="418">
        <f>Sheet1!$V$8</f>
        <v>44835</v>
      </c>
      <c r="T95" s="418">
        <f>Sheet1!$W$8</f>
        <v>45200</v>
      </c>
      <c r="U95" s="418">
        <f>Sheet1!$X$8</f>
        <v>45566</v>
      </c>
      <c r="V95" s="418">
        <f>Sheet1!$Y$8</f>
        <v>45931</v>
      </c>
      <c r="W95" s="418">
        <f>Sheet1!$Z$8</f>
        <v>46296</v>
      </c>
      <c r="X95" s="418">
        <f>Sheet1!$AA$8</f>
        <v>46661</v>
      </c>
      <c r="Y95" s="418">
        <f>Sheet1!$AB$8</f>
        <v>47027</v>
      </c>
      <c r="Z95" s="418">
        <f>Sheet1!$AC$8</f>
        <v>47392</v>
      </c>
      <c r="AA95" s="418">
        <f>$AA$5</f>
        <v>47757</v>
      </c>
      <c r="AB95" s="418">
        <f>$AB$5</f>
        <v>48122</v>
      </c>
      <c r="AC95" s="418">
        <f>$AC$5</f>
        <v>48488</v>
      </c>
      <c r="AD95" s="418">
        <f>$AD$5</f>
        <v>48853</v>
      </c>
      <c r="AE95" s="418">
        <f>$AE$5</f>
        <v>49218</v>
      </c>
      <c r="AF95" s="418">
        <f>$AF$5</f>
        <v>49583</v>
      </c>
      <c r="AG95" s="418">
        <f>$AG$5</f>
        <v>49949</v>
      </c>
      <c r="AH95" s="211"/>
      <c r="AI95" s="418">
        <f t="shared" ref="AI95:AR97" si="41">+Q95</f>
        <v>44105</v>
      </c>
      <c r="AJ95" s="418">
        <f t="shared" si="41"/>
        <v>44470</v>
      </c>
      <c r="AK95" s="418">
        <f t="shared" si="41"/>
        <v>44835</v>
      </c>
      <c r="AL95" s="418">
        <f t="shared" si="41"/>
        <v>45200</v>
      </c>
      <c r="AM95" s="418">
        <f t="shared" si="41"/>
        <v>45566</v>
      </c>
      <c r="AN95" s="418">
        <f t="shared" si="41"/>
        <v>45931</v>
      </c>
      <c r="AO95" s="418">
        <f t="shared" si="41"/>
        <v>46296</v>
      </c>
      <c r="AP95" s="418">
        <f t="shared" si="41"/>
        <v>46661</v>
      </c>
      <c r="AQ95" s="418">
        <f t="shared" si="41"/>
        <v>47027</v>
      </c>
      <c r="AR95" s="418">
        <f t="shared" si="41"/>
        <v>47392</v>
      </c>
      <c r="AS95" s="418">
        <f t="shared" ref="AS95:AY97" si="42">+AA95</f>
        <v>47757</v>
      </c>
      <c r="AT95" s="418">
        <f t="shared" si="42"/>
        <v>48122</v>
      </c>
      <c r="AU95" s="418">
        <f t="shared" si="42"/>
        <v>48488</v>
      </c>
      <c r="AV95" s="418">
        <f t="shared" si="42"/>
        <v>48853</v>
      </c>
      <c r="AW95" s="418">
        <f t="shared" si="42"/>
        <v>49218</v>
      </c>
      <c r="AX95" s="418">
        <f t="shared" si="42"/>
        <v>49583</v>
      </c>
      <c r="AY95" s="418">
        <f t="shared" si="42"/>
        <v>49949</v>
      </c>
      <c r="AZ95" s="211"/>
    </row>
    <row r="96" spans="1:52" ht="12.75" customHeight="1">
      <c r="A96" s="221"/>
      <c r="B96" s="224">
        <f>IF((DATE(YEAR(B95), MONTH(B95)+12, DAY(B95)-1))&lt;=('1. SUMMARY'!$C$18),DATE(YEAR(B95), MONTH(B95)+12, DAY(B95)-1),'1. SUMMARY'!$C$18)</f>
        <v>0</v>
      </c>
      <c r="C96" s="224" t="str">
        <f>IF(C95="No "&amp;C94,"No "&amp;C94,IF(B96='1. SUMMARY'!B105,"a",IF((DATE(YEAR(C95),MONTH(C95)+12,DAY(C95)-1))&lt;=('1. SUMMARY'!$C$18),DATE(YEAR(C95),MONTH(C95)+12,DAY(C95)-1),'1. SUMMARY'!$C$18)))</f>
        <v>No Year 2</v>
      </c>
      <c r="D96" s="224" t="str">
        <f>IF(D95="No "&amp;D94,"No "&amp;D94,IF(C96='1. SUMMARY'!C105,"a",IF((DATE(YEAR(D95),MONTH(D95)+12,DAY(D95)-1))&lt;=('1. SUMMARY'!$C$18),DATE(YEAR(D95),MONTH(D95)+12,DAY(D95)-1),'1. SUMMARY'!$C$18)))</f>
        <v>No Year 3</v>
      </c>
      <c r="E96" s="224" t="str">
        <f>IF(E95="No "&amp;E94,"No "&amp;E94,IF(D96='1. SUMMARY'!E105,"a",IF((DATE(YEAR(E95),MONTH(E95)+12,DAY(E95)-1))&lt;=('1. SUMMARY'!$C$18),DATE(YEAR(E95),MONTH(E95)+12,DAY(E95)-1),'1. SUMMARY'!$C$18)))</f>
        <v>No Year 4</v>
      </c>
      <c r="F96" s="224" t="str">
        <f>IF(F95="No "&amp;F94,"No "&amp;F94,IF(E96='1. SUMMARY'!F105,"a",IF((DATE(YEAR(F95),MONTH(F95)+12,DAY(F95)-1))&lt;=('1. SUMMARY'!$C$18),DATE(YEAR(F95),MONTH(F95)+12,DAY(F95)-1),'1. SUMMARY'!$C$18)))</f>
        <v>No Year 5</v>
      </c>
      <c r="G96" s="224" t="str">
        <f>IF(G95="No "&amp;G94,"No "&amp;G94,IF(F96='1. SUMMARY'!G105,"a",IF((DATE(YEAR(G95),MONTH(G95)+12,DAY(G95)-1))&lt;=('1. SUMMARY'!$C$18),DATE(YEAR(G95),MONTH(G95)+12,DAY(G95)-1),'1. SUMMARY'!$C$18)))</f>
        <v>No Year 6</v>
      </c>
      <c r="H96" s="224" t="str">
        <f>IF(H95="No "&amp;H94,"No "&amp;H94,IF(G96='1. SUMMARY'!H105,"a",IF((DATE(YEAR(H95),MONTH(H95)+12,DAY(H95)-1))&lt;=('1. SUMMARY'!$C$18),DATE(YEAR(H95),MONTH(H95)+12,DAY(H95)-1),'1. SUMMARY'!$C$18)))</f>
        <v>No Year 7</v>
      </c>
      <c r="I96" s="224" t="str">
        <f>IF(I95="No "&amp;I94,"No "&amp;I94,IF(H96='1. SUMMARY'!N105,"a",IF((DATE(YEAR(I95),MONTH(I95)+12,DAY(I95)-1))&lt;=('1. SUMMARY'!$C$18),DATE(YEAR(I95),MONTH(I95)+12,DAY(I95)-1),'1. SUMMARY'!$C$18)))</f>
        <v>No Year 8</v>
      </c>
      <c r="J96" s="224" t="str">
        <f>IF(J95="No "&amp;J94,"No "&amp;J94,IF(I96='1. SUMMARY'!O105,"a",IF((DATE(YEAR(J95),MONTH(J95)+12,DAY(J95)-1))&lt;=('1. SUMMARY'!$C$18),DATE(YEAR(J95),MONTH(J95)+12,DAY(J95)-1),'1. SUMMARY'!$C$18)))</f>
        <v>No Year 9</v>
      </c>
      <c r="K96" s="224" t="str">
        <f>IF(K95="No "&amp;K94,"No "&amp;K94,IF(J96='1. SUMMARY'!P103,"a",IF((DATE(YEAR(K95),MONTH(K95)+12,DAY(K95)-1))&lt;=('1. SUMMARY'!$C$18),DATE(YEAR(K95),MONTH(K95)+12,DAY(K95)-1),'1. SUMMARY'!$C$18)))</f>
        <v>No Year 10</v>
      </c>
      <c r="L96" s="218"/>
      <c r="P96" s="207">
        <f t="shared" si="36"/>
        <v>1</v>
      </c>
      <c r="Q96" s="418">
        <f>Sheet1!$T$9</f>
        <v>44469</v>
      </c>
      <c r="R96" s="418">
        <f>Sheet1!$U$9</f>
        <v>44834</v>
      </c>
      <c r="S96" s="418">
        <f>Sheet1!$V$9</f>
        <v>45199</v>
      </c>
      <c r="T96" s="418">
        <f>Sheet1!$W$9</f>
        <v>45565</v>
      </c>
      <c r="U96" s="418">
        <f>Sheet1!$X$9</f>
        <v>45930</v>
      </c>
      <c r="V96" s="418">
        <f>Sheet1!$Y$9</f>
        <v>46295</v>
      </c>
      <c r="W96" s="418">
        <f>Sheet1!$Z$9</f>
        <v>46660</v>
      </c>
      <c r="X96" s="418">
        <f>Sheet1!$AA$9</f>
        <v>47026</v>
      </c>
      <c r="Y96" s="418">
        <f>Sheet1!$AB$9</f>
        <v>47391</v>
      </c>
      <c r="Z96" s="418">
        <f>Sheet1!$AC$9</f>
        <v>47756</v>
      </c>
      <c r="AA96" s="418">
        <f>$AA$6</f>
        <v>48121</v>
      </c>
      <c r="AB96" s="418">
        <f>$AB$6</f>
        <v>48487</v>
      </c>
      <c r="AC96" s="418">
        <f>$AC$6</f>
        <v>48852</v>
      </c>
      <c r="AD96" s="418">
        <f>$AD$6</f>
        <v>49217</v>
      </c>
      <c r="AE96" s="418">
        <f>$AE$6</f>
        <v>49582</v>
      </c>
      <c r="AF96" s="418">
        <f>$AF$6</f>
        <v>49948</v>
      </c>
      <c r="AG96" s="418">
        <f>$AG$6</f>
        <v>50313</v>
      </c>
      <c r="AH96" s="211"/>
      <c r="AI96" s="418">
        <f t="shared" si="41"/>
        <v>44469</v>
      </c>
      <c r="AJ96" s="418">
        <f t="shared" si="41"/>
        <v>44834</v>
      </c>
      <c r="AK96" s="418">
        <f t="shared" si="41"/>
        <v>45199</v>
      </c>
      <c r="AL96" s="418">
        <f t="shared" si="41"/>
        <v>45565</v>
      </c>
      <c r="AM96" s="418">
        <f t="shared" si="41"/>
        <v>45930</v>
      </c>
      <c r="AN96" s="418">
        <f t="shared" si="41"/>
        <v>46295</v>
      </c>
      <c r="AO96" s="418">
        <f t="shared" si="41"/>
        <v>46660</v>
      </c>
      <c r="AP96" s="418">
        <f t="shared" si="41"/>
        <v>47026</v>
      </c>
      <c r="AQ96" s="418">
        <f t="shared" si="41"/>
        <v>47391</v>
      </c>
      <c r="AR96" s="418">
        <f t="shared" si="41"/>
        <v>47756</v>
      </c>
      <c r="AS96" s="418">
        <f t="shared" si="42"/>
        <v>48121</v>
      </c>
      <c r="AT96" s="418">
        <f t="shared" si="42"/>
        <v>48487</v>
      </c>
      <c r="AU96" s="418">
        <f t="shared" si="42"/>
        <v>48852</v>
      </c>
      <c r="AV96" s="418">
        <f t="shared" si="42"/>
        <v>49217</v>
      </c>
      <c r="AW96" s="418">
        <f t="shared" si="42"/>
        <v>49582</v>
      </c>
      <c r="AX96" s="418">
        <f t="shared" si="42"/>
        <v>49948</v>
      </c>
      <c r="AY96" s="418">
        <f t="shared" si="42"/>
        <v>50313</v>
      </c>
      <c r="AZ96" s="211"/>
    </row>
    <row r="97" spans="1:52" ht="12.75" customHeight="1">
      <c r="A97" s="216"/>
      <c r="B97" s="225"/>
      <c r="C97" s="225"/>
      <c r="D97" s="225"/>
      <c r="E97" s="225"/>
      <c r="F97" s="225"/>
      <c r="G97" s="225"/>
      <c r="H97" s="225"/>
      <c r="I97" s="225"/>
      <c r="J97" s="225"/>
      <c r="K97" s="225"/>
      <c r="L97" s="223"/>
      <c r="O97" s="207">
        <v>8</v>
      </c>
      <c r="P97" s="207">
        <f t="shared" si="36"/>
        <v>1</v>
      </c>
      <c r="Q97" s="419">
        <f>IF(IF(Q96&lt;$I$27,0,DATEDIF($I$27,Q96+1,"m"))&lt;0,0,IF(Q96&lt;$I$27,0,DATEDIF($I$27,Q96+1,"m")))</f>
        <v>0</v>
      </c>
      <c r="R97" s="419">
        <f>IF(IF(Q97=12,0,IF(R96&gt;$I$28,12-DATEDIF($I$28,R96+1,"m"),IF(R96&lt;$I$27,0,DATEDIF($I$27,R96+1,"m"))))&lt;0,0,IF(Q97=12,0,IF(R96&gt;$I$28,12-DATEDIF($I$28,R96+1,"m"),IF(R96&lt;$I$27,0,DATEDIF($I$27,R96+1,"m")))))</f>
        <v>0</v>
      </c>
      <c r="S97" s="419">
        <f>IF(IF(Q97+R97=12,0,IF(S96&gt;$I$28,12-DATEDIF($I$28,S96+1,"m"),IF(S96&lt;$I$27,0,DATEDIF($I$27,S96+1,"m"))))&lt;0,0,IF(Q97+R97=12,0,IF(S96&gt;$I$28,12-DATEDIF($I$28,S96+1,"m"),IF(S96&lt;$I$27,0,DATEDIF($I$27,S96+1,"m")))))</f>
        <v>0</v>
      </c>
      <c r="T97" s="419">
        <f>IF(IF(R97+S97+Q97=12,0,IF(T96&gt;$I$28,12-DATEDIF($I$28,T96+1,"m"),IF(T96&lt;$I$27,0,DATEDIF($I$27,T96+1,"m"))))&lt;0,0,IF(R97+S97+Q97=12,0,IF(T96&gt;$I$28,12-DATEDIF($I$28,T96+1,"m"),IF(T96&lt;$I$27,0,DATEDIF($I$27,T96+1,"m")))))</f>
        <v>0</v>
      </c>
      <c r="U97" s="419">
        <f>IF(IF(S97+T97+R97+Q97=12,0,IF(U96&gt;$I$28,12-DATEDIF($I$28,U96+1,"m"),IF(U96&lt;$I$27,0,DATEDIF($I$27,U96+1,"m"))))&lt;0,0,IF(S97+T97+R97+Q97=12,0,IF(U96&gt;$I$28,12-DATEDIF($I$28,U96+1,"m"),IF(U96&lt;$I$27,0,DATEDIF($I$27,U96+1,"m")))))</f>
        <v>0</v>
      </c>
      <c r="V97" s="419">
        <f>IF(IF(T97+U97+S97+R97+Q97=12,0,IF(V96&gt;$I$28,12-DATEDIF($I$28,V96+1,"m"),IF(V96&lt;$I$27,0,DATEDIF($I$27,V96+1,"m"))))&lt;0,0,IF(T97+U97+S97+R97+Q97=12,0,IF(V96&gt;$I$28,12-DATEDIF($I$28,V96+1,"m"),IF(V96&lt;$I$27,0,DATEDIF($I$27,V96+1,"m")))))</f>
        <v>0</v>
      </c>
      <c r="W97" s="419">
        <f>IF(IF(U97+V97+T97+S97+R97+Q97=12,0,IF(W96&gt;$I$28,12-DATEDIF($I$28,W96+1,"m"),IF(W96&lt;$I$27,0,DATEDIF($I$27,W96+1,"m"))))&lt;0,0,IF(U97+V97+T97+S97+R97+Q97=12,0,IF(W96&gt;$I$28,12-DATEDIF($I$28,W96+1,"m"),IF(W96&lt;$I$27,0,DATEDIF($I$27,W96+1,"m")))))</f>
        <v>0</v>
      </c>
      <c r="X97" s="419">
        <f>IF(IF(V97+W97+U97+T97+S97+R97+Q97=12,0,IF(X96&gt;$I$28,12-DATEDIF($I$28,X96+1,"m"),IF(X96&lt;$I$27,0,DATEDIF($I$27,X96+1,"m"))))&lt;0,0,IF(V97+W97+U97+T97+S97+R97+Q97=12,0,IF(X96&gt;$I$28,12-DATEDIF($I$28,X96+1,"m"),IF(X96&lt;$I$27,0,DATEDIF($I$27,X96+1,"m")))))</f>
        <v>0</v>
      </c>
      <c r="Y97" s="419">
        <f>IF(IF(W97+X97+V97+U97+T97+S97+R97+Q97=12,0,IF(Y96&gt;$I$28,12-DATEDIF($I$28,Y96+1,"m"),IF(Y96&lt;$I$27,0,DATEDIF($I$27,Y96+1,"m"))))&lt;0,0,IF(W97+X97+V97+U97+T97+S97+R97+Q97=12,0,IF(Y96&gt;$I$28,12-DATEDIF($I$28,Y96+1,"m"),IF(Y96&lt;$I$27,0,DATEDIF($I$27,Y96+1,"m")))))</f>
        <v>0</v>
      </c>
      <c r="Z97" s="419">
        <f>IF(IF(X97+Y97+W97+V97+U97+T97+S97+R97+Q97=12,0,IF(Z96&gt;$I$28,12-DATEDIF($I$28,Z96+1,"m"),IF(Z96&lt;$I$27,0,DATEDIF($I$27,Z96+1,"m"))))&lt;0,0,IF(X97+Y97+W97+V97+U97+T97+S97+R97+Q97=12,0,IF(Z96&gt;$I$28,12-DATEDIF($I$28,Z96+1,"m"),IF(Z96&lt;$I$27,0,DATEDIF($I$27,Z96+1,"m")))))</f>
        <v>0</v>
      </c>
      <c r="AA97" s="419">
        <f>IF(IF(Q97+R97+S97+Y97+Z97+X97+W97+V97+U97+T97=12,0,IF(AA96&gt;$I$28,12-DATEDIF($I$28,AA96+1,"m"),IF(AA96&lt;$I$27,0,DATEDIF($I$27,AA96+1,"m"))))&lt;0,0,IF(Q97+R97+S97+Y97+Z97+X97+W97+V97+U97+T97=12,0,IF(AA96&gt;$I$28,12-DATEDIF($I$28,AA96+1,"m"),IF(AA96&lt;$I$27,0,DATEDIF($I$27,AA96+1,"m")))))</f>
        <v>0</v>
      </c>
      <c r="AB97" s="419">
        <f>IF(IF(Q97+R97+S97+T97+Z97+AA97+Y97+X97+W97+V97+U97=12,0,IF(AB96&gt;$I$28,12-DATEDIF($I$28,AB96+1,"m"),IF(AB96&lt;$I$27,0,DATEDIF($I$27,AB96+1,"m"))))&lt;0,0,IF(Q97+R97+S97+T97+Z97+AA97+Y97+X97+W97+V97+U97=12,0,IF(AB96&gt;$I$28,12-DATEDIF($I$28,AB96+1,"m"),IF(AB96&lt;$I$27,0,DATEDIF($I$27,AB96+1,"m")))))</f>
        <v>0</v>
      </c>
      <c r="AC97" s="419">
        <f>IF(IF(Q97+R97+S97+T97+U97+AA97+AB97+Z97+Y97+X97+W97+V97=12,0,IF(AC96&gt;$I$28,12-DATEDIF($I$28,AC96+1,"m"),IF(AC96&lt;$I$27,0,DATEDIF($I$27,AC96+1,"m"))))&lt;0,0,IF(Q97+R97+S97+T97+U97+AA97+AB97+Z97+Y97+X97+W97+V97=12,0,IF(AC96&gt;$I$28,12-DATEDIF($I$28,AC96+1,"m"),IF(AC96&lt;$I$27,0,DATEDIF($I$27,AC96+1,"m")))))</f>
        <v>0</v>
      </c>
      <c r="AD97" s="419">
        <f>IF(IF(Q97+R97+S97+T97+U97+V97+AB97+AC97+AA97+Z97+Y97+X97+W97=12,0,IF(AD96&gt;$I$28,12-DATEDIF($I$28,AD96+1,"m"),IF(AD96&lt;$I$27,0,DATEDIF($I$27,AD96+1,"m"))))&lt;0,0,IF(Q97+R97+S97+T97+U97+V97+AB97+AC97+AA97+Z97+Y97+X97+W97=12,0,IF(AD96&gt;$I$28,12-DATEDIF($I$28,AD96+1,"m"),IF(AD96&lt;$I$27,0,DATEDIF($I$27,AD96+1,"m")))))</f>
        <v>0</v>
      </c>
      <c r="AE97" s="419">
        <f>IF(IF(Q97+R97+S97+T97+U97+V97+W97+AC97+AD97+AB97+AA97+Z97+Y97+X97=12,0,IF(AE96&gt;$I$28,12-DATEDIF($I$28,AE96+1,"m"),IF(AE96&lt;$I$27,0,DATEDIF($I$27,AE96+1,"m"))))&lt;0,0,IF(Q97+R97+S97+T97+U97+V97+W97+AC97+AD97+AB97+AA97+Z97+Y97+X97=12,0,IF(AE96&gt;$I$28,12-DATEDIF($I$28,AE96+1,"m"),IF(AE96&lt;$I$27,0,DATEDIF($I$27,AE96+1,"m")))))</f>
        <v>0</v>
      </c>
      <c r="AF97" s="419">
        <f>IF(IF(Q97+R97+S97+T97+U97+V97+W97+X97+AD97+AE97+AC97+AB97+AA97+Z97+Y97=12,0,IF(AF96&gt;$I$28,12-DATEDIF($I$28,AF96+1,"m"),IF(AF96&lt;$I$27,0,DATEDIF($I$27,AF96+1,"m"))))&lt;0,0,IF(Q97+R97+S97+T97+U97+V97+W97+X97+AD97+AE97+AC97+AB97+AA97+Z97+Y97=12,0,IF(AF96&gt;$I$28,12-DATEDIF($I$28,AF96+1,"m"),IF(AF96&lt;$I$27,0,DATEDIF($I$27,AF96+1,"m")))))</f>
        <v>0</v>
      </c>
      <c r="AG97" s="419">
        <f>IF(IF(Q97+R97+S97+T97+U97+V97+W97+X97+Y97+AE97+AF97+AD97+AC97+AB97+AA97+Z97=12,0,IF(AI96&gt;$I$28,12-DATEDIF($I$28,AI96+1,"m"),IF(AI96&lt;$I$27,0,DATEDIF($I$27,AI96+1,"m"))))&lt;0,0,IF(Q97+R97+S97+T97+U97+V97+W97+X97+Y97+AE97+AF97+AD97+AC97+AB97+AA97+Z97=12,0,IF(AI96&gt;$I$28,12-DATEDIF($I$28,AI96+1,"m"),IF(AI96&lt;$I$27,0,DATEDIF($I$27,AI96+1,"m")))))</f>
        <v>0</v>
      </c>
      <c r="AH97" s="423">
        <f>SUM(Q97:AG97)</f>
        <v>0</v>
      </c>
      <c r="AI97" s="419">
        <f t="shared" si="41"/>
        <v>0</v>
      </c>
      <c r="AJ97" s="419">
        <f t="shared" si="41"/>
        <v>0</v>
      </c>
      <c r="AK97" s="419">
        <f t="shared" si="41"/>
        <v>0</v>
      </c>
      <c r="AL97" s="419">
        <f t="shared" si="41"/>
        <v>0</v>
      </c>
      <c r="AM97" s="419">
        <f t="shared" si="41"/>
        <v>0</v>
      </c>
      <c r="AN97" s="419">
        <f t="shared" si="41"/>
        <v>0</v>
      </c>
      <c r="AO97" s="419">
        <f t="shared" si="41"/>
        <v>0</v>
      </c>
      <c r="AP97" s="419">
        <f t="shared" si="41"/>
        <v>0</v>
      </c>
      <c r="AQ97" s="419">
        <f t="shared" si="41"/>
        <v>0</v>
      </c>
      <c r="AR97" s="419">
        <f t="shared" si="41"/>
        <v>0</v>
      </c>
      <c r="AS97" s="419">
        <f t="shared" si="42"/>
        <v>0</v>
      </c>
      <c r="AT97" s="419">
        <f t="shared" si="42"/>
        <v>0</v>
      </c>
      <c r="AU97" s="419">
        <f t="shared" si="42"/>
        <v>0</v>
      </c>
      <c r="AV97" s="419">
        <f t="shared" si="42"/>
        <v>0</v>
      </c>
      <c r="AW97" s="419">
        <f t="shared" si="42"/>
        <v>0</v>
      </c>
      <c r="AX97" s="419">
        <f t="shared" si="42"/>
        <v>0</v>
      </c>
      <c r="AY97" s="419">
        <f t="shared" si="42"/>
        <v>0</v>
      </c>
      <c r="AZ97" s="219">
        <f>SUM(AI97:AY97)</f>
        <v>0</v>
      </c>
    </row>
    <row r="98" spans="1:52" ht="12.75" customHeight="1">
      <c r="A98" s="226" t="s">
        <v>150</v>
      </c>
      <c r="B98" s="227"/>
      <c r="C98" s="227"/>
      <c r="D98" s="227"/>
      <c r="E98" s="227"/>
      <c r="F98" s="227"/>
      <c r="G98" s="228"/>
      <c r="H98" s="228"/>
      <c r="I98" s="228"/>
      <c r="J98" s="228"/>
      <c r="K98" s="228"/>
      <c r="L98" s="229">
        <f>SUM(B98:K98)</f>
        <v>0</v>
      </c>
      <c r="P98" s="207">
        <f t="shared" si="36"/>
        <v>1</v>
      </c>
      <c r="Q98" s="419">
        <f>IF(Q97=0,0,(IF(($B$33+$C$33+$D$33+$E$33+$F$33+$G$33+$H$33+$I$33)&lt;=25000,(($I$33/+$AH97)*Q97)*VLOOKUP('1. SUMMARY'!$C$20,rate,Sheet1!T$21,0),((IF(($B$33+$C$33+$D$33+$E$33+$F$33+$G$33+$H$33)&gt;=25000,0,(((25000-($B$33+$C$33+$D$33+$E$33+$F$33+$G$33+$H$33))/+$AH97)*Q97)*(VLOOKUP('1. SUMMARY'!$C$20,rate,Sheet1!T$21,0))))))))</f>
        <v>0</v>
      </c>
      <c r="R98" s="419">
        <f>IF(R97=0,0,(IF(($B$33+$C$33+$D$33+$E$33+$F$33+$G$33+$H$33+$I$33)&lt;=25000,(($I$33/+$AH97)*R97)*VLOOKUP('1. SUMMARY'!$C$20,rate,Sheet1!U$21,0),((IF(($B$33+$C$33+$D$33+$E$33+$F$33+$G$33+$H$33)&gt;=25000,0,(((25000-($B$33+$C$33+$D$33+$E$33+$F$33+$G$33+$H$33))/+$AH97)*R97)*(VLOOKUP('1. SUMMARY'!$C$20,rate,Sheet1!U$21,0))))))))</f>
        <v>0</v>
      </c>
      <c r="S98" s="419">
        <f>IF(S97=0,0,(IF(($B$33+$C$33+$D$33+$E$33+$F$33+$G$33+$H$33+$I$33)&lt;=25000,(($I$33/+$AH97)*S97)*VLOOKUP('1. SUMMARY'!$C$20,rate,Sheet1!V$21,0),((IF(($B$33+$C$33+$D$33+$E$33+$F$33+$G$33+$H$33)&gt;=25000,0,(((25000-($B$33+$C$33+$D$33+$E$33+$F$33+$G$33+$H$33))/+$AH97)*S97)*(VLOOKUP('1. SUMMARY'!$C$20,rate,Sheet1!V$21,0))))))))</f>
        <v>0</v>
      </c>
      <c r="T98" s="419">
        <f>IF(T97=0,0,(IF(($B$33+$C$33+$D$33+$E$33+$F$33+$G$33+$H$33+$I$33)&lt;=25000,(($I$33/+$AH97)*T97)*VLOOKUP('1. SUMMARY'!$C$20,rate,Sheet1!W$21,0),((IF(($B$33+$C$33+$D$33+$E$33+$F$33+$G$33+$H$33)&gt;=25000,0,(((25000-($B$33+$C$33+$D$33+$E$33+$F$33+$G$33+$H$33))/+$AH97)*T97)*(VLOOKUP('1. SUMMARY'!$C$20,rate,Sheet1!W$21,0))))))))</f>
        <v>0</v>
      </c>
      <c r="U98" s="419">
        <f>IF(U97=0,0,(IF(($B$33+$C$33+$D$33+$E$33+$F$33+$G$33+$H$33+$I$33)&lt;=25000,(($I$33/+$AH97)*U97)*VLOOKUP('1. SUMMARY'!$C$20,rate,Sheet1!X$21,0),((IF(($B$33+$C$33+$D$33+$E$33+$F$33+$G$33+$H$33)&gt;=25000,0,(((25000-($B$33+$C$33+$D$33+$E$33+$F$33+$G$33+$H$33))/+$AH97)*U97)*(VLOOKUP('1. SUMMARY'!$C$20,rate,Sheet1!X$21,0))))))))</f>
        <v>0</v>
      </c>
      <c r="V98" s="419">
        <f>IF(V97=0,0,(IF(($B$33+$C$33+$D$33+$E$33+$F$33+$G$33+$H$33+$I$33)&lt;=25000,(($I$33/+$AH97)*V97)*VLOOKUP('1. SUMMARY'!$C$20,rate,Sheet1!Y$21,0),((IF(($B$33+$C$33+$D$33+$E$33+$F$33+$G$33+$H$33)&gt;=25000,0,(((25000-($B$33+$C$33+$D$33+$E$33+$F$33+$G$33+$H$33))/+$AH97)*V97)*(VLOOKUP('1. SUMMARY'!$C$20,rate,Sheet1!Y$21,0))))))))</f>
        <v>0</v>
      </c>
      <c r="W98" s="419">
        <f>IF(W97=0,0,(IF(($B$33+$C$33+$D$33+$E$33+$F$33+$G$33+$H$33+$I$33)&lt;=25000,(($I$33/+$AH97)*W97)*VLOOKUP('1. SUMMARY'!$C$20,rate,Sheet1!Z$21,0),((IF(($B$33+$C$33+$D$33+$E$33+$F$33+$G$33+$H$33)&gt;=25000,0,(((25000-($B$33+$C$33+$D$33+$E$33+$F$33+$G$33+$H$33))/+$AH97)*W97)*(VLOOKUP('1. SUMMARY'!$C$20,rate,Sheet1!Z$21,0))))))))</f>
        <v>0</v>
      </c>
      <c r="X98" s="419">
        <f>IF(X97=0,0,(IF(($B$33+$C$33+$D$33+$E$33+$F$33+$G$33+$H$33+$I$33)&lt;=25000,(($I$33/+$AH97)*X97)*VLOOKUP('1. SUMMARY'!$C$20,rate,Sheet1!AA$21,0),((IF(($B$33+$C$33+$D$33+$E$33+$F$33+$G$33+$H$33)&gt;=25000,0,(((25000-($B$33+$C$33+$D$33+$E$33+$F$33+$G$33+$H$33))/+$AH97)*X97)*(VLOOKUP('1. SUMMARY'!$C$20,rate,Sheet1!AA$21,0))))))))</f>
        <v>0</v>
      </c>
      <c r="Y98" s="419">
        <f>IF(Y97=0,0,(IF(($B$33+$C$33+$D$33+$E$33+$F$33+$G$33+$H$33+$I$33)&lt;=25000,(($I$33/+$AH97)*Y97)*VLOOKUP('1. SUMMARY'!$C$20,rate,Sheet1!AB$21,0),((IF(($B$33+$C$33+$D$33+$E$33+$F$33+$G$33+$H$33)&gt;=25000,0,(((25000-($B$33+$C$33+$D$33+$E$33+$F$33+$G$33+$H$33))/+$AH97)*Y97)*(VLOOKUP('1. SUMMARY'!$C$20,rate,Sheet1!AB$21,0))))))))</f>
        <v>0</v>
      </c>
      <c r="Z98" s="419">
        <f>IF(Z97=0,0,(IF(($B$33+$C$33+$D$33+$E$33+$F$33+$G$33+$H$33+$I$33)&lt;=25000,(($I$33/+$AH97)*Z97)*VLOOKUP('1. SUMMARY'!$C$20,rate,Sheet1!AC$21,0),((IF(($B$33+$C$33+$D$33+$E$33+$F$33+$G$33+$H$33)&gt;=25000,0,(((25000-($B$33+$C$33+$D$33+$E$33+$F$33+$G$33+$H$33))/+$AH97)*Z97)*(VLOOKUP('1. SUMMARY'!$C$20,rate,Sheet1!AC$21,0))))))))</f>
        <v>0</v>
      </c>
      <c r="AA98" s="419">
        <f>IF(AA97=0,0,(IF(($B$33+$C$33+$D$33+$E$33+$F$33+$G$33+$H$33+$I$33)&lt;=25000,(($I$33/+$AH97)*AA97)*VLOOKUP('1. SUMMARY'!$C$20,rate,Sheet1!AD$21,0),((IF(($B$33+$C$33+$D$33+$E$33+$F$33+$G$33+$H$33)&gt;=25000,0,(((25000-($B$33+$C$33+$D$33+$E$33+$F$33+$G$33+$H$33))/+$AH97)*AA97)*(VLOOKUP('1. SUMMARY'!$C$20,rate,Sheet1!AD$21,0))))))))</f>
        <v>0</v>
      </c>
      <c r="AB98" s="419">
        <f>IF(AB97=0,0,(IF(($B$33+$C$33+$D$33+$E$33+$F$33+$G$33+$H$33+$I$33)&lt;=25000,(($I$33/+$AH97)*AB97)*VLOOKUP('1. SUMMARY'!$C$20,rate,Sheet1!AE$21,0),((IF(($B$33+$C$33+$D$33+$E$33+$F$33+$G$33+$H$33)&gt;=25000,0,(((25000-($B$33+$C$33+$D$33+$E$33+$F$33+$G$33+$H$33))/+$AH97)*AB97)*(VLOOKUP('1. SUMMARY'!$C$20,rate,Sheet1!AE$21,0))))))))</f>
        <v>0</v>
      </c>
      <c r="AC98" s="419">
        <f>IF(AC97=0,0,(IF(($B$33+$C$33+$D$33+$E$33+$F$33+$G$33+$H$33+$I$33)&lt;=25000,(($I$33/+$AH97)*AC97)*VLOOKUP('1. SUMMARY'!$C$20,rate,Sheet1!AF$21,0),((IF(($B$33+$C$33+$D$33+$E$33+$F$33+$G$33+$H$33)&gt;=25000,0,(((25000-($B$33+$C$33+$D$33+$E$33+$F$33+$G$33+$H$33))/+$AH97)*AC97)*(VLOOKUP('1. SUMMARY'!$C$20,rate,Sheet1!AF$21,0))))))))</f>
        <v>0</v>
      </c>
      <c r="AD98" s="419">
        <f>IF(AD97=0,0,(IF(($B$33+$C$33+$D$33+$E$33+$F$33+$G$33+$H$33+$I$33)&lt;=25000,(($I$33/+$AH97)*AD97)*VLOOKUP('1. SUMMARY'!$C$20,rate,Sheet1!AG$21,0),((IF(($B$33+$C$33+$D$33+$E$33+$F$33+$G$33+$H$33)&gt;=25000,0,(((25000-($B$33+$C$33+$D$33+$E$33+$F$33+$G$33+$H$33))/+$AH97)*AD97)*(VLOOKUP('1. SUMMARY'!$C$20,rate,Sheet1!AG$21,0))))))))</f>
        <v>0</v>
      </c>
      <c r="AE98" s="419">
        <f>IF(AE97=0,0,(IF(($B$33+$C$33+$D$33+$E$33+$F$33+$G$33+$H$33+$I$33)&lt;=25000,(($I$33/+$AH97)*AE97)*VLOOKUP('1. SUMMARY'!$C$20,rate,Sheet1!AH$21,0),((IF(($B$33+$C$33+$D$33+$E$33+$F$33+$G$33+$H$33)&gt;=25000,0,(((25000-($B$33+$C$33+$D$33+$E$33+$F$33+$G$33+$H$33))/+$AH97)*AE97)*(VLOOKUP('1. SUMMARY'!$C$20,rate,Sheet1!AH$21,0))))))))</f>
        <v>0</v>
      </c>
      <c r="AF98" s="419">
        <f>IF(AF97=0,0,(IF(($B$33+$C$33+$D$33+$E$33+$F$33+$G$33+$H$33+$I$33)&lt;=25000,(($I$33/+$AH97)*AF97)*VLOOKUP('1. SUMMARY'!$C$20,rate,Sheet1!AI$21,0),((IF(($B$33+$C$33+$D$33+$E$33+$F$33+$G$33+$H$33)&gt;=25000,0,(((25000-($B$33+$C$33+$D$33+$E$33+$F$33+$G$33+$H$33))/+$AH97)*AF97)*(VLOOKUP('1. SUMMARY'!$C$20,rate,Sheet1!AI$21,0))))))))</f>
        <v>0</v>
      </c>
      <c r="AG98" s="419">
        <f>IF(AG97=0,0,(IF(($B$33+$C$33+$D$33+$E$33+$F$33+$G$33+$H$33+$I$33)&lt;=25000,(($I$33/+$AH97)*AG97)*VLOOKUP('1. SUMMARY'!$C$20,rate,Sheet1!AJ$21,0),((IF(($B$33+$C$33+$D$33+$E$33+$F$33+$G$33+$H$33)&gt;=25000,0,(((25000-($B$33+$C$33+$D$33+$E$33+$F$33+$G$33+$H$33))/+$AH97)*AG97)*(VLOOKUP('1. SUMMARY'!$C$20,rate,Sheet1!AJ$21,0))))))))</f>
        <v>0</v>
      </c>
      <c r="AH98" s="219">
        <f>SUM(Q98:AG98)</f>
        <v>0</v>
      </c>
      <c r="AI98" s="419">
        <f>IF(AI97=0,0,((+$I33/$AZ97)*AI97)*VLOOKUP('1. SUMMARY'!$C$20,rate,Sheet1!T$21,0))</f>
        <v>0</v>
      </c>
      <c r="AJ98" s="419">
        <f>IF(AJ97=0,0,((+$I33/$AZ97)*AJ97)*VLOOKUP('1. SUMMARY'!$C$20,rate,Sheet1!U$21,0))</f>
        <v>0</v>
      </c>
      <c r="AK98" s="419">
        <f>IF(AK97=0,0,((+$I33/$AZ97)*AK97)*VLOOKUP('1. SUMMARY'!$C$20,rate,Sheet1!V$21,0))</f>
        <v>0</v>
      </c>
      <c r="AL98" s="419">
        <f>IF(AL97=0,0,((+$I33/$AZ97)*AL97)*VLOOKUP('1. SUMMARY'!$C$20,rate,Sheet1!W$21,0))</f>
        <v>0</v>
      </c>
      <c r="AM98" s="419">
        <f>IF(AM97=0,0,((+$I33/$AZ97)*AM97)*VLOOKUP('1. SUMMARY'!$C$20,rate,Sheet1!X$21,0))</f>
        <v>0</v>
      </c>
      <c r="AN98" s="419">
        <f>IF(AN97=0,0,((+$I33/$AZ97)*AN97)*VLOOKUP('1. SUMMARY'!$C$20,rate,Sheet1!Y$21,0))</f>
        <v>0</v>
      </c>
      <c r="AO98" s="419">
        <f>IF(AO97=0,0,((+$I33/$AZ97)*AO97)*VLOOKUP('1. SUMMARY'!$C$20,rate,Sheet1!Z$21,0))</f>
        <v>0</v>
      </c>
      <c r="AP98" s="419">
        <f>IF(AP97=0,0,((+$I33/$AZ97)*AP97)*VLOOKUP('1. SUMMARY'!$C$20,rate,Sheet1!AA$21,0))</f>
        <v>0</v>
      </c>
      <c r="AQ98" s="419">
        <f>IF(AQ97=0,0,((+$I33/$AZ97)*AQ97)*VLOOKUP('1. SUMMARY'!$C$20,rate,Sheet1!AB$21,0))</f>
        <v>0</v>
      </c>
      <c r="AR98" s="419">
        <f>IF(AR97=0,0,((+$I33/$AZ97)*AR97)*VLOOKUP('1. SUMMARY'!$C$20,rate,Sheet1!AC$21,0))</f>
        <v>0</v>
      </c>
      <c r="AS98" s="419">
        <f>IF(AS97=0,0,((+$I33/$AZ97)*AS97)*VLOOKUP('1. SUMMARY'!$C$20,rate,Sheet1!AD$21,0))</f>
        <v>0</v>
      </c>
      <c r="AT98" s="419">
        <f>IF(AT97=0,0,((+$I33/$AZ97)*AT97)*VLOOKUP('1. SUMMARY'!$C$20,rate,Sheet1!AE$21,0))</f>
        <v>0</v>
      </c>
      <c r="AU98" s="419">
        <f>IF(AU97=0,0,((+$I33/$AZ97)*AU97)*VLOOKUP('1. SUMMARY'!$C$20,rate,Sheet1!AF$21,0))</f>
        <v>0</v>
      </c>
      <c r="AV98" s="419">
        <f>IF(AV97=0,0,((+$I33/$AZ97)*AV97)*VLOOKUP('1. SUMMARY'!$C$20,rate,Sheet1!AG$21,0))</f>
        <v>0</v>
      </c>
      <c r="AW98" s="419">
        <f>IF(AW97=0,0,((+$I33/$AZ97)*AW97)*VLOOKUP('1. SUMMARY'!$C$20,rate,Sheet1!AH$21,0))</f>
        <v>0</v>
      </c>
      <c r="AX98" s="419">
        <f>IF(AX97=0,0,((+$I33/$AZ97)*AX97)*VLOOKUP('1. SUMMARY'!$C$20,rate,Sheet1!AI$21,0))</f>
        <v>0</v>
      </c>
      <c r="AY98" s="419">
        <f>IF(AY97=0,0,((+$I33/$AZ97)*AY97)*VLOOKUP('1. SUMMARY'!$C$20,rate,Sheet1!AJ$21,0))</f>
        <v>0</v>
      </c>
      <c r="AZ98" s="219">
        <f>SUM(AI98:AY98)</f>
        <v>0</v>
      </c>
    </row>
    <row r="99" spans="1:52" ht="12.75" customHeight="1">
      <c r="A99" s="221" t="s">
        <v>151</v>
      </c>
      <c r="B99" s="227"/>
      <c r="C99" s="227"/>
      <c r="D99" s="227"/>
      <c r="E99" s="227"/>
      <c r="F99" s="227"/>
      <c r="G99" s="228"/>
      <c r="H99" s="228"/>
      <c r="I99" s="228"/>
      <c r="J99" s="228"/>
      <c r="K99" s="228"/>
      <c r="L99" s="229">
        <f>SUM(B99:K99)</f>
        <v>0</v>
      </c>
      <c r="P99" s="207">
        <f t="shared" si="36"/>
        <v>1</v>
      </c>
      <c r="Q99" s="419">
        <f>+Q98/VLOOKUP('1. SUMMARY'!$C$20,rate,Sheet1!T$21,0)</f>
        <v>0</v>
      </c>
      <c r="R99" s="419">
        <f>+R98/VLOOKUP('1. SUMMARY'!$C$20,rate,Sheet1!U$21,0)</f>
        <v>0</v>
      </c>
      <c r="S99" s="419">
        <f>+S98/VLOOKUP('1. SUMMARY'!$C$20,rate,Sheet1!V$21,0)</f>
        <v>0</v>
      </c>
      <c r="T99" s="419">
        <f>+T98/VLOOKUP('1. SUMMARY'!$C$20,rate,Sheet1!W$21,0)</f>
        <v>0</v>
      </c>
      <c r="U99" s="419">
        <f>+U98/VLOOKUP('1. SUMMARY'!$C$20,rate,Sheet1!X$21,0)</f>
        <v>0</v>
      </c>
      <c r="V99" s="419">
        <f>+V98/VLOOKUP('1. SUMMARY'!$C$20,rate,Sheet1!Y$21,0)</f>
        <v>0</v>
      </c>
      <c r="W99" s="419">
        <f>+W98/VLOOKUP('1. SUMMARY'!$C$20,rate,Sheet1!Z$21,0)</f>
        <v>0</v>
      </c>
      <c r="X99" s="419">
        <f>+X98/VLOOKUP('1. SUMMARY'!$C$20,rate,Sheet1!AA$21,0)</f>
        <v>0</v>
      </c>
      <c r="Y99" s="419">
        <f>+Y98/VLOOKUP('1. SUMMARY'!$C$20,rate,Sheet1!AB$21,0)</f>
        <v>0</v>
      </c>
      <c r="Z99" s="419">
        <f>+Z98/VLOOKUP('1. SUMMARY'!$C$20,rate,Sheet1!AC$21,0)</f>
        <v>0</v>
      </c>
      <c r="AA99" s="419">
        <f>+AA98/VLOOKUP('1. SUMMARY'!$C$20,rate,Sheet1!AD$21,0)</f>
        <v>0</v>
      </c>
      <c r="AB99" s="419">
        <f>+AB98/VLOOKUP('1. SUMMARY'!$C$20,rate,Sheet1!AE$21,0)</f>
        <v>0</v>
      </c>
      <c r="AC99" s="419">
        <f>+AC98/VLOOKUP('1. SUMMARY'!$C$20,rate,Sheet1!AF$21,0)</f>
        <v>0</v>
      </c>
      <c r="AD99" s="419">
        <f>+AD98/VLOOKUP('1. SUMMARY'!$C$20,rate,Sheet1!AG$21,0)</f>
        <v>0</v>
      </c>
      <c r="AE99" s="419">
        <f>+AE98/VLOOKUP('1. SUMMARY'!$C$20,rate,Sheet1!AH$21,0)</f>
        <v>0</v>
      </c>
      <c r="AF99" s="419">
        <f>+AF98/VLOOKUP('1. SUMMARY'!$C$20,rate,Sheet1!AI$21,0)</f>
        <v>0</v>
      </c>
      <c r="AG99" s="419">
        <f>+AG98/VLOOKUP('1. SUMMARY'!$C$20,rate,Sheet1!AJ$21,0)</f>
        <v>0</v>
      </c>
      <c r="AH99" s="211"/>
      <c r="AI99" s="419">
        <v>0</v>
      </c>
      <c r="AJ99" s="419">
        <v>0</v>
      </c>
      <c r="AK99" s="419">
        <v>0</v>
      </c>
      <c r="AL99" s="419">
        <v>0</v>
      </c>
      <c r="AM99" s="419">
        <v>0</v>
      </c>
      <c r="AN99" s="419">
        <v>0</v>
      </c>
      <c r="AO99" s="419">
        <v>0</v>
      </c>
      <c r="AP99" s="419">
        <v>0</v>
      </c>
      <c r="AQ99" s="419"/>
      <c r="AR99" s="419"/>
      <c r="AS99" s="419"/>
      <c r="AT99" s="419"/>
      <c r="AU99" s="419"/>
      <c r="AV99" s="419"/>
      <c r="AW99" s="419"/>
      <c r="AX99" s="419"/>
      <c r="AY99" s="419"/>
      <c r="AZ99" s="219"/>
    </row>
    <row r="100" spans="1:52" ht="12.75" customHeight="1">
      <c r="A100" s="216"/>
      <c r="B100" s="217"/>
      <c r="C100" s="217"/>
      <c r="D100" s="217"/>
      <c r="E100" s="217"/>
      <c r="F100" s="217"/>
      <c r="G100" s="217"/>
      <c r="H100" s="217"/>
      <c r="I100" s="217"/>
      <c r="J100" s="217"/>
      <c r="K100" s="217"/>
      <c r="L100" s="218"/>
      <c r="P100" s="207">
        <f t="shared" si="36"/>
        <v>1</v>
      </c>
      <c r="Q100" s="416">
        <f>Sheet1!$T$8</f>
        <v>44105</v>
      </c>
      <c r="R100" s="416">
        <f>Sheet1!$U$8</f>
        <v>44470</v>
      </c>
      <c r="S100" s="416">
        <f>Sheet1!$V$8</f>
        <v>44835</v>
      </c>
      <c r="T100" s="416">
        <f>Sheet1!$W$8</f>
        <v>45200</v>
      </c>
      <c r="U100" s="416">
        <f>Sheet1!$X$8</f>
        <v>45566</v>
      </c>
      <c r="V100" s="416">
        <f>Sheet1!$Y$8</f>
        <v>45931</v>
      </c>
      <c r="W100" s="416">
        <f>Sheet1!$Z$8</f>
        <v>46296</v>
      </c>
      <c r="X100" s="416">
        <f>Sheet1!$AA$8</f>
        <v>46661</v>
      </c>
      <c r="Y100" s="416">
        <f>Sheet1!$AB$8</f>
        <v>47027</v>
      </c>
      <c r="Z100" s="416">
        <f>Sheet1!$AC$8</f>
        <v>47392</v>
      </c>
      <c r="AA100" s="416">
        <f>$AA$5</f>
        <v>47757</v>
      </c>
      <c r="AB100" s="416">
        <f>$AB$5</f>
        <v>48122</v>
      </c>
      <c r="AC100" s="416">
        <f>$AC$5</f>
        <v>48488</v>
      </c>
      <c r="AD100" s="416">
        <f>$AD$5</f>
        <v>48853</v>
      </c>
      <c r="AE100" s="416">
        <f>$AE$5</f>
        <v>49218</v>
      </c>
      <c r="AF100" s="416">
        <f>$AF$5</f>
        <v>49583</v>
      </c>
      <c r="AG100" s="416">
        <f>$AG$5</f>
        <v>49949</v>
      </c>
      <c r="AH100" s="211"/>
      <c r="AI100" s="416">
        <f t="shared" ref="AI100:AR102" si="43">+Q100</f>
        <v>44105</v>
      </c>
      <c r="AJ100" s="416">
        <f t="shared" si="43"/>
        <v>44470</v>
      </c>
      <c r="AK100" s="416">
        <f t="shared" si="43"/>
        <v>44835</v>
      </c>
      <c r="AL100" s="416">
        <f t="shared" si="43"/>
        <v>45200</v>
      </c>
      <c r="AM100" s="416">
        <f t="shared" si="43"/>
        <v>45566</v>
      </c>
      <c r="AN100" s="416">
        <f t="shared" si="43"/>
        <v>45931</v>
      </c>
      <c r="AO100" s="416">
        <f t="shared" si="43"/>
        <v>46296</v>
      </c>
      <c r="AP100" s="416">
        <f t="shared" si="43"/>
        <v>46661</v>
      </c>
      <c r="AQ100" s="416">
        <f t="shared" si="43"/>
        <v>47027</v>
      </c>
      <c r="AR100" s="416">
        <f t="shared" si="43"/>
        <v>47392</v>
      </c>
      <c r="AS100" s="416">
        <f t="shared" ref="AS100:AY102" si="44">+AA100</f>
        <v>47757</v>
      </c>
      <c r="AT100" s="416">
        <f t="shared" si="44"/>
        <v>48122</v>
      </c>
      <c r="AU100" s="416">
        <f t="shared" si="44"/>
        <v>48488</v>
      </c>
      <c r="AV100" s="416">
        <f t="shared" si="44"/>
        <v>48853</v>
      </c>
      <c r="AW100" s="416">
        <f t="shared" si="44"/>
        <v>49218</v>
      </c>
      <c r="AX100" s="416">
        <f t="shared" si="44"/>
        <v>49583</v>
      </c>
      <c r="AY100" s="416">
        <f t="shared" si="44"/>
        <v>49949</v>
      </c>
      <c r="AZ100" s="219"/>
    </row>
    <row r="101" spans="1:52" ht="12.75" customHeight="1">
      <c r="A101" s="231" t="s">
        <v>152</v>
      </c>
      <c r="B101" s="146">
        <f t="shared" ref="B101:K101" si="45">SUM(B98:B99)</f>
        <v>0</v>
      </c>
      <c r="C101" s="146">
        <f t="shared" si="45"/>
        <v>0</v>
      </c>
      <c r="D101" s="146">
        <f t="shared" si="45"/>
        <v>0</v>
      </c>
      <c r="E101" s="146">
        <f t="shared" si="45"/>
        <v>0</v>
      </c>
      <c r="F101" s="146">
        <f t="shared" si="45"/>
        <v>0</v>
      </c>
      <c r="G101" s="146">
        <f t="shared" si="45"/>
        <v>0</v>
      </c>
      <c r="H101" s="146">
        <f t="shared" si="45"/>
        <v>0</v>
      </c>
      <c r="I101" s="146">
        <f t="shared" si="45"/>
        <v>0</v>
      </c>
      <c r="J101" s="146">
        <f t="shared" si="45"/>
        <v>0</v>
      </c>
      <c r="K101" s="146">
        <f t="shared" si="45"/>
        <v>0</v>
      </c>
      <c r="L101" s="229">
        <f>SUM(B101:K101)</f>
        <v>0</v>
      </c>
      <c r="P101" s="207">
        <f t="shared" si="36"/>
        <v>1</v>
      </c>
      <c r="Q101" s="416">
        <f>Sheet1!$T$9</f>
        <v>44469</v>
      </c>
      <c r="R101" s="416">
        <f>Sheet1!$U$9</f>
        <v>44834</v>
      </c>
      <c r="S101" s="416">
        <f>Sheet1!$V$9</f>
        <v>45199</v>
      </c>
      <c r="T101" s="416">
        <f>Sheet1!$W$9</f>
        <v>45565</v>
      </c>
      <c r="U101" s="416">
        <f>Sheet1!$X$9</f>
        <v>45930</v>
      </c>
      <c r="V101" s="416">
        <f>Sheet1!$Y$9</f>
        <v>46295</v>
      </c>
      <c r="W101" s="416">
        <f>Sheet1!$Z$9</f>
        <v>46660</v>
      </c>
      <c r="X101" s="416">
        <f>Sheet1!$AA$9</f>
        <v>47026</v>
      </c>
      <c r="Y101" s="416">
        <f>Sheet1!$AB$9</f>
        <v>47391</v>
      </c>
      <c r="Z101" s="416">
        <f>Sheet1!$AC$9</f>
        <v>47756</v>
      </c>
      <c r="AA101" s="416">
        <f>$AA$6</f>
        <v>48121</v>
      </c>
      <c r="AB101" s="416">
        <f>$AB$6</f>
        <v>48487</v>
      </c>
      <c r="AC101" s="416">
        <f>$AC$6</f>
        <v>48852</v>
      </c>
      <c r="AD101" s="416">
        <f>$AD$6</f>
        <v>49217</v>
      </c>
      <c r="AE101" s="416">
        <f>$AE$6</f>
        <v>49582</v>
      </c>
      <c r="AF101" s="416">
        <f>$AF$6</f>
        <v>49948</v>
      </c>
      <c r="AG101" s="416">
        <f>$AG$6</f>
        <v>50313</v>
      </c>
      <c r="AH101" s="211"/>
      <c r="AI101" s="416">
        <f t="shared" si="43"/>
        <v>44469</v>
      </c>
      <c r="AJ101" s="416">
        <f t="shared" si="43"/>
        <v>44834</v>
      </c>
      <c r="AK101" s="416">
        <f t="shared" si="43"/>
        <v>45199</v>
      </c>
      <c r="AL101" s="416">
        <f t="shared" si="43"/>
        <v>45565</v>
      </c>
      <c r="AM101" s="416">
        <f t="shared" si="43"/>
        <v>45930</v>
      </c>
      <c r="AN101" s="416">
        <f t="shared" si="43"/>
        <v>46295</v>
      </c>
      <c r="AO101" s="416">
        <f t="shared" si="43"/>
        <v>46660</v>
      </c>
      <c r="AP101" s="416">
        <f t="shared" si="43"/>
        <v>47026</v>
      </c>
      <c r="AQ101" s="416">
        <f t="shared" si="43"/>
        <v>47391</v>
      </c>
      <c r="AR101" s="416">
        <f t="shared" si="43"/>
        <v>47756</v>
      </c>
      <c r="AS101" s="416">
        <f t="shared" si="44"/>
        <v>48121</v>
      </c>
      <c r="AT101" s="416">
        <f t="shared" si="44"/>
        <v>48487</v>
      </c>
      <c r="AU101" s="416">
        <f t="shared" si="44"/>
        <v>48852</v>
      </c>
      <c r="AV101" s="416">
        <f t="shared" si="44"/>
        <v>49217</v>
      </c>
      <c r="AW101" s="416">
        <f t="shared" si="44"/>
        <v>49582</v>
      </c>
      <c r="AX101" s="416">
        <f t="shared" si="44"/>
        <v>49948</v>
      </c>
      <c r="AY101" s="416">
        <f t="shared" si="44"/>
        <v>50313</v>
      </c>
      <c r="AZ101" s="219"/>
    </row>
    <row r="102" spans="1:52" ht="12.75" customHeight="1">
      <c r="A102" s="216"/>
      <c r="B102" s="217"/>
      <c r="C102" s="217"/>
      <c r="D102" s="217"/>
      <c r="E102" s="217"/>
      <c r="F102" s="217"/>
      <c r="G102" s="217"/>
      <c r="H102" s="217"/>
      <c r="I102" s="217"/>
      <c r="J102" s="217"/>
      <c r="K102" s="217"/>
      <c r="L102" s="218"/>
      <c r="O102" s="207">
        <v>9</v>
      </c>
      <c r="P102" s="207">
        <f t="shared" si="36"/>
        <v>1</v>
      </c>
      <c r="Q102" s="417">
        <f>IF(IF(Q101&lt;$J$27,0,DATEDIF($J$27,Q101+1,"m"))&lt;0,0,IF(Q101&lt;$J$27,0,DATEDIF($J$27,Q101+1,"m")))</f>
        <v>0</v>
      </c>
      <c r="R102" s="417">
        <f>IF(IF(Q102=12,0,IF(R101&gt;$J$28,12-DATEDIF($J$28,R101+1,"m"),IF(R101&lt;$J$27,0,DATEDIF($J$27,R101+1,"m"))))&lt;0,0,IF(Q102=12,0,IF(R101&gt;$J$28,12-DATEDIF($J$28,R101+1,"m"),IF(R101&lt;$J$27,0,DATEDIF($J$27,R101+1,"m")))))</f>
        <v>0</v>
      </c>
      <c r="S102" s="417">
        <f>IF(IF(Q102+R102=12,0,IF(S101&gt;$J$28,12-DATEDIF($J$28,S101+1,"m"),IF(S101&lt;$J$27,0,DATEDIF($J$27,S101+1,"m"))))&lt;0,0,IF(Q102+R102=12,0,IF(S101&gt;$J$28,12-DATEDIF($J$28,S101+1,"m"),IF(S101&lt;$J$27,0,DATEDIF($J$27,S101+1,"m")))))</f>
        <v>0</v>
      </c>
      <c r="T102" s="417">
        <f>IF(IF(R102+S102+Q102=12,0,IF(T101&gt;$J$28,12-DATEDIF($J$28,T101+1,"m"),IF(T101&lt;$J$27,0,DATEDIF($J$27,T101+1,"m"))))&lt;0,0,IF(R102+S102+Q102=12,0,IF(T101&gt;$J$28,12-DATEDIF($J$28,T101+1,"m"),IF(T101&lt;$J$27,0,DATEDIF($J$27,T101+1,"m")))))</f>
        <v>0</v>
      </c>
      <c r="U102" s="417">
        <f>IF(IF(S102+T102+R102+Q102=12,0,IF(U101&gt;$J$28,12-DATEDIF($J$28,U101+1,"m"),IF(U101&lt;$J$27,0,DATEDIF($J$27,U101+1,"m"))))&lt;0,0,IF(S102+T102+R102+Q102=12,0,IF(U101&gt;$J$28,12-DATEDIF($J$28,U101+1,"m"),IF(U101&lt;$J$27,0,DATEDIF($J$27,U101+1,"m")))))</f>
        <v>0</v>
      </c>
      <c r="V102" s="417">
        <f>IF(IF(T102+U102+S102+R102+Q102=12,0,IF(V101&gt;$J$28,12-DATEDIF($J$28,V101+1,"m"),IF(V101&lt;$J$27,0,DATEDIF($J$27,V101+1,"m"))))&lt;0,0,IF(T102+U102+S102+R102+Q102=12,0,IF(V101&gt;$J$28,12-DATEDIF($J$28,V101+1,"m"),IF(V101&lt;$J$27,0,DATEDIF($J$27,V101+1,"m")))))</f>
        <v>0</v>
      </c>
      <c r="W102" s="417">
        <f>IF(IF(U102+V102+T102+S102+R102+Q102=12,0,IF(W101&gt;$J$28,12-DATEDIF($J$28,W101+1,"m"),IF(W101&lt;$J$27,0,DATEDIF($J$27,W101+1,"m"))))&lt;0,0,IF(U102+V102+T102+S102+R102+Q102=12,0,IF(W101&gt;$J$28,12-DATEDIF($J$28,W101+1,"m"),IF(W101&lt;$J$27,0,DATEDIF($J$27,W101+1,"m")))))</f>
        <v>0</v>
      </c>
      <c r="X102" s="417">
        <f>IF(IF(V102+W102+U102+T102+S102+R102+Q102=12,0,IF(X101&gt;$J$28,12-DATEDIF($J$28,X101+1,"m"),IF(X101&lt;$J$27,0,DATEDIF($J$27,X101+1,"m"))))&lt;0,0,IF(V102+W102+U102+T102+S102+R102+Q102=12,0,IF(X101&gt;$J$28,12-DATEDIF($J$28,X101+1,"m"),IF(X101&lt;$J$27,0,DATEDIF($J$27,X101+1,"m")))))</f>
        <v>0</v>
      </c>
      <c r="Y102" s="417">
        <f>IF(IF(W102+X102+V102+U102+T102+S102+R102+Q102=12,0,IF(Y101&gt;$J$28,12-DATEDIF($J$28,Y101+1,"m"),IF(Y101&lt;$J$27,0,DATEDIF($J$27,Y101+1,"m"))))&lt;0,0,IF(W102+X102+V102+U102+T102+S102+R102+Q102=12,0,IF(Y101&gt;$J$28,12-DATEDIF($J$28,Y101+1,"m"),IF(Y101&lt;$J$27,0,DATEDIF($J$27,Y101+1,"m")))))</f>
        <v>0</v>
      </c>
      <c r="Z102" s="417">
        <f>IF(IF(X102+Y102+W102+V102+U102+T102+S102+R102+Q102=12,0,IF(Z101&gt;$J$28,12-DATEDIF($J$28,Z101+1,"m"),IF(Z101&lt;$J$27,0,DATEDIF($J$27,Z101+1,"m"))))&lt;0,0,IF(X102+Y102+W102+V102+U102+T102+S102+R102+Q102=12,0,IF(Z101&gt;$J$28,12-DATEDIF($J$28,Z101+1,"m"),IF(Z101&lt;$J$27,0,DATEDIF($J$27,Z101+1,"m")))))</f>
        <v>0</v>
      </c>
      <c r="AA102" s="417">
        <f>IF(IF(Q102+R102+S102+Y102+Z102+X102+W102+V102+U102+T102=12,0,IF(AA101&gt;$J$28,12-DATEDIF($J$28,AA101+1,"m"),IF(AA101&lt;$J$27,0,DATEDIF($J$27,AA101+1,"m"))))&lt;0,0,IF(Q102+R102+S102+Y102+Z102+X102+W102+V102+U102+T102=12,0,IF(AA101&gt;$J$28,12-DATEDIF($J$28,AA101+1,"m"),IF(AA101&lt;$J$27,0,DATEDIF($J$27,AA101+1,"m")))))</f>
        <v>0</v>
      </c>
      <c r="AB102" s="417">
        <f>IF(IF(Q102+R102+S102+T102+Z102+AA102+Y102+X102+W102+V102+U102=12,0,IF(AB101&gt;$J$28,12-DATEDIF($J$28,AB101+1,"m"),IF(AB101&lt;$J$27,0,DATEDIF($J$27,AB101+1,"m"))))&lt;0,0,IF(Q102+R102+S102+T102+Z102+AA102+Y102+X102+W102+V102+U102=12,0,IF(AB101&gt;$J$28,12-DATEDIF($J$28,AB101+1,"m"),IF(AB101&lt;$J$27,0,DATEDIF($J$27,AB101+1,"m")))))</f>
        <v>0</v>
      </c>
      <c r="AC102" s="417">
        <f>IF(IF(Q102+R102+S102+T102+U102+AA102+AB102+Z102+Y102+X102+W102+V102=12,0,IF(AC101&gt;$J$28,12-DATEDIF($J$28,AC101+1,"m"),IF(AC101&lt;$J$27,0,DATEDIF($J$27,AC101+1,"m"))))&lt;0,0,IF(Q102+R102+S102+T102+U102+AA102+AB102+Z102+Y102+X102+W102+V102=12,0,IF(AC101&gt;$J$28,12-DATEDIF($J$28,AC101+1,"m"),IF(AC101&lt;$J$27,0,DATEDIF($J$27,AC101+1,"m")))))</f>
        <v>0</v>
      </c>
      <c r="AD102" s="417">
        <f>IF(IF(Q102+R102+S102+T102+U102+V102+AB102+AC102+AA102+Z102+Y102+X102+W102=12,0,IF(AD101&gt;$J$28,12-DATEDIF($J$28,AD101+1,"m"),IF(AD101&lt;$J$27,0,DATEDIF($J$27,AD101+1,"m"))))&lt;0,0,IF(Q102+R102+S102+T102+U102+V102+AB102+AC102+AA102+Z102+Y102+X102+W102=12,0,IF(AD101&gt;$J$28,12-DATEDIF($J$28,AD101+1,"m"),IF(AD101&lt;$J$27,0,DATEDIF($J$27,AD101+1,"m")))))</f>
        <v>0</v>
      </c>
      <c r="AE102" s="417">
        <f>IF(IF(Q102+R102+S102+T102+U102+V102+W102+AC102+AD102+AB102+AA102+Z102+Y102+X102=12,0,IF(AE101&gt;$J$28,12-DATEDIF($J$28,AE101+1,"m"),IF(AE101&lt;$J$27,0,DATEDIF($J$27,AE101+1,"m"))))&lt;0,0,IF(Q102+R102+S102+T102+U102+V102+W102+AC102+AD102+AB102+AA102+Z102+Y102+X102=12,0,IF(AE101&gt;$J$28,12-DATEDIF($J$28,AE101+1,"m"),IF(AE101&lt;$J$27,0,DATEDIF($J$27,AE101+1,"m")))))</f>
        <v>0</v>
      </c>
      <c r="AF102" s="417">
        <f>IF(IF(Q102+R102+S102+T102+U102+V102+W102+X102+AD102+AE102+AC102+AB102+AA102+Z102+Y102=12,0,IF(AF101&gt;$J$28,12-DATEDIF($J$28,AF101+1,"m"),IF(AF101&lt;$J$27,0,DATEDIF($J$27,AF101+1,"m"))))&lt;0,0,IF(Q102+R102+S102+T102+U102+V102+W102+X102+AD102+AE102+AC102+AB102+AA102+Z102+Y102=12,0,IF(AF101&gt;$J$28,12-DATEDIF($J$28,AF101+1,"m"),IF(AF101&lt;$J$27,0,DATEDIF($J$27,AF101+1,"m")))))</f>
        <v>0</v>
      </c>
      <c r="AG102" s="417">
        <f>IF(IF(Q102+R102+S102+T102+U102+V102+W102+X102+Y102+AE102+AF102+AD102+AC102+AB102+AA102+Z102=12,0,IF(AI101&gt;$J$28,12-DATEDIF($J$28,AI101+1,"m"),IF(AI101&lt;$J$27,0,DATEDIF($J$27,AI101+1,"m"))))&lt;0,0,IF(Q102+R102+S102+T102+U102+V102+W102+X102+Y102+AE102+AF102+AD102+AC102+AB102+AA102+Z102=12,0,IF(AI101&gt;$J$28,12-DATEDIF($J$28,AI101+1,"m"),IF(AI101&lt;$J$27,0,DATEDIF($J$27,AI101+1,"m")))))</f>
        <v>0</v>
      </c>
      <c r="AH102" s="423">
        <f>SUM(Q102:AG102)</f>
        <v>0</v>
      </c>
      <c r="AI102" s="417">
        <f t="shared" si="43"/>
        <v>0</v>
      </c>
      <c r="AJ102" s="417">
        <f t="shared" si="43"/>
        <v>0</v>
      </c>
      <c r="AK102" s="417">
        <f t="shared" si="43"/>
        <v>0</v>
      </c>
      <c r="AL102" s="417">
        <f t="shared" si="43"/>
        <v>0</v>
      </c>
      <c r="AM102" s="417">
        <f t="shared" si="43"/>
        <v>0</v>
      </c>
      <c r="AN102" s="417">
        <f t="shared" si="43"/>
        <v>0</v>
      </c>
      <c r="AO102" s="417">
        <f t="shared" si="43"/>
        <v>0</v>
      </c>
      <c r="AP102" s="417">
        <f t="shared" si="43"/>
        <v>0</v>
      </c>
      <c r="AQ102" s="417">
        <f t="shared" si="43"/>
        <v>0</v>
      </c>
      <c r="AR102" s="417">
        <f t="shared" si="43"/>
        <v>0</v>
      </c>
      <c r="AS102" s="417">
        <f t="shared" si="44"/>
        <v>0</v>
      </c>
      <c r="AT102" s="417">
        <f t="shared" si="44"/>
        <v>0</v>
      </c>
      <c r="AU102" s="417">
        <f t="shared" si="44"/>
        <v>0</v>
      </c>
      <c r="AV102" s="417">
        <f t="shared" si="44"/>
        <v>0</v>
      </c>
      <c r="AW102" s="417">
        <f t="shared" si="44"/>
        <v>0</v>
      </c>
      <c r="AX102" s="417">
        <f t="shared" si="44"/>
        <v>0</v>
      </c>
      <c r="AY102" s="417">
        <f t="shared" si="44"/>
        <v>0</v>
      </c>
      <c r="AZ102" s="219">
        <f>SUM(AI102:AY102)</f>
        <v>0</v>
      </c>
    </row>
    <row r="103" spans="1:52" ht="12.75" customHeight="1">
      <c r="A103" s="226" t="s">
        <v>153</v>
      </c>
      <c r="B103" s="233">
        <f>IF(B95="No "&amp;B94,0,IF('1. SUMMARY'!$Q$20=1,$AH263,$AZ263))</f>
        <v>0</v>
      </c>
      <c r="C103" s="233">
        <f>IF(C95="No "&amp;C94,0,IF('1. SUMMARY'!$Q$20=1,$AH268,$AZ268))</f>
        <v>0</v>
      </c>
      <c r="D103" s="233">
        <f>IF(D95="No "&amp;D94,0,IF('1. SUMMARY'!$Q$20=1,$AH273,$AZ273))</f>
        <v>0</v>
      </c>
      <c r="E103" s="233">
        <f>IF(E95="No "&amp;E94,0,IF('1. SUMMARY'!$Q$20=1,$AH278,$AZ278))</f>
        <v>0</v>
      </c>
      <c r="F103" s="233">
        <f>IF(F95="No "&amp;F94,0,IF('1. SUMMARY'!$Q$20=1,$AH283,$AZ283))</f>
        <v>0</v>
      </c>
      <c r="G103" s="233">
        <f>IF(G95="No "&amp;G94,0,IF('1. SUMMARY'!$Q$20=1,$AH288,$AZ288))</f>
        <v>0</v>
      </c>
      <c r="H103" s="233">
        <f>IF(H95="No "&amp;H94,0,IF('1. SUMMARY'!$Q$20=1,$AH293,$AZ293))</f>
        <v>0</v>
      </c>
      <c r="I103" s="233">
        <f>IF(I95="No "&amp;I94,0,IF('1. SUMMARY'!$Q$20=1,$AH298,$AZ298))</f>
        <v>0</v>
      </c>
      <c r="J103" s="233">
        <f>IF(J95="No "&amp;J94,0,IF('1. SUMMARY'!$Q$20=1,$AH303,$AZ303))</f>
        <v>0</v>
      </c>
      <c r="K103" s="233">
        <f>IF(K95="No "&amp;K94,0,IF('1. SUMMARY'!$Q$20=1,$AH308,$AZ308))</f>
        <v>0</v>
      </c>
      <c r="L103" s="229">
        <f>SUM(B103:K103)</f>
        <v>0</v>
      </c>
      <c r="P103" s="207">
        <f t="shared" si="36"/>
        <v>1</v>
      </c>
      <c r="Q103" s="417">
        <f>IF(Q102=0,0,(IF(($B$33+$C$33+$D$33+$E$33+$F$33+$G$33+$H$33+$I$33+$J$33)&lt;=25000,(($J$33/+$AH102)*Q102)*VLOOKUP('1. SUMMARY'!$C$20,rate,Sheet1!T$21,0),((IF(($B$33+$C$33+$D$33+$E$33+$F$33+$G$33+$H$33+$I$33)&gt;=25000,0,(((25000-($B$33+$C$33+$D$33+$E$33+$F$33+$G$33+$H$33+$I$33))/+$AH102)*Q102)*(VLOOKUP('1. SUMMARY'!$C$20,rate,Sheet1!T$21,0))))))))</f>
        <v>0</v>
      </c>
      <c r="R103" s="417">
        <f>IF(R102=0,0,(IF(($B$33+$C$33+$D$33+$E$33+$F$33+$G$33+$H$33+$I$33+$J$33)&lt;=25000,(($J$33/+$AH102)*R102)*VLOOKUP('1. SUMMARY'!$C$20,rate,Sheet1!U$21,0),((IF(($B$33+$C$33+$D$33+$E$33+$F$33+$G$33+$H$33+$I$33)&gt;=25000,0,(((25000-($B$33+$C$33+$D$33+$E$33+$F$33+$G$33+$H$33+$I$33))/+$AH102)*R102)*(VLOOKUP('1. SUMMARY'!$C$20,rate,Sheet1!U$21,0))))))))</f>
        <v>0</v>
      </c>
      <c r="S103" s="417">
        <f>IF(S102=0,0,(IF(($B$33+$C$33+$D$33+$E$33+$F$33+$G$33+$H$33+$I$33+$J$33)&lt;=25000,(($J$33/+$AH102)*S102)*VLOOKUP('1. SUMMARY'!$C$20,rate,Sheet1!V$21,0),((IF(($B$33+$C$33+$D$33+$E$33+$F$33+$G$33+$H$33+$I$33)&gt;=25000,0,(((25000-($B$33+$C$33+$D$33+$E$33+$F$33+$G$33+$H$33+$I$33))/+$AH102)*S102)*(VLOOKUP('1. SUMMARY'!$C$20,rate,Sheet1!V$21,0))))))))</f>
        <v>0</v>
      </c>
      <c r="T103" s="417">
        <f>IF(T102=0,0,(IF(($B$33+$C$33+$D$33+$E$33+$F$33+$G$33+$H$33+$I$33+$J$33)&lt;=25000,(($J$33/+$AH102)*T102)*VLOOKUP('1. SUMMARY'!$C$20,rate,Sheet1!W$21,0),((IF(($B$33+$C$33+$D$33+$E$33+$F$33+$G$33+$H$33+$I$33)&gt;=25000,0,(((25000-($B$33+$C$33+$D$33+$E$33+$F$33+$G$33+$H$33+$I$33))/+$AH102)*T102)*(VLOOKUP('1. SUMMARY'!$C$20,rate,Sheet1!W$21,0))))))))</f>
        <v>0</v>
      </c>
      <c r="U103" s="417">
        <f>IF(U102=0,0,(IF(($B$33+$C$33+$D$33+$E$33+$F$33+$G$33+$H$33+$I$33+$J$33)&lt;=25000,(($J$33/+$AH102)*U102)*VLOOKUP('1. SUMMARY'!$C$20,rate,Sheet1!X$21,0),((IF(($B$33+$C$33+$D$33+$E$33+$F$33+$G$33+$H$33+$I$33)&gt;=25000,0,(((25000-($B$33+$C$33+$D$33+$E$33+$F$33+$G$33+$H$33+$I$33))/+$AH102)*U102)*(VLOOKUP('1. SUMMARY'!$C$20,rate,Sheet1!X$21,0))))))))</f>
        <v>0</v>
      </c>
      <c r="V103" s="417">
        <f>IF(V102=0,0,(IF(($B$33+$C$33+$D$33+$E$33+$F$33+$G$33+$H$33+$I$33+$J$33)&lt;=25000,(($J$33/+$AH102)*V102)*VLOOKUP('1. SUMMARY'!$C$20,rate,Sheet1!Y$21,0),((IF(($B$33+$C$33+$D$33+$E$33+$F$33+$G$33+$H$33+$I$33)&gt;=25000,0,(((25000-($B$33+$C$33+$D$33+$E$33+$F$33+$G$33+$H$33+$I$33))/+$AH102)*V102)*(VLOOKUP('1. SUMMARY'!$C$20,rate,Sheet1!Y$21,0))))))))</f>
        <v>0</v>
      </c>
      <c r="W103" s="417">
        <f>IF(W102=0,0,(IF(($B$33+$C$33+$D$33+$E$33+$F$33+$G$33+$H$33+$I$33+$J$33)&lt;=25000,(($J$33/+$AH102)*W102)*VLOOKUP('1. SUMMARY'!$C$20,rate,Sheet1!Z$21,0),((IF(($B$33+$C$33+$D$33+$E$33+$F$33+$G$33+$H$33+$I$33)&gt;=25000,0,(((25000-($B$33+$C$33+$D$33+$E$33+$F$33+$G$33+$H$33+$I$33))/+$AH102)*W102)*(VLOOKUP('1. SUMMARY'!$C$20,rate,Sheet1!Z$21,0))))))))</f>
        <v>0</v>
      </c>
      <c r="X103" s="417">
        <f>IF(X102=0,0,(IF(($B$33+$C$33+$D$33+$E$33+$F$33+$G$33+$H$33+$I$33+$J$33)&lt;=25000,(($J$33/+$AH102)*X102)*VLOOKUP('1. SUMMARY'!$C$20,rate,Sheet1!AA$21,0),((IF(($B$33+$C$33+$D$33+$E$33+$F$33+$G$33+$H$33+$I$33)&gt;=25000,0,(((25000-($B$33+$C$33+$D$33+$E$33+$F$33+$G$33+$H$33+$I$33))/+$AH102)*X102)*(VLOOKUP('1. SUMMARY'!$C$20,rate,Sheet1!AA$21,0))))))))</f>
        <v>0</v>
      </c>
      <c r="Y103" s="417">
        <f>IF(Y102=0,0,(IF(($B$33+$C$33+$D$33+$E$33+$F$33+$G$33+$H$33+$I$33+$J$33)&lt;=25000,(($J$33/+$AH102)*Y102)*VLOOKUP('1. SUMMARY'!$C$20,rate,Sheet1!AB$21,0),((IF(($B$33+$C$33+$D$33+$E$33+$F$33+$G$33+$H$33+$I$33)&gt;=25000,0,(((25000-($B$33+$C$33+$D$33+$E$33+$F$33+$G$33+$H$33+$I$33))/+$AH102)*Y102)*(VLOOKUP('1. SUMMARY'!$C$20,rate,Sheet1!AB$21,0))))))))</f>
        <v>0</v>
      </c>
      <c r="Z103" s="417">
        <f>IF(Z102=0,0,(IF(($B$33+$C$33+$D$33+$E$33+$F$33+$G$33+$H$33+$I$33+$J$33)&lt;=25000,(($J$33/+$AH102)*Z102)*VLOOKUP('1. SUMMARY'!$C$20,rate,Sheet1!AC$21,0),((IF(($B$33+$C$33+$D$33+$E$33+$F$33+$G$33+$H$33+$I$33)&gt;=25000,0,(((25000-($B$33+$C$33+$D$33+$E$33+$F$33+$G$33+$H$33+$I$33))/+$AH102)*Z102)*(VLOOKUP('1. SUMMARY'!$C$20,rate,Sheet1!AC$21,0))))))))</f>
        <v>0</v>
      </c>
      <c r="AA103" s="417">
        <f>IF(AA102=0,0,(IF(($B$33+$C$33+$D$33+$E$33+$F$33+$G$33+$H$33+$I$33+$J$33)&lt;=25000,(($J$33/+$AH102)*AA102)*VLOOKUP('1. SUMMARY'!$C$20,rate,Sheet1!AD$21,0),((IF(($B$33+$C$33+$D$33+$E$33+$F$33+$G$33+$H$33+$I$33)&gt;=25000,0,(((25000-($B$33+$C$33+$D$33+$E$33+$F$33+$G$33+$H$33+$I$33))/+$AH102)*AA102)*(VLOOKUP('1. SUMMARY'!$C$20,rate,Sheet1!AD$21,0))))))))</f>
        <v>0</v>
      </c>
      <c r="AB103" s="417">
        <f>IF(AB102=0,0,(IF(($B$33+$C$33+$D$33+$E$33+$F$33+$G$33+$H$33+$I$33+$J$33)&lt;=25000,(($J$33/+$AH102)*AB102)*VLOOKUP('1. SUMMARY'!$C$20,rate,Sheet1!AE$21,0),((IF(($B$33+$C$33+$D$33+$E$33+$F$33+$G$33+$H$33+$I$33)&gt;=25000,0,(((25000-($B$33+$C$33+$D$33+$E$33+$F$33+$G$33+$H$33+$I$33))/+$AH102)*AB102)*(VLOOKUP('1. SUMMARY'!$C$20,rate,Sheet1!AE$21,0))))))))</f>
        <v>0</v>
      </c>
      <c r="AC103" s="417">
        <f>IF(AC102=0,0,(IF(($B$33+$C$33+$D$33+$E$33+$F$33+$G$33+$H$33+$I$33+$J$33)&lt;=25000,(($J$33/+$AH102)*AC102)*VLOOKUP('1. SUMMARY'!$C$20,rate,Sheet1!AF$21,0),((IF(($B$33+$C$33+$D$33+$E$33+$F$33+$G$33+$H$33+$I$33)&gt;=25000,0,(((25000-($B$33+$C$33+$D$33+$E$33+$F$33+$G$33+$H$33+$I$33))/+$AH102)*AC102)*(VLOOKUP('1. SUMMARY'!$C$20,rate,Sheet1!AF$21,0))))))))</f>
        <v>0</v>
      </c>
      <c r="AD103" s="417">
        <f>IF(AD102=0,0,(IF(($B$33+$C$33+$D$33+$E$33+$F$33+$G$33+$H$33+$I$33+$J$33)&lt;=25000,(($J$33/+$AH102)*AD102)*VLOOKUP('1. SUMMARY'!$C$20,rate,Sheet1!AG$21,0),((IF(($B$33+$C$33+$D$33+$E$33+$F$33+$G$33+$H$33+$I$33)&gt;=25000,0,(((25000-($B$33+$C$33+$D$33+$E$33+$F$33+$G$33+$H$33+$I$33))/+$AH102)*AD102)*(VLOOKUP('1. SUMMARY'!$C$20,rate,Sheet1!AG$21,0))))))))</f>
        <v>0</v>
      </c>
      <c r="AE103" s="417">
        <f>IF(AE102=0,0,(IF(($B$33+$C$33+$D$33+$E$33+$F$33+$G$33+$H$33+$I$33+$J$33)&lt;=25000,(($J$33/+$AH102)*AE102)*VLOOKUP('1. SUMMARY'!$C$20,rate,Sheet1!AH$21,0),((IF(($B$33+$C$33+$D$33+$E$33+$F$33+$G$33+$H$33+$I$33)&gt;=25000,0,(((25000-($B$33+$C$33+$D$33+$E$33+$F$33+$G$33+$H$33+$I$33))/+$AH102)*AE102)*(VLOOKUP('1. SUMMARY'!$C$20,rate,Sheet1!AH$21,0))))))))</f>
        <v>0</v>
      </c>
      <c r="AF103" s="417">
        <f>IF(AF102=0,0,(IF(($B$33+$C$33+$D$33+$E$33+$F$33+$G$33+$H$33+$I$33+$J$33)&lt;=25000,(($J$33/+$AH102)*AF102)*VLOOKUP('1. SUMMARY'!$C$20,rate,Sheet1!AI$21,0),((IF(($B$33+$C$33+$D$33+$E$33+$F$33+$G$33+$H$33+$I$33)&gt;=25000,0,(((25000-($B$33+$C$33+$D$33+$E$33+$F$33+$G$33+$H$33+$I$33))/+$AH102)*AF102)*(VLOOKUP('1. SUMMARY'!$C$20,rate,Sheet1!AI$21,0))))))))</f>
        <v>0</v>
      </c>
      <c r="AG103" s="417">
        <f>IF(AG102=0,0,(IF(($B$33+$C$33+$D$33+$E$33+$F$33+$G$33+$H$33+$I$33+$J$33)&lt;=25000,(($J$33/+$AH102)*AG102)*VLOOKUP('1. SUMMARY'!$C$20,rate,Sheet1!AJ$21,0),((IF(($B$33+$C$33+$D$33+$E$33+$F$33+$G$33+$H$33+$I$33)&gt;=25000,0,(((25000-($B$33+$C$33+$D$33+$E$33+$F$33+$G$33+$H$33+$I$33))/+$AH102)*AG102)*(VLOOKUP('1. SUMMARY'!$C$20,rate,Sheet1!AJ$21,0))))))))</f>
        <v>0</v>
      </c>
      <c r="AH103" s="219">
        <f>SUM(Q103:AG103)</f>
        <v>0</v>
      </c>
      <c r="AI103" s="417">
        <f>IF(AI102=0,0,((+$J33/$AZ102)*AI102)*VLOOKUP('1. SUMMARY'!$C$20,rate,Sheet1!T$21,0))</f>
        <v>0</v>
      </c>
      <c r="AJ103" s="417">
        <f>IF(AJ102=0,0,((+$J33/$AZ102)*AJ102)*VLOOKUP('1. SUMMARY'!$C$20,rate,Sheet1!U$21,0))</f>
        <v>0</v>
      </c>
      <c r="AK103" s="417">
        <f>IF(AK102=0,0,((+$J33/$AZ102)*AK102)*VLOOKUP('1. SUMMARY'!$C$20,rate,Sheet1!V$21,0))</f>
        <v>0</v>
      </c>
      <c r="AL103" s="417">
        <f>IF(AL102=0,0,((+$J33/$AZ102)*AL102)*VLOOKUP('1. SUMMARY'!$C$20,rate,Sheet1!W$21,0))</f>
        <v>0</v>
      </c>
      <c r="AM103" s="417">
        <f>IF(AM102=0,0,((+$J33/$AZ102)*AM102)*VLOOKUP('1. SUMMARY'!$C$20,rate,Sheet1!X$21,0))</f>
        <v>0</v>
      </c>
      <c r="AN103" s="417">
        <f>IF(AN102=0,0,((+$J33/$AZ102)*AN102)*VLOOKUP('1. SUMMARY'!$C$20,rate,Sheet1!Y$21,0))</f>
        <v>0</v>
      </c>
      <c r="AO103" s="417">
        <f>IF(AO102=0,0,((+$J33/$AZ102)*AO102)*VLOOKUP('1. SUMMARY'!$C$20,rate,Sheet1!Z$21,0))</f>
        <v>0</v>
      </c>
      <c r="AP103" s="417">
        <f>IF(AP102=0,0,((+$J33/$AZ102)*AP102)*VLOOKUP('1. SUMMARY'!$C$20,rate,Sheet1!AA$21,0))</f>
        <v>0</v>
      </c>
      <c r="AQ103" s="417">
        <f>IF(AQ102=0,0,((+$J33/$AZ102)*AQ102)*VLOOKUP('1. SUMMARY'!$C$20,rate,Sheet1!AB$21,0))</f>
        <v>0</v>
      </c>
      <c r="AR103" s="417">
        <f>IF(AR102=0,0,((+$J33/$AZ102)*AR102)*VLOOKUP('1. SUMMARY'!$C$20,rate,Sheet1!AC$21,0))</f>
        <v>0</v>
      </c>
      <c r="AS103" s="417">
        <f>IF(AS102=0,0,((+$J33/$AZ102)*AS102)*VLOOKUP('1. SUMMARY'!$C$20,rate,Sheet1!AD$21,0))</f>
        <v>0</v>
      </c>
      <c r="AT103" s="417">
        <f>IF(AT102=0,0,((+$J33/$AZ102)*AT102)*VLOOKUP('1. SUMMARY'!$C$20,rate,Sheet1!AE$21,0))</f>
        <v>0</v>
      </c>
      <c r="AU103" s="417">
        <f>IF(AU102=0,0,((+$J33/$AZ102)*AU102)*VLOOKUP('1. SUMMARY'!$C$20,rate,Sheet1!AF$21,0))</f>
        <v>0</v>
      </c>
      <c r="AV103" s="417">
        <f>IF(AV102=0,0,((+$J33/$AZ102)*AV102)*VLOOKUP('1. SUMMARY'!$C$20,rate,Sheet1!AG$21,0))</f>
        <v>0</v>
      </c>
      <c r="AW103" s="417">
        <f>IF(AW102=0,0,((+$J33/$AZ102)*AW102)*VLOOKUP('1. SUMMARY'!$C$20,rate,Sheet1!AH$21,0))</f>
        <v>0</v>
      </c>
      <c r="AX103" s="417">
        <f>IF(AX102=0,0,((+$J33/$AZ102)*AX102)*VLOOKUP('1. SUMMARY'!$C$20,rate,Sheet1!AI$21,0))</f>
        <v>0</v>
      </c>
      <c r="AY103" s="417">
        <f>IF(AY102=0,0,((+$J33/$AZ102)*AY102)*VLOOKUP('1. SUMMARY'!$C$20,rate,Sheet1!AJ$21,0))</f>
        <v>0</v>
      </c>
      <c r="AZ103" s="219">
        <f>SUM(AI103:AY103)</f>
        <v>0</v>
      </c>
    </row>
    <row r="104" spans="1:52" ht="12.75" customHeight="1">
      <c r="A104" s="216"/>
      <c r="B104" s="234"/>
      <c r="C104" s="234"/>
      <c r="D104" s="234"/>
      <c r="E104" s="234"/>
      <c r="F104" s="234"/>
      <c r="G104" s="234"/>
      <c r="H104" s="234"/>
      <c r="I104" s="234"/>
      <c r="J104" s="234"/>
      <c r="K104" s="234"/>
      <c r="L104" s="235"/>
      <c r="P104" s="207">
        <f t="shared" si="36"/>
        <v>1</v>
      </c>
      <c r="Q104" s="417">
        <f>+Q103/VLOOKUP('1. SUMMARY'!$C$20,rate,Sheet1!T$21,0)</f>
        <v>0</v>
      </c>
      <c r="R104" s="417">
        <f>+R103/VLOOKUP('1. SUMMARY'!$C$20,rate,Sheet1!U$21,0)</f>
        <v>0</v>
      </c>
      <c r="S104" s="417">
        <f>+S103/VLOOKUP('1. SUMMARY'!$C$20,rate,Sheet1!V$21,0)</f>
        <v>0</v>
      </c>
      <c r="T104" s="417">
        <f>+T103/VLOOKUP('1. SUMMARY'!$C$20,rate,Sheet1!W$21,0)</f>
        <v>0</v>
      </c>
      <c r="U104" s="417">
        <f>+U103/VLOOKUP('1. SUMMARY'!$C$20,rate,Sheet1!X$21,0)</f>
        <v>0</v>
      </c>
      <c r="V104" s="417">
        <f>+V103/VLOOKUP('1. SUMMARY'!$C$20,rate,Sheet1!Y$21,0)</f>
        <v>0</v>
      </c>
      <c r="W104" s="417">
        <f>+W103/VLOOKUP('1. SUMMARY'!$C$20,rate,Sheet1!Z$21,0)</f>
        <v>0</v>
      </c>
      <c r="X104" s="417">
        <f>+X103/VLOOKUP('1. SUMMARY'!$C$20,rate,Sheet1!AA$21,0)</f>
        <v>0</v>
      </c>
      <c r="Y104" s="417">
        <f>+Y103/VLOOKUP('1. SUMMARY'!$C$20,rate,Sheet1!AB$21,0)</f>
        <v>0</v>
      </c>
      <c r="Z104" s="417">
        <f>+Z103/VLOOKUP('1. SUMMARY'!$C$20,rate,Sheet1!AC$21,0)</f>
        <v>0</v>
      </c>
      <c r="AA104" s="417">
        <f>+AA103/VLOOKUP('1. SUMMARY'!$C$20,rate,Sheet1!AD$21,0)</f>
        <v>0</v>
      </c>
      <c r="AB104" s="417">
        <f>+AB103/VLOOKUP('1. SUMMARY'!$C$20,rate,Sheet1!AE$21,0)</f>
        <v>0</v>
      </c>
      <c r="AC104" s="417">
        <f>+AC103/VLOOKUP('1. SUMMARY'!$C$20,rate,Sheet1!AF$21,0)</f>
        <v>0</v>
      </c>
      <c r="AD104" s="417">
        <f>+AD103/VLOOKUP('1. SUMMARY'!$C$20,rate,Sheet1!AG$21,0)</f>
        <v>0</v>
      </c>
      <c r="AE104" s="417">
        <f>+AE103/VLOOKUP('1. SUMMARY'!$C$20,rate,Sheet1!AH$21,0)</f>
        <v>0</v>
      </c>
      <c r="AF104" s="417">
        <f>+AF103/VLOOKUP('1. SUMMARY'!$C$20,rate,Sheet1!AI$21,0)</f>
        <v>0</v>
      </c>
      <c r="AG104" s="417">
        <f>+AG103/VLOOKUP('1. SUMMARY'!$C$20,rate,Sheet1!AJ$21,0)</f>
        <v>0</v>
      </c>
      <c r="AH104" s="211"/>
      <c r="AI104" s="417">
        <v>0</v>
      </c>
      <c r="AJ104" s="417">
        <v>0</v>
      </c>
      <c r="AK104" s="417">
        <v>0</v>
      </c>
      <c r="AL104" s="417">
        <v>0</v>
      </c>
      <c r="AM104" s="417">
        <v>0</v>
      </c>
      <c r="AN104" s="417">
        <v>0</v>
      </c>
      <c r="AO104" s="417">
        <v>0</v>
      </c>
      <c r="AP104" s="417">
        <v>0</v>
      </c>
      <c r="AQ104" s="417"/>
      <c r="AR104" s="417"/>
      <c r="AS104" s="417"/>
      <c r="AT104" s="417"/>
      <c r="AU104" s="417"/>
      <c r="AV104" s="417"/>
      <c r="AW104" s="417"/>
      <c r="AX104" s="417"/>
      <c r="AY104" s="417"/>
      <c r="AZ104" s="219"/>
    </row>
    <row r="105" spans="1:52" ht="12.75" customHeight="1" thickBot="1">
      <c r="A105" s="236" t="s">
        <v>154</v>
      </c>
      <c r="B105" s="237">
        <f>SUM(B101:B103)</f>
        <v>0</v>
      </c>
      <c r="C105" s="237" t="str">
        <f>IF(C95="No Year 2","",SUM(C101:C103))</f>
        <v/>
      </c>
      <c r="D105" s="237" t="str">
        <f>IF(D95="No Year 3","",SUM(D101:D103))</f>
        <v/>
      </c>
      <c r="E105" s="237" t="str">
        <f>IF(E95="No Year 4","",SUM(E101:E103))</f>
        <v/>
      </c>
      <c r="F105" s="237" t="str">
        <f>IF(F95="No Year 5","",SUM(F101:F103))</f>
        <v/>
      </c>
      <c r="G105" s="237" t="str">
        <f>IF(G95="No Year 6","",SUM(G101:G103))</f>
        <v/>
      </c>
      <c r="H105" s="237" t="str">
        <f>IF(H95="No Year 7","",SUM(H101:H103))</f>
        <v/>
      </c>
      <c r="I105" s="237" t="str">
        <f>IF(I95="No Year 8","",SUM(I101:I103))</f>
        <v/>
      </c>
      <c r="J105" s="237" t="str">
        <f>IF(J95="No Year 9","",SUM(J101:J103))</f>
        <v/>
      </c>
      <c r="K105" s="237" t="str">
        <f>IF(K95="No Year 10","",SUM(K101:K103))</f>
        <v/>
      </c>
      <c r="L105" s="238">
        <f>SUM(B105:K105)</f>
        <v>0</v>
      </c>
      <c r="N105" s="86">
        <f>IF(L105&gt;0,1,0)</f>
        <v>0</v>
      </c>
      <c r="P105" s="207">
        <f t="shared" si="36"/>
        <v>1</v>
      </c>
      <c r="Q105" s="420">
        <f>Sheet1!$T$8</f>
        <v>44105</v>
      </c>
      <c r="R105" s="420">
        <f>Sheet1!$U$8</f>
        <v>44470</v>
      </c>
      <c r="S105" s="420">
        <f>Sheet1!$V$8</f>
        <v>44835</v>
      </c>
      <c r="T105" s="420">
        <f>Sheet1!$W$8</f>
        <v>45200</v>
      </c>
      <c r="U105" s="420">
        <f>Sheet1!$X$8</f>
        <v>45566</v>
      </c>
      <c r="V105" s="420">
        <f>Sheet1!$Y$8</f>
        <v>45931</v>
      </c>
      <c r="W105" s="420">
        <f>Sheet1!$Z$8</f>
        <v>46296</v>
      </c>
      <c r="X105" s="420">
        <f>Sheet1!$AA$8</f>
        <v>46661</v>
      </c>
      <c r="Y105" s="420">
        <f>Sheet1!$AB$8</f>
        <v>47027</v>
      </c>
      <c r="Z105" s="420">
        <f>Sheet1!$AC$8</f>
        <v>47392</v>
      </c>
      <c r="AA105" s="420">
        <f>$AA$5</f>
        <v>47757</v>
      </c>
      <c r="AB105" s="420">
        <f>$AB$5</f>
        <v>48122</v>
      </c>
      <c r="AC105" s="420">
        <f>$AC$5</f>
        <v>48488</v>
      </c>
      <c r="AD105" s="420">
        <f>$AD$5</f>
        <v>48853</v>
      </c>
      <c r="AE105" s="420">
        <f>$AE$5</f>
        <v>49218</v>
      </c>
      <c r="AF105" s="420">
        <f>$AF$5</f>
        <v>49583</v>
      </c>
      <c r="AG105" s="420">
        <f>$AG$5</f>
        <v>49949</v>
      </c>
      <c r="AH105" s="211"/>
      <c r="AI105" s="420">
        <f t="shared" ref="AI105:AR107" si="46">+Q105</f>
        <v>44105</v>
      </c>
      <c r="AJ105" s="420">
        <f t="shared" si="46"/>
        <v>44470</v>
      </c>
      <c r="AK105" s="420">
        <f t="shared" si="46"/>
        <v>44835</v>
      </c>
      <c r="AL105" s="420">
        <f t="shared" si="46"/>
        <v>45200</v>
      </c>
      <c r="AM105" s="420">
        <f t="shared" si="46"/>
        <v>45566</v>
      </c>
      <c r="AN105" s="420">
        <f t="shared" si="46"/>
        <v>45931</v>
      </c>
      <c r="AO105" s="420">
        <f t="shared" si="46"/>
        <v>46296</v>
      </c>
      <c r="AP105" s="420">
        <f t="shared" si="46"/>
        <v>46661</v>
      </c>
      <c r="AQ105" s="420">
        <f t="shared" si="46"/>
        <v>47027</v>
      </c>
      <c r="AR105" s="420">
        <f t="shared" si="46"/>
        <v>47392</v>
      </c>
      <c r="AS105" s="420">
        <f t="shared" ref="AS105:AY107" si="47">+AA105</f>
        <v>47757</v>
      </c>
      <c r="AT105" s="420">
        <f t="shared" si="47"/>
        <v>48122</v>
      </c>
      <c r="AU105" s="420">
        <f t="shared" si="47"/>
        <v>48488</v>
      </c>
      <c r="AV105" s="420">
        <f t="shared" si="47"/>
        <v>48853</v>
      </c>
      <c r="AW105" s="420">
        <f t="shared" si="47"/>
        <v>49218</v>
      </c>
      <c r="AX105" s="420">
        <f t="shared" si="47"/>
        <v>49583</v>
      </c>
      <c r="AY105" s="420">
        <f t="shared" si="47"/>
        <v>49949</v>
      </c>
      <c r="AZ105" s="211"/>
    </row>
    <row r="106" spans="1:52" ht="12.75" customHeight="1" thickTop="1">
      <c r="P106" s="207">
        <f t="shared" si="36"/>
        <v>1</v>
      </c>
      <c r="Q106" s="420">
        <f>Sheet1!$T$9</f>
        <v>44469</v>
      </c>
      <c r="R106" s="420">
        <f>Sheet1!$U$9</f>
        <v>44834</v>
      </c>
      <c r="S106" s="420">
        <f>Sheet1!$V$9</f>
        <v>45199</v>
      </c>
      <c r="T106" s="420">
        <f>Sheet1!$W$9</f>
        <v>45565</v>
      </c>
      <c r="U106" s="420">
        <f>Sheet1!$X$9</f>
        <v>45930</v>
      </c>
      <c r="V106" s="420">
        <f>Sheet1!$Y$9</f>
        <v>46295</v>
      </c>
      <c r="W106" s="420">
        <f>Sheet1!$Z$9</f>
        <v>46660</v>
      </c>
      <c r="X106" s="420">
        <f>Sheet1!$AA$9</f>
        <v>47026</v>
      </c>
      <c r="Y106" s="420">
        <f>Sheet1!$AB$9</f>
        <v>47391</v>
      </c>
      <c r="Z106" s="420">
        <f>Sheet1!$AC$9</f>
        <v>47756</v>
      </c>
      <c r="AA106" s="420">
        <f>$AA$6</f>
        <v>48121</v>
      </c>
      <c r="AB106" s="420">
        <f>$AB$6</f>
        <v>48487</v>
      </c>
      <c r="AC106" s="420">
        <f>$AC$6</f>
        <v>48852</v>
      </c>
      <c r="AD106" s="420">
        <f>$AD$6</f>
        <v>49217</v>
      </c>
      <c r="AE106" s="420">
        <f>$AE$6</f>
        <v>49582</v>
      </c>
      <c r="AF106" s="420">
        <f>$AF$6</f>
        <v>49948</v>
      </c>
      <c r="AG106" s="420">
        <f>$AG$6</f>
        <v>50313</v>
      </c>
      <c r="AH106" s="211"/>
      <c r="AI106" s="420">
        <f t="shared" si="46"/>
        <v>44469</v>
      </c>
      <c r="AJ106" s="420">
        <f t="shared" si="46"/>
        <v>44834</v>
      </c>
      <c r="AK106" s="420">
        <f t="shared" si="46"/>
        <v>45199</v>
      </c>
      <c r="AL106" s="420">
        <f t="shared" si="46"/>
        <v>45565</v>
      </c>
      <c r="AM106" s="420">
        <f t="shared" si="46"/>
        <v>45930</v>
      </c>
      <c r="AN106" s="420">
        <f t="shared" si="46"/>
        <v>46295</v>
      </c>
      <c r="AO106" s="420">
        <f t="shared" si="46"/>
        <v>46660</v>
      </c>
      <c r="AP106" s="420">
        <f t="shared" si="46"/>
        <v>47026</v>
      </c>
      <c r="AQ106" s="420">
        <f t="shared" si="46"/>
        <v>47391</v>
      </c>
      <c r="AR106" s="420">
        <f t="shared" si="46"/>
        <v>47756</v>
      </c>
      <c r="AS106" s="420">
        <f t="shared" si="47"/>
        <v>48121</v>
      </c>
      <c r="AT106" s="420">
        <f t="shared" si="47"/>
        <v>48487</v>
      </c>
      <c r="AU106" s="420">
        <f t="shared" si="47"/>
        <v>48852</v>
      </c>
      <c r="AV106" s="420">
        <f t="shared" si="47"/>
        <v>49217</v>
      </c>
      <c r="AW106" s="420">
        <f t="shared" si="47"/>
        <v>49582</v>
      </c>
      <c r="AX106" s="420">
        <f t="shared" si="47"/>
        <v>49948</v>
      </c>
      <c r="AY106" s="420">
        <f t="shared" si="47"/>
        <v>50313</v>
      </c>
      <c r="AZ106" s="211"/>
    </row>
    <row r="107" spans="1:52" ht="12.75" customHeight="1" thickBot="1">
      <c r="O107" s="207">
        <v>10</v>
      </c>
      <c r="P107" s="207">
        <f t="shared" si="36"/>
        <v>1</v>
      </c>
      <c r="Q107" s="421">
        <f>IF(IF(Q106&lt;$K$27,0,DATEDIF($K$27,Q106+1,"m"))&lt;0,0,IF(Q106&lt;$K$27,0,DATEDIF($K$27,Q106+1,"m")))</f>
        <v>0</v>
      </c>
      <c r="R107" s="421">
        <f>IF(IF(Q107=12,0,IF(R106&gt;$K$28,12-DATEDIF($K$28,R106+1,"m"),IF(R106&lt;$K$27,0,DATEDIF($K$27,R106+1,"m"))))&lt;0,0,IF(Q107=12,0,IF(R106&gt;$K$28,12-DATEDIF($K$28,R106+1,"m"),IF(R106&lt;$K$27,0,DATEDIF($K$27,R106+1,"m")))))</f>
        <v>0</v>
      </c>
      <c r="S107" s="421">
        <f>IF(IF(Q107+R107=12,0,IF(S106&gt;$K$28,12-DATEDIF($K$28,S106+1,"m"),IF(S106&lt;$K$27,0,DATEDIF($K$27,S106+1,"m"))))&lt;0,0,IF(Q107+R107=12,0,IF(S106&gt;$K$28,12-DATEDIF($K$28,S106+1,"m"),IF(S106&lt;$K$27,0,DATEDIF($K$27,S106+1,"m")))))</f>
        <v>0</v>
      </c>
      <c r="T107" s="421">
        <f>IF(IF(R107+S107+Q107=12,0,IF(T106&gt;$K$28,12-DATEDIF($K$28,T106+1,"m"),IF(T106&lt;$K$27,0,DATEDIF($K$27,T106+1,"m"))))&lt;0,0,IF(R107+S107+Q107=12,0,IF(T106&gt;$K$28,12-DATEDIF($K$28,T106+1,"m"),IF(T106&lt;$K$27,0,DATEDIF($K$27,T106+1,"m")))))</f>
        <v>0</v>
      </c>
      <c r="U107" s="421">
        <f>IF(IF(S107+T107+R107+Q107=12,0,IF(U106&gt;$K$28,12-DATEDIF($K$28,U106+1,"m"),IF(U106&lt;$K$27,0,DATEDIF($K$27,U106+1,"m"))))&lt;0,0,IF(S107+T107+R107+Q107=12,0,IF(U106&gt;$K$28,12-DATEDIF($K$28,U106+1,"m"),IF(U106&lt;$K$27,0,DATEDIF($K$27,U106+1,"m")))))</f>
        <v>0</v>
      </c>
      <c r="V107" s="421">
        <f>IF(IF(T107+U107+S107+R107+Q107=12,0,IF(V106&gt;$K$28,12-DATEDIF($K$28,V106+1,"m"),IF(V106&lt;$K$27,0,DATEDIF($K$27,V106+1,"m"))))&lt;0,0,IF(T107+U107+S107+R107+Q107=12,0,IF(V106&gt;$K$28,12-DATEDIF($K$28,V106+1,"m"),IF(V106&lt;$K$27,0,DATEDIF($K$27,V106+1,"m")))))</f>
        <v>0</v>
      </c>
      <c r="W107" s="421">
        <f>IF(IF(U107+V107+T107+S107+R107+Q107=12,0,IF(W106&gt;$K$28,12-DATEDIF($K$28,W106+1,"m"),IF(W106&lt;$K$27,0,DATEDIF($K$27,W106+1,"m"))))&lt;0,0,IF(U107+V107+T107+S107+R107+Q107=12,0,IF(W106&gt;$K$28,12-DATEDIF($K$28,W106+1,"m"),IF(W106&lt;$K$27,0,DATEDIF($K$27,W106+1,"m")))))</f>
        <v>0</v>
      </c>
      <c r="X107" s="421">
        <f>IF(IF(V107+W107+U107+T107+S107+R107+Q107=12,0,IF(X106&gt;$K$28,12-DATEDIF($K$28,X106+1,"m"),IF(X106&lt;$K$27,0,DATEDIF($K$27,X106+1,"m"))))&lt;0,0,IF(V107+W107+U107+T107+S107+R107+Q107=12,0,IF(X106&gt;$K$28,12-DATEDIF($K$28,X106+1,"m"),IF(X106&lt;$K$27,0,DATEDIF($K$27,X106+1,"m")))))</f>
        <v>0</v>
      </c>
      <c r="Y107" s="421">
        <f>IF(IF(W107+X107+V107+U107+T107+S107+R107+Q107=12,0,IF(Y106&gt;$K$28,12-DATEDIF($K$28,Y106+1,"m"),IF(Y106&lt;$K$27,0,DATEDIF($K$27,Y106+1,"m"))))&lt;0,0,IF(W107+X107+V107+U107+T107+S107+R107+Q107=12,0,IF(Y106&gt;$K$28,12-DATEDIF($K$28,Y106+1,"m"),IF(Y106&lt;$K$27,0,DATEDIF($K$27,Y106+1,"m")))))</f>
        <v>0</v>
      </c>
      <c r="Z107" s="421">
        <f>IF(IF(X107+Y107+W107+V107+U107+T107+S107+R107+Q107=12,0,IF(Z106&gt;$K$28,12-DATEDIF($K$28,Z106+1,"m"),IF(Z106&lt;$K$27,0,DATEDIF($K$27,Z106+1,"m"))))&lt;0,0,IF(X107+Y107+W107+V107+U107+T107+S107+R107+Q107=12,0,IF(Z106&gt;$K$28,12-DATEDIF($K$28,Z106+1,"m"),IF(Z106&lt;$K$27,0,DATEDIF($K$27,Z106+1,"m")))))</f>
        <v>0</v>
      </c>
      <c r="AA107" s="421">
        <f>IF(IF(Q107+R107+S107+Y107+Z107+X107+W107+V107+U107+T107=12,0,IF(AA106&gt;$K$28,12-DATEDIF($K$28,AA106+1,"m"),IF(AA106&lt;$K$27,0,DATEDIF($K$27,AA106+1,"m"))))&lt;0,0,IF(Q107+R107+S107+Y107+Z107+X107+W107+V107+U107+T107=12,0,IF(AA106&gt;$K$28,12-DATEDIF($K$28,AA106+1,"m"),IF(AA106&lt;$K$27,0,DATEDIF($K$27,AA106+1,"m")))))</f>
        <v>0</v>
      </c>
      <c r="AB107" s="421">
        <f>IF(IF(Q107+R107+S107+T107+Z107+AA107+Y107+X107+W107+V107+U107=12,0,IF(AB106&gt;$K$28,12-DATEDIF($K$28,AB106+1,"m"),IF(AB106&lt;$K$27,0,DATEDIF($K$27,AB106+1,"m"))))&lt;0,0,IF(Q107+R107+S107+T107+Z107+AA107+Y107+X107+W107+V107+U107=12,0,IF(AB106&gt;$K$28,12-DATEDIF($K$28,AB106+1,"m"),IF(AB106&lt;$K$27,0,DATEDIF($K$27,AB106+1,"m")))))</f>
        <v>0</v>
      </c>
      <c r="AC107" s="421">
        <f>IF(IF(Q107+R107+S107+T107+U107+AA107+AB107+Z107+Y107+X107+W107+V107=12,0,IF(AC106&gt;$K$28,12-DATEDIF($K$28,AC106+1,"m"),IF(AC106&lt;$K$27,0,DATEDIF($K$27,AC106+1,"m"))))&lt;0,0,IF(Q107+R107+S107+T107+U107+AA107+AB107+Z107+Y107+X107+W107+V107=12,0,IF(AC106&gt;$K$28,12-DATEDIF($K$28,AC106+1,"m"),IF(AC106&lt;$K$27,0,DATEDIF($K$27,AC106+1,"m")))))</f>
        <v>0</v>
      </c>
      <c r="AD107" s="421">
        <f>IF(IF(Q107+R107+S107+T107+U107+V107+AB107+AC107+AA107+Z107+Y107+X107+W107=12,0,IF(AD106&gt;$K$28,12-DATEDIF($K$28,AD106+1,"m"),IF(AD106&lt;$K$27,0,DATEDIF($K$27,AD106+1,"m"))))&lt;0,0,IF(Q107+R107+S107+T107+U107+V107+AB107+AC107+AA107+Z107+Y107+X107+W107=12,0,IF(AD106&gt;$K$28,12-DATEDIF($K$28,AD106+1,"m"),IF(AD106&lt;$K$27,0,DATEDIF($K$27,AD106+1,"m")))))</f>
        <v>0</v>
      </c>
      <c r="AE107" s="421">
        <f>IF(IF(Q107+R107+S107+T107+U107+V107+W107+AC107+AD107+AB107+AA107+Z107+Y107+X107=12,0,IF(AE106&gt;$K$28,12-DATEDIF($K$28,AE106+1,"m"),IF(AE106&lt;$K$27,0,DATEDIF($K$27,AE106+1,"m"))))&lt;0,0,IF(Q107+R107+S107+T107+U107+V107+W107+AC107+AD107+AB107+AA107+Z107+Y107+X107=12,0,IF(AE106&gt;$K$28,12-DATEDIF($K$28,AE106+1,"m"),IF(AE106&lt;$K$27,0,DATEDIF($K$27,AE106+1,"m")))))</f>
        <v>0</v>
      </c>
      <c r="AF107" s="421">
        <f>IF(IF(Q107+R107+S107+T107+U107+V107+W107+X107+AD107+AE107+AC107+AB107+AA107+Z107+Y107=12,0,IF(AF106&gt;$K$28,12-DATEDIF($K$28,AF106+1,"m"),IF(AF106&lt;$K$27,0,DATEDIF($K$27,AF106+1,"m"))))&lt;0,0,IF(Q107+R107+S107+T107+U107+V107+W107+X107+AD107+AE107+AC107+AB107+AA107+Z107+Y107=12,0,IF(AF106&gt;$K$28,12-DATEDIF($K$28,AF106+1,"m"),IF(AF106&lt;$K$27,0,DATEDIF($K$27,AF106+1,"m")))))</f>
        <v>0</v>
      </c>
      <c r="AG107" s="421">
        <f>IF(IF(Q107+R107+S107+T107+U107+V107+W107+X107+Y107+AE107+AF107+AD107+AC107+AB107+AA107+Z107=12,0,IF(AI106&gt;$K$28,12-DATEDIF($K$28,AI106+1,"m"),IF(AI106&lt;$K$27,0,DATEDIF($K$27,AI106+1,"m"))))&lt;0,0,IF(Q107+R107+S107+T107+U107+V107+W107+X107+Y107+AE107+AF107+AD107+AC107+AB107+AA107+Z107=12,0,IF(AI106&gt;$K$28,12-DATEDIF($K$28,AI106+1,"m"),IF(AI106&lt;$K$27,0,DATEDIF($K$27,AI106+1,"m")))))</f>
        <v>0</v>
      </c>
      <c r="AH107" s="423">
        <f>SUM(Q107:AG107)</f>
        <v>0</v>
      </c>
      <c r="AI107" s="421">
        <f t="shared" si="46"/>
        <v>0</v>
      </c>
      <c r="AJ107" s="421">
        <f t="shared" si="46"/>
        <v>0</v>
      </c>
      <c r="AK107" s="421">
        <f t="shared" si="46"/>
        <v>0</v>
      </c>
      <c r="AL107" s="421">
        <f t="shared" si="46"/>
        <v>0</v>
      </c>
      <c r="AM107" s="421">
        <f t="shared" si="46"/>
        <v>0</v>
      </c>
      <c r="AN107" s="421">
        <f t="shared" si="46"/>
        <v>0</v>
      </c>
      <c r="AO107" s="421">
        <f t="shared" si="46"/>
        <v>0</v>
      </c>
      <c r="AP107" s="421">
        <f t="shared" si="46"/>
        <v>0</v>
      </c>
      <c r="AQ107" s="421">
        <f t="shared" si="46"/>
        <v>0</v>
      </c>
      <c r="AR107" s="421">
        <f t="shared" si="46"/>
        <v>0</v>
      </c>
      <c r="AS107" s="421">
        <f t="shared" si="47"/>
        <v>0</v>
      </c>
      <c r="AT107" s="421">
        <f t="shared" si="47"/>
        <v>0</v>
      </c>
      <c r="AU107" s="421">
        <f t="shared" si="47"/>
        <v>0</v>
      </c>
      <c r="AV107" s="421">
        <f t="shared" si="47"/>
        <v>0</v>
      </c>
      <c r="AW107" s="421">
        <f t="shared" si="47"/>
        <v>0</v>
      </c>
      <c r="AX107" s="421">
        <f t="shared" si="47"/>
        <v>0</v>
      </c>
      <c r="AY107" s="421">
        <f t="shared" si="47"/>
        <v>0</v>
      </c>
      <c r="AZ107" s="219">
        <f>SUM(AI107:AY107)</f>
        <v>0</v>
      </c>
    </row>
    <row r="108" spans="1:52" ht="12.75" customHeight="1" thickTop="1">
      <c r="A108" s="212" t="s">
        <v>160</v>
      </c>
      <c r="B108" s="213"/>
      <c r="C108" s="213"/>
      <c r="D108" s="213"/>
      <c r="E108" s="213"/>
      <c r="F108" s="213"/>
      <c r="G108" s="213"/>
      <c r="H108" s="213"/>
      <c r="I108" s="213"/>
      <c r="J108" s="213"/>
      <c r="K108" s="213"/>
      <c r="L108" s="214"/>
      <c r="P108" s="207">
        <f t="shared" si="36"/>
        <v>1</v>
      </c>
      <c r="Q108" s="421">
        <f>IF(Q107=0,0,(IF(($B$33+$C$33+$D$33+$E$33+$F$33+$G$33+$H$33+$I$33+$J$33+$K$33)&lt;=25000,(($K$33/+$AH107)*Q107)*VLOOKUP('1. SUMMARY'!$C$20,rate,Sheet1!T$21,0),((IF(($B$33+$C$33+$D$33+$E$33+$F$33+$G$33+$H$33+$I$33+$J$33)&gt;=25000,0,(((25000-($B$33+$C$33+$D$33+$E$33+$F$33+$G$33+$H$33+$I$33+$J$33))/+$AH107)*Q107)*(VLOOKUP('1. SUMMARY'!$C$20,rate,Sheet1!T$21,0))))))))</f>
        <v>0</v>
      </c>
      <c r="R108" s="421">
        <f>IF(R107=0,0,(IF(($B$33+$C$33+$D$33+$E$33+$F$33+$G$33+$H$33+$I$33+$J$33+$K$33)&lt;=25000,(($K$33/+$AH107)*R107)*VLOOKUP('1. SUMMARY'!$C$20,rate,Sheet1!U$21,0),((IF(($B$33+$C$33+$D$33+$E$33+$F$33+$G$33+$H$33+$I$33+$J$33)&gt;=25000,0,(((25000-($B$33+$C$33+$D$33+$E$33+$F$33+$G$33+$H$33+$I$33+$J$33))/+$AH107)*R107)*(VLOOKUP('1. SUMMARY'!$C$20,rate,Sheet1!U$21,0))))))))</f>
        <v>0</v>
      </c>
      <c r="S108" s="421">
        <f>IF(S107=0,0,(IF(($B$33+$C$33+$D$33+$E$33+$F$33+$G$33+$H$33+$I$33+$J$33+$K$33)&lt;=25000,(($K$33/+$AH107)*S107)*VLOOKUP('1. SUMMARY'!$C$20,rate,Sheet1!V$21,0),((IF(($B$33+$C$33+$D$33+$E$33+$F$33+$G$33+$H$33+$I$33+$J$33)&gt;=25000,0,(((25000-($B$33+$C$33+$D$33+$E$33+$F$33+$G$33+$H$33+$I$33+$J$33))/+$AH107)*S107)*(VLOOKUP('1. SUMMARY'!$C$20,rate,Sheet1!V$21,0))))))))</f>
        <v>0</v>
      </c>
      <c r="T108" s="421">
        <f>IF(T107=0,0,(IF(($B$33+$C$33+$D$33+$E$33+$F$33+$G$33+$H$33+$I$33+$J$33+$K$33)&lt;=25000,(($K$33/+$AH107)*T107)*VLOOKUP('1. SUMMARY'!$C$20,rate,Sheet1!W$21,0),((IF(($B$33+$C$33+$D$33+$E$33+$F$33+$G$33+$H$33+$I$33+$J$33)&gt;=25000,0,(((25000-($B$33+$C$33+$D$33+$E$33+$F$33+$G$33+$H$33+$I$33+$J$33))/+$AH107)*T107)*(VLOOKUP('1. SUMMARY'!$C$20,rate,Sheet1!W$21,0))))))))</f>
        <v>0</v>
      </c>
      <c r="U108" s="421">
        <f>IF(U107=0,0,(IF(($B$33+$C$33+$D$33+$E$33+$F$33+$G$33+$H$33+$I$33+$J$33+$K$33)&lt;=25000,(($K$33/+$AH107)*U107)*VLOOKUP('1. SUMMARY'!$C$20,rate,Sheet1!X$21,0),((IF(($B$33+$C$33+$D$33+$E$33+$F$33+$G$33+$H$33+$I$33+$J$33)&gt;=25000,0,(((25000-($B$33+$C$33+$D$33+$E$33+$F$33+$G$33+$H$33+$I$33+$J$33))/+$AH107)*U107)*(VLOOKUP('1. SUMMARY'!$C$20,rate,Sheet1!X$21,0))))))))</f>
        <v>0</v>
      </c>
      <c r="V108" s="421">
        <f>IF(V107=0,0,(IF(($B$33+$C$33+$D$33+$E$33+$F$33+$G$33+$H$33+$I$33+$J$33+$K$33)&lt;=25000,(($K$33/+$AH107)*V107)*VLOOKUP('1. SUMMARY'!$C$20,rate,Sheet1!Y$21,0),((IF(($B$33+$C$33+$D$33+$E$33+$F$33+$G$33+$H$33+$I$33+$J$33)&gt;=25000,0,(((25000-($B$33+$C$33+$D$33+$E$33+$F$33+$G$33+$H$33+$I$33+$J$33))/+$AH107)*V107)*(VLOOKUP('1. SUMMARY'!$C$20,rate,Sheet1!Y$21,0))))))))</f>
        <v>0</v>
      </c>
      <c r="W108" s="421">
        <f>IF(W107=0,0,(IF(($B$33+$C$33+$D$33+$E$33+$F$33+$G$33+$H$33+$I$33+$J$33+$K$33)&lt;=25000,(($K$33/+$AH107)*W107)*VLOOKUP('1. SUMMARY'!$C$20,rate,Sheet1!Z$21,0),((IF(($B$33+$C$33+$D$33+$E$33+$F$33+$G$33+$H$33+$I$33+$J$33)&gt;=25000,0,(((25000-($B$33+$C$33+$D$33+$E$33+$F$33+$G$33+$H$33+$I$33+$J$33))/+$AH107)*W107)*(VLOOKUP('1. SUMMARY'!$C$20,rate,Sheet1!Z$21,0))))))))</f>
        <v>0</v>
      </c>
      <c r="X108" s="421">
        <f>IF(X107=0,0,(IF(($B$33+$C$33+$D$33+$E$33+$F$33+$G$33+$H$33+$I$33+$J$33+$K$33)&lt;=25000,(($K$33/+$AH107)*X107)*VLOOKUP('1. SUMMARY'!$C$20,rate,Sheet1!AA$21,0),((IF(($B$33+$C$33+$D$33+$E$33+$F$33+$G$33+$H$33+$I$33+$J$33)&gt;=25000,0,(((25000-($B$33+$C$33+$D$33+$E$33+$F$33+$G$33+$H$33+$I$33+$J$33))/+$AH107)*X107)*(VLOOKUP('1. SUMMARY'!$C$20,rate,Sheet1!AA$21,0))))))))</f>
        <v>0</v>
      </c>
      <c r="Y108" s="421">
        <f>IF(Y107=0,0,(IF(($B$33+$C$33+$D$33+$E$33+$F$33+$G$33+$H$33+$I$33+$J$33+$K$33)&lt;=25000,(($K$33/+$AH107)*Y107)*VLOOKUP('1. SUMMARY'!$C$20,rate,Sheet1!AB$21,0),((IF(($B$33+$C$33+$D$33+$E$33+$F$33+$G$33+$H$33+$I$33+$J$33)&gt;=25000,0,(((25000-($B$33+$C$33+$D$33+$E$33+$F$33+$G$33+$H$33+$I$33+$J$33))/+$AH107)*Y107)*(VLOOKUP('1. SUMMARY'!$C$20,rate,Sheet1!AB$21,0))))))))</f>
        <v>0</v>
      </c>
      <c r="Z108" s="421">
        <f>IF(Z107=0,0,(IF(($B$33+$C$33+$D$33+$E$33+$F$33+$G$33+$H$33+$I$33+$J$33+$K$33)&lt;=25000,(($K$33/+$AH107)*Z107)*VLOOKUP('1. SUMMARY'!$C$20,rate,Sheet1!AC$21,0),((IF(($B$33+$C$33+$D$33+$E$33+$F$33+$G$33+$H$33+$I$33+$J$33)&gt;=25000,0,(((25000-($B$33+$C$33+$D$33+$E$33+$F$33+$G$33+$H$33+$I$33+$J$33))/+$AH107)*Z107)*(VLOOKUP('1. SUMMARY'!$C$20,rate,Sheet1!AC$21,0))))))))</f>
        <v>0</v>
      </c>
      <c r="AA108" s="421">
        <f>IF(AA107=0,0,(IF(($B$33+$C$33+$D$33+$E$33+$F$33+$G$33+$H$33+$I$33+$J$33+$K$33)&lt;=25000,(($K$33/+$AH107)*AA107)*VLOOKUP('1. SUMMARY'!$C$20,rate,Sheet1!AD$21,0),((IF(($B$33+$C$33+$D$33+$E$33+$F$33+$G$33+$H$33+$I$33+$J$33)&gt;=25000,0,(((25000-($B$33+$C$33+$D$33+$E$33+$F$33+$G$33+$H$33+$I$33+$J$33))/+$AH107)*AA107)*(VLOOKUP('1. SUMMARY'!$C$20,rate,Sheet1!AD$21,0))))))))</f>
        <v>0</v>
      </c>
      <c r="AB108" s="421">
        <f>IF(AB107=0,0,(IF(($B$33+$C$33+$D$33+$E$33+$F$33+$G$33+$H$33+$I$33+$J$33+$K$33)&lt;=25000,(($K$33/+$AH107)*AB107)*VLOOKUP('1. SUMMARY'!$C$20,rate,Sheet1!AE$21,0),((IF(($B$33+$C$33+$D$33+$E$33+$F$33+$G$33+$H$33+$I$33+$J$33)&gt;=25000,0,(((25000-($B$33+$C$33+$D$33+$E$33+$F$33+$G$33+$H$33+$I$33+$J$33))/+$AH107)*AB107)*(VLOOKUP('1. SUMMARY'!$C$20,rate,Sheet1!AE$21,0))))))))</f>
        <v>0</v>
      </c>
      <c r="AC108" s="421">
        <f>IF(AC107=0,0,(IF(($B$33+$C$33+$D$33+$E$33+$F$33+$G$33+$H$33+$I$33+$J$33+$K$33)&lt;=25000,(($K$33/+$AH107)*AC107)*VLOOKUP('1. SUMMARY'!$C$20,rate,Sheet1!AF$21,0),((IF(($B$33+$C$33+$D$33+$E$33+$F$33+$G$33+$H$33+$I$33+$J$33)&gt;=25000,0,(((25000-($B$33+$C$33+$D$33+$E$33+$F$33+$G$33+$H$33+$I$33+$J$33))/+$AH107)*AC107)*(VLOOKUP('1. SUMMARY'!$C$20,rate,Sheet1!AF$21,0))))))))</f>
        <v>0</v>
      </c>
      <c r="AD108" s="421">
        <f>IF(AD107=0,0,(IF(($B$33+$C$33+$D$33+$E$33+$F$33+$G$33+$H$33+$I$33+$J$33+$K$33)&lt;=25000,(($K$33/+$AH107)*AD107)*VLOOKUP('1. SUMMARY'!$C$20,rate,Sheet1!AG$21,0),((IF(($B$33+$C$33+$D$33+$E$33+$F$33+$G$33+$H$33+$I$33+$J$33)&gt;=25000,0,(((25000-($B$33+$C$33+$D$33+$E$33+$F$33+$G$33+$H$33+$I$33+$J$33))/+$AH107)*AD107)*(VLOOKUP('1. SUMMARY'!$C$20,rate,Sheet1!AG$21,0))))))))</f>
        <v>0</v>
      </c>
      <c r="AE108" s="421">
        <f>IF(AE107=0,0,(IF(($B$33+$C$33+$D$33+$E$33+$F$33+$G$33+$H$33+$I$33+$J$33+$K$33)&lt;=25000,(($K$33/+$AH107)*AE107)*VLOOKUP('1. SUMMARY'!$C$20,rate,Sheet1!AH$21,0),((IF(($B$33+$C$33+$D$33+$E$33+$F$33+$G$33+$H$33+$I$33+$J$33)&gt;=25000,0,(((25000-($B$33+$C$33+$D$33+$E$33+$F$33+$G$33+$H$33+$I$33+$J$33))/+$AH107)*AE107)*(VLOOKUP('1. SUMMARY'!$C$20,rate,Sheet1!AH$21,0))))))))</f>
        <v>0</v>
      </c>
      <c r="AF108" s="421">
        <f>IF(AF107=0,0,(IF(($B$33+$C$33+$D$33+$E$33+$F$33+$G$33+$H$33+$I$33+$J$33+$K$33)&lt;=25000,(($K$33/+$AH107)*AF107)*VLOOKUP('1. SUMMARY'!$C$20,rate,Sheet1!AI$21,0),((IF(($B$33+$C$33+$D$33+$E$33+$F$33+$G$33+$H$33+$I$33+$J$33)&gt;=25000,0,(((25000-($B$33+$C$33+$D$33+$E$33+$F$33+$G$33+$H$33+$I$33+$J$33))/+$AH107)*AF107)*(VLOOKUP('1. SUMMARY'!$C$20,rate,Sheet1!AI$21,0))))))))</f>
        <v>0</v>
      </c>
      <c r="AG108" s="421">
        <f>IF(AG107=0,0,(IF(($B$33+$C$33+$D$33+$E$33+$F$33+$G$33+$H$33+$I$33+$J$33+$K$33)&lt;=25000,(($K$33/+$AH107)*AG107)*VLOOKUP('1. SUMMARY'!$C$20,rate,Sheet1!AJ$21,0),((IF(($B$33+$C$33+$D$33+$E$33+$F$33+$G$33+$H$33+$I$33+$J$33)&gt;=25000,0,(((25000-($B$33+$C$33+$D$33+$E$33+$F$33+$G$33+$H$33+$I$33+$J$33))/+$AH107)*AG107)*(VLOOKUP('1. SUMMARY'!$C$20,rate,Sheet1!AJ$21,0))))))))</f>
        <v>0</v>
      </c>
      <c r="AH108" s="219">
        <f>SUM(Q108:AG108)</f>
        <v>0</v>
      </c>
      <c r="AI108" s="421">
        <f>IF(AI107=0,0,((+$K33/$AZ107)*AI107)*VLOOKUP('1. SUMMARY'!$C$20,rate,Sheet1!T$21,0))</f>
        <v>0</v>
      </c>
      <c r="AJ108" s="421">
        <f>IF(AJ107=0,0,((+$K33/$AZ107)*AJ107)*VLOOKUP('1. SUMMARY'!$C$20,rate,Sheet1!U$21,0))</f>
        <v>0</v>
      </c>
      <c r="AK108" s="421">
        <f>IF(AK107=0,0,((+$K33/$AZ107)*AK107)*VLOOKUP('1. SUMMARY'!$C$20,rate,Sheet1!V$21,0))</f>
        <v>0</v>
      </c>
      <c r="AL108" s="421">
        <f>IF(AL107=0,0,((+$K33/$AZ107)*AL107)*VLOOKUP('1. SUMMARY'!$C$20,rate,Sheet1!W$21,0))</f>
        <v>0</v>
      </c>
      <c r="AM108" s="421">
        <f>IF(AM107=0,0,((+$K33/$AZ107)*AM107)*VLOOKUP('1. SUMMARY'!$C$20,rate,Sheet1!X$21,0))</f>
        <v>0</v>
      </c>
      <c r="AN108" s="421">
        <f>IF(AN107=0,0,((+$K33/$AZ107)*AN107)*VLOOKUP('1. SUMMARY'!$C$20,rate,Sheet1!Y$21,0))</f>
        <v>0</v>
      </c>
      <c r="AO108" s="421">
        <f>IF(AO107=0,0,((+$K33/$AZ107)*AO107)*VLOOKUP('1. SUMMARY'!$C$20,rate,Sheet1!Z$21,0))</f>
        <v>0</v>
      </c>
      <c r="AP108" s="421">
        <f>IF(AP107=0,0,((+$K33/$AZ107)*AP107)*VLOOKUP('1. SUMMARY'!$C$20,rate,Sheet1!AA$21,0))</f>
        <v>0</v>
      </c>
      <c r="AQ108" s="421">
        <f>IF(AQ107=0,0,((+$K33/$AZ107)*AQ107)*VLOOKUP('1. SUMMARY'!$C$20,rate,Sheet1!AB$21,0))</f>
        <v>0</v>
      </c>
      <c r="AR108" s="421">
        <f>IF(AR107=0,0,((+$K33/$AZ107)*AR107)*VLOOKUP('1. SUMMARY'!$C$20,rate,Sheet1!AC$21,0))</f>
        <v>0</v>
      </c>
      <c r="AS108" s="421">
        <f>IF(AS107=0,0,((+$K33/$AZ107)*AS107)*VLOOKUP('1. SUMMARY'!$C$20,rate,Sheet1!AD$21,0))</f>
        <v>0</v>
      </c>
      <c r="AT108" s="421">
        <f>IF(AT107=0,0,((+$K33/$AZ107)*AT107)*VLOOKUP('1. SUMMARY'!$C$20,rate,Sheet1!AE$21,0))</f>
        <v>0</v>
      </c>
      <c r="AU108" s="421">
        <f>IF(AU107=0,0,((+$K33/$AZ107)*AU107)*VLOOKUP('1. SUMMARY'!$C$20,rate,Sheet1!AF$21,0))</f>
        <v>0</v>
      </c>
      <c r="AV108" s="421">
        <f>IF(AV107=0,0,((+$K33/$AZ107)*AV107)*VLOOKUP('1. SUMMARY'!$C$20,rate,Sheet1!AG$21,0))</f>
        <v>0</v>
      </c>
      <c r="AW108" s="421">
        <f>IF(AW107=0,0,((+$K33/$AZ107)*AW107)*VLOOKUP('1. SUMMARY'!$C$20,rate,Sheet1!AH$21,0))</f>
        <v>0</v>
      </c>
      <c r="AX108" s="421">
        <f>IF(AX107=0,0,((+$K33/$AZ107)*AX107)*VLOOKUP('1. SUMMARY'!$C$20,rate,Sheet1!AI$21,0))</f>
        <v>0</v>
      </c>
      <c r="AY108" s="421">
        <f>IF(AY107=0,0,((+$K33/$AZ107)*AY107)*VLOOKUP('1. SUMMARY'!$C$20,rate,Sheet1!AJ$21,0))</f>
        <v>0</v>
      </c>
      <c r="AZ108" s="219">
        <f>SUM(AI108:AY108)</f>
        <v>0</v>
      </c>
    </row>
    <row r="109" spans="1:52" ht="23.25" customHeight="1">
      <c r="A109" s="215" t="s">
        <v>149</v>
      </c>
      <c r="B109" s="575"/>
      <c r="C109" s="575"/>
      <c r="D109" s="575"/>
      <c r="E109" s="575"/>
      <c r="F109" s="575"/>
      <c r="G109" s="575"/>
      <c r="H109" s="575"/>
      <c r="I109" s="575"/>
      <c r="J109" s="575"/>
      <c r="K109" s="575"/>
      <c r="L109" s="576"/>
      <c r="P109" s="207">
        <f t="shared" si="36"/>
        <v>1</v>
      </c>
      <c r="Q109" s="219">
        <f>+Q108/VLOOKUP('1. SUMMARY'!$C$20,rate,Sheet1!T$21,0)</f>
        <v>0</v>
      </c>
      <c r="R109" s="219">
        <f>+R108/VLOOKUP('1. SUMMARY'!$C$20,rate,Sheet1!U$21,0)</f>
        <v>0</v>
      </c>
      <c r="S109" s="219">
        <f>+S108/VLOOKUP('1. SUMMARY'!$C$20,rate,Sheet1!V$21,0)</f>
        <v>0</v>
      </c>
      <c r="T109" s="219">
        <f>+T108/VLOOKUP('1. SUMMARY'!$C$20,rate,Sheet1!W$21,0)</f>
        <v>0</v>
      </c>
      <c r="U109" s="219">
        <f>+U108/VLOOKUP('1. SUMMARY'!$C$20,rate,Sheet1!X$21,0)</f>
        <v>0</v>
      </c>
      <c r="V109" s="219">
        <f>+V108/VLOOKUP('1. SUMMARY'!$C$20,rate,Sheet1!Y$21,0)</f>
        <v>0</v>
      </c>
      <c r="W109" s="219">
        <f>+W108/VLOOKUP('1. SUMMARY'!$C$20,rate,Sheet1!Z$21,0)</f>
        <v>0</v>
      </c>
      <c r="X109" s="219">
        <f>+X108/VLOOKUP('1. SUMMARY'!$C$20,rate,Sheet1!AA$21,0)</f>
        <v>0</v>
      </c>
      <c r="Y109" s="219">
        <f>+Y108/VLOOKUP('1. SUMMARY'!$C$20,rate,Sheet1!AB$21,0)</f>
        <v>0</v>
      </c>
      <c r="Z109" s="219">
        <f>+Z108/VLOOKUP('1. SUMMARY'!$C$20,rate,Sheet1!AC$21,0)</f>
        <v>0</v>
      </c>
      <c r="AA109" s="219">
        <f>+AA108/VLOOKUP('1. SUMMARY'!$C$20,rate,Sheet1!AD$21,0)</f>
        <v>0</v>
      </c>
      <c r="AB109" s="219">
        <f>+AB108/VLOOKUP('1. SUMMARY'!$C$20,rate,Sheet1!AE$21,0)</f>
        <v>0</v>
      </c>
      <c r="AC109" s="219">
        <f>+AC108/VLOOKUP('1. SUMMARY'!$C$20,rate,Sheet1!AF$21,0)</f>
        <v>0</v>
      </c>
      <c r="AD109" s="219">
        <f>+AD108/VLOOKUP('1. SUMMARY'!$C$20,rate,Sheet1!AG$21,0)</f>
        <v>0</v>
      </c>
      <c r="AE109" s="219">
        <f>+AE108/VLOOKUP('1. SUMMARY'!$C$20,rate,Sheet1!AH$21,0)</f>
        <v>0</v>
      </c>
      <c r="AF109" s="219">
        <f>+AF108/VLOOKUP('1. SUMMARY'!$C$20,rate,Sheet1!AI$21,0)</f>
        <v>0</v>
      </c>
      <c r="AG109" s="219">
        <f>+AG108/VLOOKUP('1. SUMMARY'!$C$20,rate,Sheet1!AJ$21,0)</f>
        <v>0</v>
      </c>
      <c r="AH109" s="211"/>
      <c r="AI109" s="421">
        <v>0</v>
      </c>
      <c r="AJ109" s="421">
        <v>0</v>
      </c>
      <c r="AK109" s="421">
        <v>0</v>
      </c>
      <c r="AL109" s="421">
        <v>0</v>
      </c>
      <c r="AM109" s="421">
        <v>0</v>
      </c>
      <c r="AN109" s="421">
        <v>0</v>
      </c>
      <c r="AO109" s="421">
        <v>0</v>
      </c>
      <c r="AP109" s="421">
        <v>0</v>
      </c>
      <c r="AQ109" s="421"/>
      <c r="AR109" s="421"/>
      <c r="AS109" s="421"/>
      <c r="AT109" s="421"/>
      <c r="AU109" s="421"/>
      <c r="AV109" s="421"/>
      <c r="AW109" s="421"/>
      <c r="AX109" s="421"/>
      <c r="AY109" s="421"/>
      <c r="AZ109" s="219"/>
    </row>
    <row r="110" spans="1:52" ht="12.75" customHeight="1">
      <c r="A110" s="216"/>
      <c r="B110" s="217"/>
      <c r="C110" s="217"/>
      <c r="D110" s="217"/>
      <c r="E110" s="217"/>
      <c r="F110" s="217"/>
      <c r="G110" s="217"/>
      <c r="H110" s="217"/>
      <c r="I110" s="217"/>
      <c r="J110" s="217"/>
      <c r="K110" s="217"/>
      <c r="L110" s="218"/>
      <c r="P110" s="207">
        <f t="shared" ref="P110:P134" si="48">IF(Q160=39356,(+P109+1),P109)</f>
        <v>1</v>
      </c>
      <c r="Q110" s="396">
        <f>Sheet1!$T$8</f>
        <v>44105</v>
      </c>
      <c r="R110" s="396">
        <f>Sheet1!$U$8</f>
        <v>44470</v>
      </c>
      <c r="S110" s="396">
        <f>Sheet1!$V$8</f>
        <v>44835</v>
      </c>
      <c r="T110" s="396">
        <f>Sheet1!$W$8</f>
        <v>45200</v>
      </c>
      <c r="U110" s="396">
        <f>Sheet1!$X$8</f>
        <v>45566</v>
      </c>
      <c r="V110" s="396">
        <f>Sheet1!$Y$8</f>
        <v>45931</v>
      </c>
      <c r="W110" s="396">
        <f>Sheet1!$Z$8</f>
        <v>46296</v>
      </c>
      <c r="X110" s="396">
        <f>Sheet1!$AA$8</f>
        <v>46661</v>
      </c>
      <c r="Y110" s="396">
        <f>Sheet1!$AB$8</f>
        <v>47027</v>
      </c>
      <c r="Z110" s="396">
        <f>Sheet1!$AC$8</f>
        <v>47392</v>
      </c>
      <c r="AA110" s="396">
        <f>$AA$5</f>
        <v>47757</v>
      </c>
      <c r="AB110" s="396">
        <f>$AB$5</f>
        <v>48122</v>
      </c>
      <c r="AC110" s="396">
        <f>$AC$5</f>
        <v>48488</v>
      </c>
      <c r="AD110" s="396">
        <f>$AD$5</f>
        <v>48853</v>
      </c>
      <c r="AE110" s="396">
        <f>$AE$5</f>
        <v>49218</v>
      </c>
      <c r="AF110" s="396">
        <f>$AF$5</f>
        <v>49583</v>
      </c>
      <c r="AG110" s="396">
        <f>$AG$5</f>
        <v>49949</v>
      </c>
      <c r="AH110" s="211"/>
      <c r="AI110" s="396">
        <f t="shared" ref="AI110:AR112" si="49">+Q110</f>
        <v>44105</v>
      </c>
      <c r="AJ110" s="396">
        <f t="shared" si="49"/>
        <v>44470</v>
      </c>
      <c r="AK110" s="396">
        <f t="shared" si="49"/>
        <v>44835</v>
      </c>
      <c r="AL110" s="396">
        <f t="shared" si="49"/>
        <v>45200</v>
      </c>
      <c r="AM110" s="396">
        <f t="shared" si="49"/>
        <v>45566</v>
      </c>
      <c r="AN110" s="396">
        <f t="shared" si="49"/>
        <v>45931</v>
      </c>
      <c r="AO110" s="396">
        <f t="shared" si="49"/>
        <v>46296</v>
      </c>
      <c r="AP110" s="396">
        <f t="shared" si="49"/>
        <v>46661</v>
      </c>
      <c r="AQ110" s="396">
        <f t="shared" si="49"/>
        <v>47027</v>
      </c>
      <c r="AR110" s="396">
        <f t="shared" si="49"/>
        <v>47392</v>
      </c>
      <c r="AS110" s="396">
        <f t="shared" ref="AS110:AY112" si="50">+AA110</f>
        <v>47757</v>
      </c>
      <c r="AT110" s="396">
        <f t="shared" si="50"/>
        <v>48122</v>
      </c>
      <c r="AU110" s="396">
        <f t="shared" si="50"/>
        <v>48488</v>
      </c>
      <c r="AV110" s="396">
        <f t="shared" si="50"/>
        <v>48853</v>
      </c>
      <c r="AW110" s="396">
        <f t="shared" si="50"/>
        <v>49218</v>
      </c>
      <c r="AX110" s="396">
        <f t="shared" si="50"/>
        <v>49583</v>
      </c>
      <c r="AY110" s="396">
        <f t="shared" si="50"/>
        <v>49949</v>
      </c>
      <c r="AZ110" s="211"/>
    </row>
    <row r="111" spans="1:52" ht="12.75" customHeight="1">
      <c r="A111" s="216"/>
      <c r="B111" s="175" t="s">
        <v>81</v>
      </c>
      <c r="C111" s="175" t="s">
        <v>82</v>
      </c>
      <c r="D111" s="175" t="s">
        <v>83</v>
      </c>
      <c r="E111" s="175" t="s">
        <v>84</v>
      </c>
      <c r="F111" s="175" t="s">
        <v>85</v>
      </c>
      <c r="G111" s="175" t="s">
        <v>86</v>
      </c>
      <c r="H111" s="175" t="s">
        <v>87</v>
      </c>
      <c r="I111" s="175" t="s">
        <v>224</v>
      </c>
      <c r="J111" s="175" t="s">
        <v>225</v>
      </c>
      <c r="K111" s="175" t="s">
        <v>226</v>
      </c>
      <c r="L111" s="220" t="s">
        <v>47</v>
      </c>
      <c r="P111" s="207">
        <f t="shared" si="48"/>
        <v>1</v>
      </c>
      <c r="Q111" s="396">
        <f>Sheet1!$T$9</f>
        <v>44469</v>
      </c>
      <c r="R111" s="396">
        <f>Sheet1!$U$9</f>
        <v>44834</v>
      </c>
      <c r="S111" s="396">
        <f>Sheet1!$V$9</f>
        <v>45199</v>
      </c>
      <c r="T111" s="396">
        <f>Sheet1!$W$9</f>
        <v>45565</v>
      </c>
      <c r="U111" s="396">
        <f>Sheet1!$X$9</f>
        <v>45930</v>
      </c>
      <c r="V111" s="396">
        <f>Sheet1!$Y$9</f>
        <v>46295</v>
      </c>
      <c r="W111" s="396">
        <f>Sheet1!$Z$9</f>
        <v>46660</v>
      </c>
      <c r="X111" s="396">
        <f>Sheet1!$AA$9</f>
        <v>47026</v>
      </c>
      <c r="Y111" s="396">
        <f>Sheet1!$AB$9</f>
        <v>47391</v>
      </c>
      <c r="Z111" s="396">
        <f>Sheet1!$AC$9</f>
        <v>47756</v>
      </c>
      <c r="AA111" s="396">
        <f>$AA$6</f>
        <v>48121</v>
      </c>
      <c r="AB111" s="396">
        <f>$AB$6</f>
        <v>48487</v>
      </c>
      <c r="AC111" s="396">
        <f>$AC$6</f>
        <v>48852</v>
      </c>
      <c r="AD111" s="396">
        <f>$AD$6</f>
        <v>49217</v>
      </c>
      <c r="AE111" s="396">
        <f>$AE$6</f>
        <v>49582</v>
      </c>
      <c r="AF111" s="396">
        <f>$AF$6</f>
        <v>49948</v>
      </c>
      <c r="AG111" s="396">
        <f>$AG$6</f>
        <v>50313</v>
      </c>
      <c r="AH111" s="211"/>
      <c r="AI111" s="396">
        <f t="shared" si="49"/>
        <v>44469</v>
      </c>
      <c r="AJ111" s="396">
        <f t="shared" si="49"/>
        <v>44834</v>
      </c>
      <c r="AK111" s="396">
        <f t="shared" si="49"/>
        <v>45199</v>
      </c>
      <c r="AL111" s="396">
        <f t="shared" si="49"/>
        <v>45565</v>
      </c>
      <c r="AM111" s="396">
        <f t="shared" si="49"/>
        <v>45930</v>
      </c>
      <c r="AN111" s="396">
        <f t="shared" si="49"/>
        <v>46295</v>
      </c>
      <c r="AO111" s="396">
        <f t="shared" si="49"/>
        <v>46660</v>
      </c>
      <c r="AP111" s="396">
        <f t="shared" si="49"/>
        <v>47026</v>
      </c>
      <c r="AQ111" s="396">
        <f t="shared" si="49"/>
        <v>47391</v>
      </c>
      <c r="AR111" s="396">
        <f t="shared" si="49"/>
        <v>47756</v>
      </c>
      <c r="AS111" s="396">
        <f t="shared" si="50"/>
        <v>48121</v>
      </c>
      <c r="AT111" s="396">
        <f t="shared" si="50"/>
        <v>48487</v>
      </c>
      <c r="AU111" s="396">
        <f t="shared" si="50"/>
        <v>48852</v>
      </c>
      <c r="AV111" s="396">
        <f t="shared" si="50"/>
        <v>49217</v>
      </c>
      <c r="AW111" s="396">
        <f t="shared" si="50"/>
        <v>49582</v>
      </c>
      <c r="AX111" s="396">
        <f t="shared" si="50"/>
        <v>49948</v>
      </c>
      <c r="AY111" s="396">
        <f t="shared" si="50"/>
        <v>50313</v>
      </c>
      <c r="AZ111" s="211"/>
    </row>
    <row r="112" spans="1:52" ht="12.75" customHeight="1">
      <c r="A112" s="221"/>
      <c r="B112" s="222">
        <f>'1. SUMMARY'!C17</f>
        <v>0</v>
      </c>
      <c r="C112" s="222" t="str">
        <f>IF(+B113+1&gt;'1. SUMMARY'!$C$18,"No "&amp;C111,+B113+1)</f>
        <v>No Year 2</v>
      </c>
      <c r="D112" s="222" t="str">
        <f>IF(C112="No "&amp;C111,"No "&amp;D111,IF(+C113+1&gt;'1. SUMMARY'!$C$18,"No "&amp;D111,+C113+1))</f>
        <v>No Year 3</v>
      </c>
      <c r="E112" s="222" t="str">
        <f>IF(D112="No "&amp;D111,"No "&amp;E111,IF(+D113+1&gt;'1. SUMMARY'!$C$18,"No "&amp;E111,+D113+1))</f>
        <v>No Year 4</v>
      </c>
      <c r="F112" s="222" t="str">
        <f>IF(E112="No "&amp;E111,"No "&amp;F111,IF(+E113+1&gt;'1. SUMMARY'!$C$18,"No "&amp;F111,+E113+1))</f>
        <v>No Year 5</v>
      </c>
      <c r="G112" s="222" t="str">
        <f>IF(F112="No "&amp;F111,"No "&amp;G111,IF(+F113+1&gt;'1. SUMMARY'!$C$18,"No "&amp;G111,+F113+1))</f>
        <v>No Year 6</v>
      </c>
      <c r="H112" s="222" t="str">
        <f>IF(G112="No "&amp;G111,"No "&amp;H111,IF(+G113+1&gt;'1. SUMMARY'!$C$18,"No "&amp;H111,+G113+1))</f>
        <v>No Year 7</v>
      </c>
      <c r="I112" s="222" t="str">
        <f>IF(H112="No "&amp;H111,"No "&amp;I111,IF(+H113+1&gt;'1. SUMMARY'!$C$18,"No "&amp;I111,+H113+1))</f>
        <v>No Year 8</v>
      </c>
      <c r="J112" s="222" t="str">
        <f>IF(I112="No "&amp;I111,"No "&amp;J111,IF(+I113+1&gt;'1. SUMMARY'!$C$18,"No "&amp;J111,+I113+1))</f>
        <v>No Year 9</v>
      </c>
      <c r="K112" s="222" t="str">
        <f>IF(J112="No "&amp;J111,"No "&amp;K111,IF(+J113+1&gt;'1. SUMMARY'!$C$18,"No "&amp;K111,+J113+1))</f>
        <v>No Year 10</v>
      </c>
      <c r="L112" s="223"/>
      <c r="P112" s="207">
        <f t="shared" si="48"/>
        <v>1</v>
      </c>
      <c r="Q112" s="397">
        <f>IF(IF(Q111&lt;$B$44,0,DATEDIF($B$44,Q111+1,"m"))&lt;0,0,IF(Q111&lt;$B$44,0,DATEDIF($B$44,Q111+1,"m")))</f>
        <v>1461</v>
      </c>
      <c r="R112" s="397">
        <f>IF(IF(Q112=12,0,IF(R111&gt;B45,12-DATEDIF(B45,R111+1,"m"),IF(R111&lt;B44,0,DATEDIF(B44,R111+1,"m"))))&lt;0,0,IF(Q112=12,0,IF(R111&gt;B45,12-DATEDIF(B45,R111+1,"m"),IF(R111&lt;B44,0,DATEDIF(B44,R111+1,"m")))))</f>
        <v>0</v>
      </c>
      <c r="S112" s="397">
        <f>IF(IF(Q112+R112=12,0,IF(S111&gt;B45,12-DATEDIF(B45,S111+1,"m"),IF(S111&lt;B44,0,DATEDIF(B44,S111+1,"m"))))&lt;0,0,IF(Q112+R112=12,0,IF(S111&gt;B45,12-DATEDIF(B45,S111+1,"m"),IF(S111&lt;B44,0,DATEDIF(B44,S111+1,"m")))))</f>
        <v>0</v>
      </c>
      <c r="T112" s="397">
        <f>IF(IF(R112+S112+Q112=12,0,IF(T111&gt;B45,12-DATEDIF(B45,T111+1,"m"),IF(T111&lt;B44,0,DATEDIF(B44,T111+1,"m"))))&lt;0,0,IF(R112+S112+Q112=12,0,IF(T111&gt;B45,12-DATEDIF(B45,T111+1,"m"),IF(T111&lt;B44,0,DATEDIF(B44,T111+1,"m")))))</f>
        <v>0</v>
      </c>
      <c r="U112" s="397">
        <f>IF(IF(S112+T112+R112+Q112=12,0,IF(U111&gt;$B$45,12-DATEDIF($B$45,U111+1,"m"),IF(U111&lt;$B$44,0,DATEDIF($B$44,U111+1,"m"))))&lt;0,0,IF(S112+T112+R112+Q112=12,0,IF(U111&gt;$B$45,12-DATEDIF($B$45,U111+1,"m"),IF(U111&lt;$B$44,0,DATEDIF($B$44,U111+1,"m")))))</f>
        <v>0</v>
      </c>
      <c r="V112" s="397">
        <f>IF(IF(T112+U112+S112+R112+Q112=12,0,IF(V111&gt;$B$45,12-DATEDIF($B$45,V111+1,"m"),IF(V111&lt;$B$44,0,DATEDIF($B$44,V111+1,"m"))))&lt;0,0,IF(T112+U112+S112+R112+Q112=12,0,IF(V111&gt;$B$45,12-DATEDIF($B$45,V111+1,"m"),IF(V111&lt;$B$44,0,DATEDIF($B$44,V111+1,"m")))))</f>
        <v>0</v>
      </c>
      <c r="W112" s="397">
        <f>IF(IF(U112+V112+T112+S112+R112+Q112=12,0,IF(W111&gt;$B$45,12-DATEDIF($B$45,W111+1,"m"),IF(W111&lt;$B$44,0,DATEDIF($B$44,W111+1,"m"))))&lt;0,0,IF(U112+V112+T112+S112+R112+Q112=12,0,IF(W111&gt;$B$45,12-DATEDIF($B$45,W111+1,"m"),IF(W111&lt;$B$44,0,DATEDIF($B$44,W111+1,"m")))))</f>
        <v>0</v>
      </c>
      <c r="X112" s="397">
        <f>IF(IF(V112+W112+U112+T112+S112+R112+Q112=12,0,IF(X111&gt;$B$45,12-DATEDIF($B$45,X111+1,"m"),IF(X111&lt;$B$44,0,DATEDIF($B$44,X111+1,"m"))))&lt;0,0,IF(V112+W112+U112+T112+S112+R112+Q112=12,0,IF(X111&gt;$B$45,12-DATEDIF($B$45,X111+1,"m"),IF(X111&lt;$B$44,0,DATEDIF($B$44,X111+1,"m")))))</f>
        <v>0</v>
      </c>
      <c r="Y112" s="397">
        <f>IF(IF(W112+X112+V112+U112+T112+S112+R112=12,0,IF(Y111&gt;$B$45,12-DATEDIF($B$45,Y111+1,"m"),IF(Y111&lt;$B$44,0,DATEDIF($B$44,Y111+1,"m"))))&lt;0,0,IF(W112+X112+V112+U112+T112+S112+R112=12,0,IF(Y111&gt;$B$45,12-DATEDIF($B$45,Y111+1,"m"),IF(Y111&lt;$B$44,0,DATEDIF($B$44,Y111+1,"m")))))</f>
        <v>0</v>
      </c>
      <c r="Z112" s="397">
        <f>IF(IF(X112+Y112+W112+V112+U112+T112+S112=12,0,IF(Z111&gt;$B$45,12-DATEDIF($B$45,Z111+1,"m"),IF(Z111&lt;$B$44,0,DATEDIF($B$44,Z111+1,"m"))))&lt;0,0,IF(X112+Y112+W112+V112+U112+T112+S112=12,0,IF(Z111&gt;$B$45,12-DATEDIF($B$45,Z111+1,"m"),IF(Z111&lt;$B$44,0,DATEDIF($B$44,Z111+1,"m")))))</f>
        <v>0</v>
      </c>
      <c r="AA112" s="397"/>
      <c r="AB112" s="397"/>
      <c r="AC112" s="397"/>
      <c r="AD112" s="397"/>
      <c r="AE112" s="397"/>
      <c r="AF112" s="397"/>
      <c r="AG112" s="397"/>
      <c r="AH112" s="423">
        <f>SUM(Q112:AG112)</f>
        <v>1461</v>
      </c>
      <c r="AI112" s="397">
        <f t="shared" si="49"/>
        <v>1461</v>
      </c>
      <c r="AJ112" s="397">
        <f t="shared" si="49"/>
        <v>0</v>
      </c>
      <c r="AK112" s="397">
        <f t="shared" si="49"/>
        <v>0</v>
      </c>
      <c r="AL112" s="397">
        <f t="shared" si="49"/>
        <v>0</v>
      </c>
      <c r="AM112" s="397">
        <f t="shared" si="49"/>
        <v>0</v>
      </c>
      <c r="AN112" s="397">
        <f t="shared" si="49"/>
        <v>0</v>
      </c>
      <c r="AO112" s="397">
        <f t="shared" si="49"/>
        <v>0</v>
      </c>
      <c r="AP112" s="397">
        <f t="shared" si="49"/>
        <v>0</v>
      </c>
      <c r="AQ112" s="397">
        <f t="shared" si="49"/>
        <v>0</v>
      </c>
      <c r="AR112" s="397">
        <f t="shared" si="49"/>
        <v>0</v>
      </c>
      <c r="AS112" s="397">
        <f t="shared" si="50"/>
        <v>0</v>
      </c>
      <c r="AT112" s="397">
        <f t="shared" si="50"/>
        <v>0</v>
      </c>
      <c r="AU112" s="397">
        <f t="shared" si="50"/>
        <v>0</v>
      </c>
      <c r="AV112" s="397">
        <f t="shared" si="50"/>
        <v>0</v>
      </c>
      <c r="AW112" s="397">
        <f t="shared" si="50"/>
        <v>0</v>
      </c>
      <c r="AX112" s="397">
        <f t="shared" si="50"/>
        <v>0</v>
      </c>
      <c r="AY112" s="397">
        <f t="shared" si="50"/>
        <v>0</v>
      </c>
      <c r="AZ112" s="219">
        <f>SUM(AI112:AY112)</f>
        <v>1461</v>
      </c>
    </row>
    <row r="113" spans="1:52" ht="12.75" customHeight="1">
      <c r="A113" s="221"/>
      <c r="B113" s="224">
        <f>IF((DATE(YEAR(B112), MONTH(B112)+12, DAY(B112)-1))&lt;=('1. SUMMARY'!$C$18),DATE(YEAR(B112), MONTH(B112)+12, DAY(B112)-1),'1. SUMMARY'!$C$18)</f>
        <v>0</v>
      </c>
      <c r="C113" s="224" t="str">
        <f>IF(C112="No "&amp;C111,"No "&amp;C111,IF(B113='1. SUMMARY'!B118,"a",IF((DATE(YEAR(C112),MONTH(C112)+12,DAY(C112)-1))&lt;=('1. SUMMARY'!$C$18),DATE(YEAR(C112),MONTH(C112)+12,DAY(C112)-1),'1. SUMMARY'!$C$18)))</f>
        <v>No Year 2</v>
      </c>
      <c r="D113" s="224" t="str">
        <f>IF(D112="No "&amp;D111,"No "&amp;D111,IF(C113='1. SUMMARY'!C118,"a",IF((DATE(YEAR(D112),MONTH(D112)+12,DAY(D112)-1))&lt;=('1. SUMMARY'!$C$18),DATE(YEAR(D112),MONTH(D112)+12,DAY(D112)-1),'1. SUMMARY'!$C$18)))</f>
        <v>No Year 3</v>
      </c>
      <c r="E113" s="224" t="str">
        <f>IF(E112="No "&amp;E111,"No "&amp;E111,IF(D113='1. SUMMARY'!E118,"a",IF((DATE(YEAR(E112),MONTH(E112)+12,DAY(E112)-1))&lt;=('1. SUMMARY'!$C$18),DATE(YEAR(E112),MONTH(E112)+12,DAY(E112)-1),'1. SUMMARY'!$C$18)))</f>
        <v>No Year 4</v>
      </c>
      <c r="F113" s="224" t="str">
        <f>IF(F112="No "&amp;F111,"No "&amp;F111,IF(E113='1. SUMMARY'!F118,"a",IF((DATE(YEAR(F112),MONTH(F112)+12,DAY(F112)-1))&lt;=('1. SUMMARY'!$C$18),DATE(YEAR(F112),MONTH(F112)+12,DAY(F112)-1),'1. SUMMARY'!$C$18)))</f>
        <v>No Year 5</v>
      </c>
      <c r="G113" s="224" t="str">
        <f>IF(G112="No "&amp;G111,"No "&amp;G111,IF(F113='1. SUMMARY'!G118,"a",IF((DATE(YEAR(G112),MONTH(G112)+12,DAY(G112)-1))&lt;=('1. SUMMARY'!$C$18),DATE(YEAR(G112),MONTH(G112)+12,DAY(G112)-1),'1. SUMMARY'!$C$18)))</f>
        <v>No Year 6</v>
      </c>
      <c r="H113" s="224" t="str">
        <f>IF(H112="No "&amp;H111,"No "&amp;H111,IF(G113='1. SUMMARY'!H118,"a",IF((DATE(YEAR(H112),MONTH(H112)+12,DAY(H112)-1))&lt;=('1. SUMMARY'!$C$18),DATE(YEAR(H112),MONTH(H112)+12,DAY(H112)-1),'1. SUMMARY'!$C$18)))</f>
        <v>No Year 7</v>
      </c>
      <c r="I113" s="224" t="str">
        <f>IF(I112="No "&amp;I111,"No "&amp;I111,IF(H113='1. SUMMARY'!N118,"a",IF((DATE(YEAR(I112),MONTH(I112)+12,DAY(I112)-1))&lt;=('1. SUMMARY'!$C$18),DATE(YEAR(I112),MONTH(I112)+12,DAY(I112)-1),'1. SUMMARY'!$C$18)))</f>
        <v>No Year 8</v>
      </c>
      <c r="J113" s="224" t="str">
        <f>IF(J112="No "&amp;J111,"No "&amp;J111,IF(I113='1. SUMMARY'!O118,"a",IF((DATE(YEAR(J112),MONTH(J112)+12,DAY(J112)-1))&lt;=('1. SUMMARY'!$C$18),DATE(YEAR(J112),MONTH(J112)+12,DAY(J112)-1),'1. SUMMARY'!$C$18)))</f>
        <v>No Year 9</v>
      </c>
      <c r="K113" s="224" t="str">
        <f>IF(K112="No "&amp;K111,"No "&amp;K111,IF(J113='1. SUMMARY'!P116,"a",IF((DATE(YEAR(K112),MONTH(K112)+12,DAY(K112)-1))&lt;=('1. SUMMARY'!$C$18),DATE(YEAR(K112),MONTH(K112)+12,DAY(K112)-1),'1. SUMMARY'!$C$18)))</f>
        <v>No Year 10</v>
      </c>
      <c r="L113" s="218"/>
      <c r="P113" s="207">
        <f t="shared" si="48"/>
        <v>1</v>
      </c>
      <c r="Q113" s="398">
        <f>IF(Q112=0,0,(IF($B$50&gt;25000,((25000/+$AH112)*Q112)*VLOOKUP('1. SUMMARY'!$C$20,rate,Sheet1!T21,0),(($B$50/+$AH112)*Q112)*VLOOKUP('1. SUMMARY'!$C$20,rate,Sheet1!T21,0))))</f>
        <v>0</v>
      </c>
      <c r="R113" s="398">
        <f>IF(R112=0,0,(IF($B$50&gt;25000,((25000/+$AH112)*R112)*VLOOKUP('1. SUMMARY'!$C$20,rate,Sheet1!U21,0),(($B$50/+$AH112)*R112)*VLOOKUP('1. SUMMARY'!$C$20,rate,Sheet1!U21,0))))</f>
        <v>0</v>
      </c>
      <c r="S113" s="398">
        <f>IF(S112=0,0,(IF($B$50&gt;25000,((25000/+$AH112)*S112)*VLOOKUP('1. SUMMARY'!$C$20,rate,Sheet1!V21,0),(($B$50/+$AH112)*S112)*VLOOKUP('1. SUMMARY'!$C$20,rate,Sheet1!V21,0))))</f>
        <v>0</v>
      </c>
      <c r="T113" s="398">
        <f>IF(T112=0,0,(IF($B$50&gt;25000,((25000/+$AH112)*T112)*VLOOKUP('1. SUMMARY'!$C$20,rate,Sheet1!W21,0),(($B$50/+$AH112)*T112)*VLOOKUP('1. SUMMARY'!$C$20,rate,Sheet1!W21,0))))</f>
        <v>0</v>
      </c>
      <c r="U113" s="398">
        <f>IF(U112=0,0,(IF($B$50&gt;25000,((25000/+$AH112)*U112)*VLOOKUP('1. SUMMARY'!$C$20,rate,Sheet1!X21,0),(($B$50/+$AH112)*U112)*VLOOKUP('1. SUMMARY'!$C$20,rate,Sheet1!X21,0))))</f>
        <v>0</v>
      </c>
      <c r="V113" s="398">
        <f>IF(V112=0,0,(IF($B$50&gt;25000,((25000/+$AH112)*V112)*VLOOKUP('1. SUMMARY'!$C$20,rate,Sheet1!Y21,0),(($B$50/+$AH112)*V112)*VLOOKUP('1. SUMMARY'!$C$20,rate,Sheet1!Y21,0))))</f>
        <v>0</v>
      </c>
      <c r="W113" s="398">
        <f>IF(W112=0,0,(IF($B$50&gt;25000,((25000/+$AH112)*W112)*VLOOKUP('1. SUMMARY'!$C$20,rate,Sheet1!Z21,0),(($B$50/+$AH112)*W112)*VLOOKUP('1. SUMMARY'!$C$20,rate,Sheet1!Z21,0))))</f>
        <v>0</v>
      </c>
      <c r="X113" s="398">
        <f>IF(X112=0,0,(IF($B$50&gt;25000,((25000/+$AH112)*X112)*VLOOKUP('1. SUMMARY'!$C$20,rate,Sheet1!AA21,0),(($B$50/+$AH112)*X112)*VLOOKUP('1. SUMMARY'!$C$20,rate,Sheet1!AA21,0))))</f>
        <v>0</v>
      </c>
      <c r="Y113" s="398">
        <f>IF(Y112=0,0,(IF($B$50&gt;25000,((25000/+$AH112)*Y112)*VLOOKUP('1. SUMMARY'!$C$20,rate,Sheet1!AB21,0),(($B$50/+$AH112)*Y112)*VLOOKUP('1. SUMMARY'!$C$20,rate,Sheet1!AB21,0))))</f>
        <v>0</v>
      </c>
      <c r="Z113" s="398">
        <f>IF(Z112=0,0,(IF($B$50&gt;25000,((25000/+$AH112)*Z112)*VLOOKUP('1. SUMMARY'!$C$20,rate,Sheet1!AC21,0),(($B$50/+$AH112)*Z112)*VLOOKUP('1. SUMMARY'!$C$20,rate,Sheet1!AC21,0))))</f>
        <v>0</v>
      </c>
      <c r="AA113" s="398"/>
      <c r="AB113" s="398"/>
      <c r="AC113" s="398"/>
      <c r="AD113" s="398"/>
      <c r="AE113" s="398"/>
      <c r="AF113" s="398"/>
      <c r="AG113" s="398"/>
      <c r="AH113" s="219">
        <f>SUM(Q113:AG113)</f>
        <v>0</v>
      </c>
      <c r="AI113" s="398">
        <f>IF(Q112=0,0,((+$B50/$AZ112)*AI112)*VLOOKUP('1. SUMMARY'!$C$20,rate,Sheet1!T$21,0))</f>
        <v>0</v>
      </c>
      <c r="AJ113" s="398">
        <f>IF(R112=0,0,((+$B50/$AZ112)*AJ112)*VLOOKUP('1. SUMMARY'!$C$20,rate,Sheet1!U$21,0))</f>
        <v>0</v>
      </c>
      <c r="AK113" s="398">
        <f>IF(S112=0,0,((+$B50/$AZ112)*AK112)*VLOOKUP('1. SUMMARY'!$C$20,rate,Sheet1!V$21,0))</f>
        <v>0</v>
      </c>
      <c r="AL113" s="398">
        <f>IF(T112=0,0,((+$B50/$AZ112)*AL112)*VLOOKUP('1. SUMMARY'!$C$20,rate,Sheet1!W$21,0))</f>
        <v>0</v>
      </c>
      <c r="AM113" s="398">
        <f>IF(U112=0,0,((+$B50/$AZ112)*AM112)*VLOOKUP('1. SUMMARY'!$C$20,rate,Sheet1!X$21,0))</f>
        <v>0</v>
      </c>
      <c r="AN113" s="398">
        <f>IF(V112=0,0,((+$B50/$AZ112)*AN112)*VLOOKUP('1. SUMMARY'!$C$20,rate,Sheet1!Y$21,0))</f>
        <v>0</v>
      </c>
      <c r="AO113" s="398">
        <f>IF(W112=0,0,((+$B50/$AZ112)*AO112)*VLOOKUP('1. SUMMARY'!$C$20,rate,Sheet1!Z$21,0))</f>
        <v>0</v>
      </c>
      <c r="AP113" s="398">
        <f>IF(X112=0,0,((+$B50/$AZ112)*AP112)*VLOOKUP('1. SUMMARY'!$C$20,rate,Sheet1!AA$21,0))</f>
        <v>0</v>
      </c>
      <c r="AQ113" s="398">
        <f>IF(Y112=0,0,((+$B50/$AZ112)*AQ112)*VLOOKUP('1. SUMMARY'!$C$20,rate,Sheet1!AB$21,0))</f>
        <v>0</v>
      </c>
      <c r="AR113" s="398">
        <f>IF(Z112=0,0,((+$B50/$AZ112)*AR112)*VLOOKUP('1. SUMMARY'!$C$20,rate,Sheet1!AC$21,0))</f>
        <v>0</v>
      </c>
      <c r="AS113" s="398">
        <f>IF(AA112=0,0,((+$B50/$AZ112)*AS112)*VLOOKUP('1. SUMMARY'!$C$20,rate,Sheet1!AD$21,0))</f>
        <v>0</v>
      </c>
      <c r="AT113" s="398">
        <f>IF(AB112=0,0,((+$B50/$AZ112)*AT112)*VLOOKUP('1. SUMMARY'!$C$20,rate,Sheet1!AE$21,0))</f>
        <v>0</v>
      </c>
      <c r="AU113" s="398">
        <f>IF(AC112=0,0,((+$B50/$AZ112)*AU112)*VLOOKUP('1. SUMMARY'!$C$20,rate,Sheet1!AF$21,0))</f>
        <v>0</v>
      </c>
      <c r="AV113" s="398">
        <f>IF(AD112=0,0,((+$B50/$AZ112)*AV112)*VLOOKUP('1. SUMMARY'!$C$20,rate,Sheet1!AG$21,0))</f>
        <v>0</v>
      </c>
      <c r="AW113" s="398">
        <f>IF(AE112=0,0,((+$B50/$AZ112)*AW112)*VLOOKUP('1. SUMMARY'!$C$20,rate,Sheet1!AH$21,0))</f>
        <v>0</v>
      </c>
      <c r="AX113" s="398">
        <f>IF(AF112=0,0,((+$B50/$AZ112)*AX112)*VLOOKUP('1. SUMMARY'!$C$20,rate,Sheet1!AI$21,0))</f>
        <v>0</v>
      </c>
      <c r="AY113" s="398">
        <f>IF(AG112=0,0,((+$B50/$AZ112)*AY112)*VLOOKUP('1. SUMMARY'!$C$20,rate,Sheet1!AJ$21,0))</f>
        <v>0</v>
      </c>
      <c r="AZ113" s="219">
        <f>SUM(AI113:AY113)</f>
        <v>0</v>
      </c>
    </row>
    <row r="114" spans="1:52" ht="12.75" customHeight="1">
      <c r="A114" s="216"/>
      <c r="B114" s="225"/>
      <c r="C114" s="225"/>
      <c r="D114" s="225"/>
      <c r="E114" s="225"/>
      <c r="F114" s="225"/>
      <c r="G114" s="225"/>
      <c r="H114" s="225"/>
      <c r="I114" s="225"/>
      <c r="J114" s="225"/>
      <c r="K114" s="225"/>
      <c r="L114" s="223"/>
      <c r="P114" s="207">
        <f t="shared" si="48"/>
        <v>1</v>
      </c>
      <c r="Q114" s="398">
        <f>+Q113/VLOOKUP('1. SUMMARY'!$C$20,rate,Sheet1!T$21,0)</f>
        <v>0</v>
      </c>
      <c r="R114" s="398">
        <f>+R113/VLOOKUP('1. SUMMARY'!$C$20,rate,Sheet1!U$21,0)</f>
        <v>0</v>
      </c>
      <c r="S114" s="398">
        <f>+S113/VLOOKUP('1. SUMMARY'!$C$20,rate,Sheet1!V$21,0)</f>
        <v>0</v>
      </c>
      <c r="T114" s="398">
        <f>+T113/VLOOKUP('1. SUMMARY'!$C$20,rate,Sheet1!W$21,0)</f>
        <v>0</v>
      </c>
      <c r="U114" s="398">
        <f>+U113/VLOOKUP('1. SUMMARY'!$C$20,rate,Sheet1!X$21,0)</f>
        <v>0</v>
      </c>
      <c r="V114" s="398">
        <f>+V113/VLOOKUP('1. SUMMARY'!$C$20,rate,Sheet1!Y$21,0)</f>
        <v>0</v>
      </c>
      <c r="W114" s="398">
        <f>+W113/VLOOKUP('1. SUMMARY'!$C$20,rate,Sheet1!Z$21,0)</f>
        <v>0</v>
      </c>
      <c r="X114" s="398">
        <f>+X113/VLOOKUP('1. SUMMARY'!$C$20,rate,Sheet1!AA$21,0)</f>
        <v>0</v>
      </c>
      <c r="Y114" s="398">
        <f>+Y113/VLOOKUP('1. SUMMARY'!$C$20,rate,Sheet1!AB$21,0)</f>
        <v>0</v>
      </c>
      <c r="Z114" s="398">
        <f>+Z113/VLOOKUP('1. SUMMARY'!$C$20,rate,Sheet1!AC$21,0)</f>
        <v>0</v>
      </c>
      <c r="AA114" s="398">
        <f>+AA113/VLOOKUP('1. SUMMARY'!$C$20,rate,Sheet1!AD$21,0)</f>
        <v>0</v>
      </c>
      <c r="AB114" s="398">
        <f>+AB113/VLOOKUP('1. SUMMARY'!$C$20,rate,Sheet1!AE$21,0)</f>
        <v>0</v>
      </c>
      <c r="AC114" s="398">
        <f>+AC113/VLOOKUP('1. SUMMARY'!$C$20,rate,Sheet1!AF$21,0)</f>
        <v>0</v>
      </c>
      <c r="AD114" s="398">
        <f>+AD113/VLOOKUP('1. SUMMARY'!$C$20,rate,Sheet1!AG$21,0)</f>
        <v>0</v>
      </c>
      <c r="AE114" s="398">
        <f>+AE113/VLOOKUP('1. SUMMARY'!$C$20,rate,Sheet1!AH$21,0)</f>
        <v>0</v>
      </c>
      <c r="AF114" s="398">
        <f>+AF113/VLOOKUP('1. SUMMARY'!$C$20,rate,Sheet1!AI$21,0)</f>
        <v>0</v>
      </c>
      <c r="AG114" s="398">
        <f>+AG113/VLOOKUP('1. SUMMARY'!$C$20,rate,Sheet1!AJ$21,0)</f>
        <v>0</v>
      </c>
      <c r="AH114" s="211"/>
      <c r="AI114" s="398">
        <v>0</v>
      </c>
      <c r="AJ114" s="398">
        <v>0</v>
      </c>
      <c r="AK114" s="398">
        <v>0</v>
      </c>
      <c r="AL114" s="398">
        <v>0</v>
      </c>
      <c r="AM114" s="398">
        <v>0</v>
      </c>
      <c r="AN114" s="398">
        <v>0</v>
      </c>
      <c r="AO114" s="398">
        <v>0</v>
      </c>
      <c r="AP114" s="398">
        <v>0</v>
      </c>
      <c r="AQ114" s="398"/>
      <c r="AR114" s="398"/>
      <c r="AS114" s="398"/>
      <c r="AT114" s="398"/>
      <c r="AU114" s="398"/>
      <c r="AV114" s="398"/>
      <c r="AW114" s="398"/>
      <c r="AX114" s="398"/>
      <c r="AY114" s="398"/>
      <c r="AZ114" s="219"/>
    </row>
    <row r="115" spans="1:52" ht="12.75" customHeight="1">
      <c r="A115" s="226" t="s">
        <v>150</v>
      </c>
      <c r="B115" s="227"/>
      <c r="C115" s="227"/>
      <c r="D115" s="227"/>
      <c r="E115" s="227"/>
      <c r="F115" s="227"/>
      <c r="G115" s="228"/>
      <c r="H115" s="228"/>
      <c r="I115" s="228"/>
      <c r="J115" s="228"/>
      <c r="K115" s="228"/>
      <c r="L115" s="229">
        <f>SUM(B115:K115)</f>
        <v>0</v>
      </c>
      <c r="P115" s="207">
        <f t="shared" si="48"/>
        <v>1</v>
      </c>
      <c r="Q115" s="402">
        <f>Sheet1!$T$8</f>
        <v>44105</v>
      </c>
      <c r="R115" s="402">
        <f>Sheet1!$U$8</f>
        <v>44470</v>
      </c>
      <c r="S115" s="402">
        <f>Sheet1!$V$8</f>
        <v>44835</v>
      </c>
      <c r="T115" s="402">
        <f>Sheet1!$W$8</f>
        <v>45200</v>
      </c>
      <c r="U115" s="402">
        <f>Sheet1!$X$8</f>
        <v>45566</v>
      </c>
      <c r="V115" s="402">
        <f>Sheet1!$Y$8</f>
        <v>45931</v>
      </c>
      <c r="W115" s="402">
        <f>Sheet1!$Z$8</f>
        <v>46296</v>
      </c>
      <c r="X115" s="402">
        <f>Sheet1!$AA$8</f>
        <v>46661</v>
      </c>
      <c r="Y115" s="402">
        <f>Sheet1!$AB$8</f>
        <v>47027</v>
      </c>
      <c r="Z115" s="402">
        <f>Sheet1!$AC$8</f>
        <v>47392</v>
      </c>
      <c r="AA115" s="402">
        <f>$AA$5</f>
        <v>47757</v>
      </c>
      <c r="AB115" s="402">
        <f>$AB$5</f>
        <v>48122</v>
      </c>
      <c r="AC115" s="402">
        <f>$AC$5</f>
        <v>48488</v>
      </c>
      <c r="AD115" s="402">
        <f>$AD$5</f>
        <v>48853</v>
      </c>
      <c r="AE115" s="402">
        <f>$AE$5</f>
        <v>49218</v>
      </c>
      <c r="AF115" s="402">
        <f>$AF$5</f>
        <v>49583</v>
      </c>
      <c r="AG115" s="402">
        <f>$AG$5</f>
        <v>49949</v>
      </c>
      <c r="AH115" s="211"/>
      <c r="AI115" s="402">
        <f t="shared" ref="AI115:AR117" si="51">+Q115</f>
        <v>44105</v>
      </c>
      <c r="AJ115" s="402">
        <f t="shared" si="51"/>
        <v>44470</v>
      </c>
      <c r="AK115" s="402">
        <f t="shared" si="51"/>
        <v>44835</v>
      </c>
      <c r="AL115" s="402">
        <f t="shared" si="51"/>
        <v>45200</v>
      </c>
      <c r="AM115" s="402">
        <f t="shared" si="51"/>
        <v>45566</v>
      </c>
      <c r="AN115" s="402">
        <f t="shared" si="51"/>
        <v>45931</v>
      </c>
      <c r="AO115" s="402">
        <f t="shared" si="51"/>
        <v>46296</v>
      </c>
      <c r="AP115" s="402">
        <f t="shared" si="51"/>
        <v>46661</v>
      </c>
      <c r="AQ115" s="402">
        <f t="shared" si="51"/>
        <v>47027</v>
      </c>
      <c r="AR115" s="402">
        <f t="shared" si="51"/>
        <v>47392</v>
      </c>
      <c r="AS115" s="402">
        <f t="shared" ref="AS115:AY117" si="52">+AA115</f>
        <v>47757</v>
      </c>
      <c r="AT115" s="402">
        <f t="shared" si="52"/>
        <v>48122</v>
      </c>
      <c r="AU115" s="402">
        <f t="shared" si="52"/>
        <v>48488</v>
      </c>
      <c r="AV115" s="402">
        <f t="shared" si="52"/>
        <v>48853</v>
      </c>
      <c r="AW115" s="402">
        <f t="shared" si="52"/>
        <v>49218</v>
      </c>
      <c r="AX115" s="402">
        <f t="shared" si="52"/>
        <v>49583</v>
      </c>
      <c r="AY115" s="402">
        <f t="shared" si="52"/>
        <v>49949</v>
      </c>
      <c r="AZ115" s="211"/>
    </row>
    <row r="116" spans="1:52" ht="12.75" customHeight="1">
      <c r="A116" s="221" t="s">
        <v>151</v>
      </c>
      <c r="B116" s="227"/>
      <c r="C116" s="227"/>
      <c r="D116" s="227"/>
      <c r="E116" s="227"/>
      <c r="F116" s="227"/>
      <c r="G116" s="228"/>
      <c r="H116" s="228"/>
      <c r="I116" s="228"/>
      <c r="J116" s="228"/>
      <c r="K116" s="228"/>
      <c r="L116" s="229">
        <f>SUM(B116:K116)</f>
        <v>0</v>
      </c>
      <c r="P116" s="207">
        <f t="shared" si="48"/>
        <v>1</v>
      </c>
      <c r="Q116" s="402">
        <f>Sheet1!$T$9</f>
        <v>44469</v>
      </c>
      <c r="R116" s="402">
        <f>Sheet1!$U$9</f>
        <v>44834</v>
      </c>
      <c r="S116" s="402">
        <f>Sheet1!$V$9</f>
        <v>45199</v>
      </c>
      <c r="T116" s="402">
        <f>Sheet1!$W$9</f>
        <v>45565</v>
      </c>
      <c r="U116" s="402">
        <f>Sheet1!$X$9</f>
        <v>45930</v>
      </c>
      <c r="V116" s="402">
        <f>Sheet1!$Y$9</f>
        <v>46295</v>
      </c>
      <c r="W116" s="402">
        <f>Sheet1!$Z$9</f>
        <v>46660</v>
      </c>
      <c r="X116" s="402">
        <f>Sheet1!$AA$9</f>
        <v>47026</v>
      </c>
      <c r="Y116" s="402">
        <f>Sheet1!$AB$9</f>
        <v>47391</v>
      </c>
      <c r="Z116" s="402">
        <f>Sheet1!$AC$9</f>
        <v>47756</v>
      </c>
      <c r="AA116" s="402">
        <f>$AA$6</f>
        <v>48121</v>
      </c>
      <c r="AB116" s="402">
        <f>$AB$6</f>
        <v>48487</v>
      </c>
      <c r="AC116" s="402">
        <f>$AC$6</f>
        <v>48852</v>
      </c>
      <c r="AD116" s="402">
        <f>$AD$6</f>
        <v>49217</v>
      </c>
      <c r="AE116" s="402">
        <f>$AE$6</f>
        <v>49582</v>
      </c>
      <c r="AF116" s="402">
        <f>$AF$6</f>
        <v>49948</v>
      </c>
      <c r="AG116" s="402">
        <f>$AG$6</f>
        <v>50313</v>
      </c>
      <c r="AH116" s="211"/>
      <c r="AI116" s="402">
        <f t="shared" si="51"/>
        <v>44469</v>
      </c>
      <c r="AJ116" s="402">
        <f t="shared" si="51"/>
        <v>44834</v>
      </c>
      <c r="AK116" s="402">
        <f t="shared" si="51"/>
        <v>45199</v>
      </c>
      <c r="AL116" s="402">
        <f t="shared" si="51"/>
        <v>45565</v>
      </c>
      <c r="AM116" s="402">
        <f t="shared" si="51"/>
        <v>45930</v>
      </c>
      <c r="AN116" s="402">
        <f t="shared" si="51"/>
        <v>46295</v>
      </c>
      <c r="AO116" s="402">
        <f t="shared" si="51"/>
        <v>46660</v>
      </c>
      <c r="AP116" s="402">
        <f t="shared" si="51"/>
        <v>47026</v>
      </c>
      <c r="AQ116" s="402">
        <f t="shared" si="51"/>
        <v>47391</v>
      </c>
      <c r="AR116" s="402">
        <f t="shared" si="51"/>
        <v>47756</v>
      </c>
      <c r="AS116" s="402">
        <f t="shared" si="52"/>
        <v>48121</v>
      </c>
      <c r="AT116" s="402">
        <f t="shared" si="52"/>
        <v>48487</v>
      </c>
      <c r="AU116" s="402">
        <f t="shared" si="52"/>
        <v>48852</v>
      </c>
      <c r="AV116" s="402">
        <f t="shared" si="52"/>
        <v>49217</v>
      </c>
      <c r="AW116" s="402">
        <f t="shared" si="52"/>
        <v>49582</v>
      </c>
      <c r="AX116" s="402">
        <f t="shared" si="52"/>
        <v>49948</v>
      </c>
      <c r="AY116" s="402">
        <f t="shared" si="52"/>
        <v>50313</v>
      </c>
      <c r="AZ116" s="211"/>
    </row>
    <row r="117" spans="1:52" ht="12.75" customHeight="1">
      <c r="A117" s="216"/>
      <c r="B117" s="217"/>
      <c r="C117" s="217"/>
      <c r="D117" s="217"/>
      <c r="E117" s="217"/>
      <c r="F117" s="217"/>
      <c r="G117" s="217"/>
      <c r="H117" s="217"/>
      <c r="I117" s="217"/>
      <c r="J117" s="217"/>
      <c r="K117" s="217"/>
      <c r="L117" s="218"/>
      <c r="P117" s="207">
        <f t="shared" si="48"/>
        <v>1</v>
      </c>
      <c r="Q117" s="403">
        <f>IF(IF(Q116&lt;$C$44,0,DATEDIF($C$44,Q116+1,"m"))&lt;0,0,IF(Q116&lt;$C$44,0,DATEDIF($C$44,Q116+1,"m")))</f>
        <v>0</v>
      </c>
      <c r="R117" s="403">
        <f>IF(IF(Q117=12,0,IF(R116&gt;C45,12-DATEDIF(C45,R116+1,"m"),IF(R116&lt;C44,0,DATEDIF(C44,R116+1,"m"))))&lt;0,0,IF(Q117=12,0,IF(R116&gt;C45,12-DATEDIF(C45,R116+1,"m"),IF(R116&lt;C44,0,DATEDIF(C44,R116+1,"m")))))</f>
        <v>0</v>
      </c>
      <c r="S117" s="403">
        <f>IF(IF(Q117+R117=12,0,IF(S116&gt;C45,12-DATEDIF(C45,S116+1,"m"),IF(S116&lt;C44,0,DATEDIF(C44,S116+1,"m"))))&lt;0,0,IF(Q117+R117=12,0,IF(S116&gt;C45,12-DATEDIF(C45,S116+1,"m"),IF(S116&lt;C44,0,DATEDIF(C44,S116+1,"m")))))</f>
        <v>0</v>
      </c>
      <c r="T117" s="403">
        <f>IF(IF(R117+S117+Q117=12,0,IF(T116&gt;C45,12-DATEDIF(C45,T116+1,"m"),IF(T116&lt;C44,0,DATEDIF(C44,T116+1,"m"))))&lt;0,0,IF(R117+S117+Q117=12,0,IF(T116&gt;C45,12-DATEDIF(C45,T116+1,"m"),IF(T116&lt;C44,0,DATEDIF(C44,T116+1,"m")))))</f>
        <v>0</v>
      </c>
      <c r="U117" s="403">
        <f>IF(IF(S117+T117+R117+Q117=12,0,IF(U116&gt;C45,12-DATEDIF(C45,U116+1,"m"),IF(U116&lt;C44,0,DATEDIF(C44,U116+1,"m"))))&lt;0,0,IF(S117+T117+R117+Q117=12,0,IF(U116&gt;C45,12-DATEDIF(C45,U116+1,"m"),IF(U116&lt;C44,0,DATEDIF(C44,U116+1,"m")))))</f>
        <v>0</v>
      </c>
      <c r="V117" s="403">
        <f>IF(IF(T117+U117+S117+R117+Q117=12,0,IF(V116&gt;C45,12-DATEDIF(C45,V116+1,"m"),IF(V116&lt;C44,0,DATEDIF(C44,V116+1,"m"))))&lt;0,0,IF(T117+U117+S117+R117+Q117=12,0,IF(V116&gt;C45,12-DATEDIF(C45,V116+1,"m"),IF(V116&lt;C44,0,DATEDIF(C44,V116+1,"m")))))</f>
        <v>0</v>
      </c>
      <c r="W117" s="403">
        <f>IF(IF(U117+V117+T117+S117+R117+Q117=12,0,IF(W116&gt;C45,12-DATEDIF(C45,W116+1,"m"),IF(W116&lt;C44,0,DATEDIF(C44,W116+1,"m"))))&lt;0,0,IF(U117+V117+T117+S117+R117+Q117=12,0,IF(W116&gt;C45,12-DATEDIF(C45,W116+1,"m"),IF(W116&lt;C44,0,DATEDIF(C44,W116+1,"m")))))</f>
        <v>0</v>
      </c>
      <c r="X117" s="403">
        <f>IF(IF(V117+W117+U117+T117+S117+R117+Q117=12,0,IF(X116&gt;C45,12-DATEDIF(C45,X116+1,"m"),IF(X116&lt;C44,0,DATEDIF(C44,X116+1,"m"))))&lt;0,0,IF(V117+W117+U117+T117+S117+R117+Q117=12,0,IF(X116&gt;C45,12-DATEDIF(C45,X116+1,"m"),IF(X116&lt;C44,0,DATEDIF(C44,X116+1,"m")))))</f>
        <v>0</v>
      </c>
      <c r="Y117" s="403">
        <f>IF(IF(W117+X117+V117+U117+T117+S117+R117=12,0,IF(Y116&gt;D45,12-DATEDIF(D45,Y116+1,"m"),IF(Y116&lt;D44,0,DATEDIF(D44,Y116+1,"m"))))&lt;0,0,IF(W117+X117+V117+U117+T117+S117+R117=12,0,IF(Y116&gt;D45,12-DATEDIF(D45,Y116+1,"m"),IF(Y116&lt;D44,0,DATEDIF(D44,Y116+1,"m")))))</f>
        <v>0</v>
      </c>
      <c r="Z117" s="403">
        <f>IF(IF(X117+Y117+W117+V117+U117+T117+S117=12,0,IF(Z116&gt;E45,12-DATEDIF(E45,Z116+1,"m"),IF(Z116&lt;E44,0,DATEDIF(E44,Z116+1,"m"))))&lt;0,0,IF(X117+Y117+W117+V117+U117+T117+S117=12,0,IF(Z116&gt;E45,12-DATEDIF(E45,Z116+1,"m"),IF(Z116&lt;E44,0,DATEDIF(E44,Z116+1,"m")))))</f>
        <v>0</v>
      </c>
      <c r="AA117" s="403"/>
      <c r="AB117" s="403"/>
      <c r="AC117" s="403"/>
      <c r="AD117" s="403"/>
      <c r="AE117" s="403"/>
      <c r="AF117" s="403"/>
      <c r="AG117" s="403"/>
      <c r="AH117" s="423">
        <f>SUM(Q117:AG117)</f>
        <v>0</v>
      </c>
      <c r="AI117" s="403">
        <f t="shared" si="51"/>
        <v>0</v>
      </c>
      <c r="AJ117" s="403">
        <f t="shared" si="51"/>
        <v>0</v>
      </c>
      <c r="AK117" s="403">
        <f t="shared" si="51"/>
        <v>0</v>
      </c>
      <c r="AL117" s="403">
        <f t="shared" si="51"/>
        <v>0</v>
      </c>
      <c r="AM117" s="403">
        <f t="shared" si="51"/>
        <v>0</v>
      </c>
      <c r="AN117" s="403">
        <f t="shared" si="51"/>
        <v>0</v>
      </c>
      <c r="AO117" s="403">
        <f t="shared" si="51"/>
        <v>0</v>
      </c>
      <c r="AP117" s="403">
        <f t="shared" si="51"/>
        <v>0</v>
      </c>
      <c r="AQ117" s="403">
        <f t="shared" si="51"/>
        <v>0</v>
      </c>
      <c r="AR117" s="403">
        <f t="shared" si="51"/>
        <v>0</v>
      </c>
      <c r="AS117" s="403">
        <f t="shared" si="52"/>
        <v>0</v>
      </c>
      <c r="AT117" s="403">
        <f t="shared" si="52"/>
        <v>0</v>
      </c>
      <c r="AU117" s="403">
        <f t="shared" si="52"/>
        <v>0</v>
      </c>
      <c r="AV117" s="403">
        <f t="shared" si="52"/>
        <v>0</v>
      </c>
      <c r="AW117" s="403">
        <f t="shared" si="52"/>
        <v>0</v>
      </c>
      <c r="AX117" s="403">
        <f t="shared" si="52"/>
        <v>0</v>
      </c>
      <c r="AY117" s="403">
        <f t="shared" si="52"/>
        <v>0</v>
      </c>
      <c r="AZ117" s="219">
        <f>SUM(AI117:AY117)</f>
        <v>0</v>
      </c>
    </row>
    <row r="118" spans="1:52" ht="12.75" customHeight="1">
      <c r="A118" s="231" t="s">
        <v>152</v>
      </c>
      <c r="B118" s="146">
        <f t="shared" ref="B118:K118" si="53">SUM(B115:B116)</f>
        <v>0</v>
      </c>
      <c r="C118" s="146">
        <f t="shared" si="53"/>
        <v>0</v>
      </c>
      <c r="D118" s="146">
        <f t="shared" si="53"/>
        <v>0</v>
      </c>
      <c r="E118" s="146">
        <f t="shared" si="53"/>
        <v>0</v>
      </c>
      <c r="F118" s="146">
        <f t="shared" si="53"/>
        <v>0</v>
      </c>
      <c r="G118" s="146">
        <f t="shared" si="53"/>
        <v>0</v>
      </c>
      <c r="H118" s="146">
        <f t="shared" si="53"/>
        <v>0</v>
      </c>
      <c r="I118" s="146">
        <f t="shared" si="53"/>
        <v>0</v>
      </c>
      <c r="J118" s="146">
        <f t="shared" si="53"/>
        <v>0</v>
      </c>
      <c r="K118" s="146">
        <f t="shared" si="53"/>
        <v>0</v>
      </c>
      <c r="L118" s="229">
        <f>SUM(B118:K118)</f>
        <v>0</v>
      </c>
      <c r="P118" s="207">
        <f t="shared" si="48"/>
        <v>1</v>
      </c>
      <c r="Q118" s="404">
        <f>IF(Q117=0,0,(IF(($C$50+$B$50)&lt;=25000,(((+$C$50)/+$AH$117)*Q117)*VLOOKUP('1. SUMMARY'!$C$20,rate,Sheet1!T$21,0),((IF($B$50&gt;=25000,0,((25000-($B$50))/+$AH$117)*Q117)*VLOOKUP('1. SUMMARY'!$C$20,rate,Sheet1!T$21,0))))))</f>
        <v>0</v>
      </c>
      <c r="R118" s="404">
        <f>IF(R117=0,0,(IF(($C$50+$B$50)&lt;=25000,(((+$C$50)/+$AH$117)*R117)*VLOOKUP('1. SUMMARY'!$C$20,rate,Sheet1!U$21,0),((IF($B$50&gt;=25000,0,((25000-($B$50))/+$AH$117)*R117)*VLOOKUP('1. SUMMARY'!$C$20,rate,Sheet1!U$21,0))))))</f>
        <v>0</v>
      </c>
      <c r="S118" s="404">
        <f>IF(S117=0,0,(IF(($C$50+$B$50)&lt;=25000,(((+$C$50)/+$AH$117)*S117)*VLOOKUP('1. SUMMARY'!$C$20,rate,Sheet1!V$21,0),((IF($B$50&gt;=25000,0,((25000-($B$50))/+$AH$117)*S117)*VLOOKUP('1. SUMMARY'!$C$20,rate,Sheet1!V$21,0))))))</f>
        <v>0</v>
      </c>
      <c r="T118" s="404">
        <f>IF(T117=0,0,(IF(($C$50+$B$50)&lt;=25000,(((+$C$50)/+$AH$117)*T117)*VLOOKUP('1. SUMMARY'!$C$20,rate,Sheet1!W$21,0),((IF($B$50&gt;=25000,0,((25000-($B$50))/+$AH$117)*T117)*VLOOKUP('1. SUMMARY'!$C$20,rate,Sheet1!W$21,0))))))</f>
        <v>0</v>
      </c>
      <c r="U118" s="404">
        <f>IF(U117=0,0,(IF(($C$50+$B$50)&lt;=25000,(((+$C$50)/+$AH$117)*U117)*VLOOKUP('1. SUMMARY'!$C$20,rate,Sheet1!X$21,0),((IF($B$50&gt;=25000,0,((25000-($B$50))/+$AH$117)*U117)*VLOOKUP('1. SUMMARY'!$C$20,rate,Sheet1!X$21,0))))))</f>
        <v>0</v>
      </c>
      <c r="V118" s="404">
        <f>IF(V117=0,0,(IF(($C$50+$B$50)&lt;=25000,(((+$C$50)/+$AH$117)*V117)*VLOOKUP('1. SUMMARY'!$C$20,rate,Sheet1!Y$21,0),((IF($B$50&gt;=25000,0,((25000-($B$50))/+$AH$117)*V117)*VLOOKUP('1. SUMMARY'!$C$20,rate,Sheet1!Y$21,0))))))</f>
        <v>0</v>
      </c>
      <c r="W118" s="404">
        <f>IF(W117=0,0,(IF(($C$50+$B$50)&lt;=25000,(((+$C$50)/+$AH$117)*W117)*VLOOKUP('1. SUMMARY'!$C$20,rate,Sheet1!Z$21,0),((IF($B$50&gt;=25000,0,((25000-($B$50))/+$AH$117)*W117)*VLOOKUP('1. SUMMARY'!$C$20,rate,Sheet1!Z$21,0))))))</f>
        <v>0</v>
      </c>
      <c r="X118" s="404">
        <f>IF(X117=0,0,(IF(($C$50+$B$50)&lt;=25000,(((+$C$50)/+$AH$117)*X117)*VLOOKUP('1. SUMMARY'!$C$20,rate,Sheet1!AA$21,0),((IF($B$50&gt;=25000,0,((25000-($B$50))/+$AH$117)*X117)*VLOOKUP('1. SUMMARY'!$C$20,rate,Sheet1!AA$21,0))))))</f>
        <v>0</v>
      </c>
      <c r="Y118" s="404">
        <f>IF(Y117=0,0,(IF(($C$50+$B$50)&lt;=25000,(((+$C$50)/+$AH$117)*Y117)*VLOOKUP('1. SUMMARY'!$C$20,rate,Sheet1!AB$21,0),((IF($B$50&gt;=25000,0,((25000-($B$50))/+$AH$117)*Y117)*VLOOKUP('1. SUMMARY'!$C$20,rate,Sheet1!AB$21,0))))))</f>
        <v>0</v>
      </c>
      <c r="Z118" s="404">
        <f>IF(Z117=0,0,(IF(($C$50+$B$50)&lt;=25000,(((+$C$50)/+$AH$117)*Z117)*VLOOKUP('1. SUMMARY'!$C$20,rate,Sheet1!AC$21,0),((IF($B$50&gt;=25000,0,((25000-($B$50))/+$AH$117)*Z117)*VLOOKUP('1. SUMMARY'!$C$20,rate,Sheet1!AC$21,0))))))</f>
        <v>0</v>
      </c>
      <c r="AA118" s="404">
        <f>IF(AA117=0,0,(IF(($C$50+$B$50)&lt;=25000,(((+$C$50)/+$AH$117)*AA117)*VLOOKUP('1. SUMMARY'!$C$20,rate,Sheet1!AD$21,0),((IF($B$50&gt;=25000,0,((25000-($B$50))/+$AH$117)*AA117)*VLOOKUP('1. SUMMARY'!$C$20,rate,Sheet1!AD$21,0))))))</f>
        <v>0</v>
      </c>
      <c r="AB118" s="404">
        <f>IF(AB117=0,0,(IF(($C$50+$B$50)&lt;=25000,(((+$C$50)/+$AH$117)*AB117)*VLOOKUP('1. SUMMARY'!$C$20,rate,Sheet1!AE$21,0),((IF($B$50&gt;=25000,0,((25000-($B$50))/+$AH$117)*AB117)*VLOOKUP('1. SUMMARY'!$C$20,rate,Sheet1!AE$21,0))))))</f>
        <v>0</v>
      </c>
      <c r="AC118" s="404">
        <f>IF(AC117=0,0,(IF(($C$50+$B$50)&lt;=25000,(((+$C$50)/+$AH$117)*AC117)*VLOOKUP('1. SUMMARY'!$C$20,rate,Sheet1!AF$21,0),((IF($B$50&gt;=25000,0,((25000-($B$50))/+$AH$117)*AC117)*VLOOKUP('1. SUMMARY'!$C$20,rate,Sheet1!AF$21,0))))))</f>
        <v>0</v>
      </c>
      <c r="AD118" s="404">
        <f>IF(AD117=0,0,(IF(($C$50+$B$50)&lt;=25000,(((+$C$50)/+$AH$117)*AD117)*VLOOKUP('1. SUMMARY'!$C$20,rate,Sheet1!AG$21,0),((IF($B$50&gt;=25000,0,((25000-($B$50))/+$AH$117)*AD117)*VLOOKUP('1. SUMMARY'!$C$20,rate,Sheet1!AG$21,0))))))</f>
        <v>0</v>
      </c>
      <c r="AE118" s="404">
        <f>IF(AE117=0,0,(IF(($C$50+$B$50)&lt;=25000,(((+$C$50)/+$AH$117)*AE117)*VLOOKUP('1. SUMMARY'!$C$20,rate,Sheet1!AH$21,0),((IF($B$50&gt;=25000,0,((25000-($B$50))/+$AH$117)*AE117)*VLOOKUP('1. SUMMARY'!$C$20,rate,Sheet1!AH$21,0))))))</f>
        <v>0</v>
      </c>
      <c r="AF118" s="404">
        <f>IF(AF117=0,0,(IF(($C$50+$B$50)&lt;=25000,(((+$C$50)/+$AH$117)*AF117)*VLOOKUP('1. SUMMARY'!$C$20,rate,Sheet1!AI$21,0),((IF($B$50&gt;=25000,0,((25000-($B$50))/+$AH$117)*AF117)*VLOOKUP('1. SUMMARY'!$C$20,rate,Sheet1!AI$21,0))))))</f>
        <v>0</v>
      </c>
      <c r="AG118" s="404">
        <f>IF(AG117=0,0,(IF(($C$50+$B$50)&lt;=25000,(((+$C$50)/+$AH$117)*AG117)*VLOOKUP('1. SUMMARY'!$C$20,rate,Sheet1!AJ$21,0),((IF($B$50&gt;=25000,0,((25000-($B$50))/+$AH$117)*AG117)*VLOOKUP('1. SUMMARY'!$C$20,rate,Sheet1!AJ$21,0))))))</f>
        <v>0</v>
      </c>
      <c r="AH118" s="219">
        <f>SUM(Q118:AG118)</f>
        <v>0</v>
      </c>
      <c r="AI118" s="404">
        <f>IF(AI117=0,0,((+$C50/$AZ117)*AI117)*VLOOKUP('1. SUMMARY'!$C$20,rate,Sheet1!T$21,0))</f>
        <v>0</v>
      </c>
      <c r="AJ118" s="404">
        <f>IF(AJ117=0,0,((+$C50/$AZ117)*AJ117)*VLOOKUP('1. SUMMARY'!$C$20,rate,Sheet1!U$21,0))</f>
        <v>0</v>
      </c>
      <c r="AK118" s="404">
        <f>IF(AK117=0,0,((+$C50/$AZ117)*AK117)*VLOOKUP('1. SUMMARY'!$C$20,rate,Sheet1!V$21,0))</f>
        <v>0</v>
      </c>
      <c r="AL118" s="404">
        <f>IF(AL117=0,0,((+$C50/$AZ117)*AL117)*VLOOKUP('1. SUMMARY'!$C$20,rate,Sheet1!W$21,0))</f>
        <v>0</v>
      </c>
      <c r="AM118" s="404">
        <f>IF(AM117=0,0,((+$C50/$AZ117)*AM117)*VLOOKUP('1. SUMMARY'!$C$20,rate,Sheet1!X$21,0))</f>
        <v>0</v>
      </c>
      <c r="AN118" s="404">
        <f>IF(AN117=0,0,((+$C50/$AZ117)*AN117)*VLOOKUP('1. SUMMARY'!$C$20,rate,Sheet1!Y$21,0))</f>
        <v>0</v>
      </c>
      <c r="AO118" s="404">
        <f>IF(AO117=0,0,((+$C50/$AZ117)*AO117)*VLOOKUP('1. SUMMARY'!$C$20,rate,Sheet1!Z$21,0))</f>
        <v>0</v>
      </c>
      <c r="AP118" s="404">
        <f>IF(AP117=0,0,((+$C50/$AZ117)*AP117)*VLOOKUP('1. SUMMARY'!$C$20,rate,Sheet1!AA$21,0))</f>
        <v>0</v>
      </c>
      <c r="AQ118" s="404">
        <f>IF(AQ117=0,0,((+$C50/$AZ117)*AQ117)*VLOOKUP('1. SUMMARY'!$C$20,rate,Sheet1!AB$21,0))</f>
        <v>0</v>
      </c>
      <c r="AR118" s="404">
        <f>IF(AR117=0,0,((+$C50/$AZ117)*AR117)*VLOOKUP('1. SUMMARY'!$C$20,rate,Sheet1!AC$21,0))</f>
        <v>0</v>
      </c>
      <c r="AS118" s="404">
        <f>IF(AS117=0,0,((+$C50/$AZ117)*AS117)*VLOOKUP('1. SUMMARY'!$C$20,rate,Sheet1!AD$21,0))</f>
        <v>0</v>
      </c>
      <c r="AT118" s="404">
        <f>IF(AT117=0,0,((+$C50/$AZ117)*AT117)*VLOOKUP('1. SUMMARY'!$C$20,rate,Sheet1!AE$21,0))</f>
        <v>0</v>
      </c>
      <c r="AU118" s="404">
        <f>IF(AU117=0,0,((+$C50/$AZ117)*AU117)*VLOOKUP('1. SUMMARY'!$C$20,rate,Sheet1!AF$21,0))</f>
        <v>0</v>
      </c>
      <c r="AV118" s="404">
        <f>IF(AV117=0,0,((+$C50/$AZ117)*AV117)*VLOOKUP('1. SUMMARY'!$C$20,rate,Sheet1!AG$21,0))</f>
        <v>0</v>
      </c>
      <c r="AW118" s="404">
        <f>IF(AW117=0,0,((+$C50/$AZ117)*AW117)*VLOOKUP('1. SUMMARY'!$C$20,rate,Sheet1!AH$21,0))</f>
        <v>0</v>
      </c>
      <c r="AX118" s="404">
        <f>IF(AX117=0,0,((+$C50/$AZ117)*AX117)*VLOOKUP('1. SUMMARY'!$C$20,rate,Sheet1!AI$21,0))</f>
        <v>0</v>
      </c>
      <c r="AY118" s="404">
        <f>IF(AY117=0,0,((+$C50/$AZ117)*AY117)*VLOOKUP('1. SUMMARY'!$C$20,rate,Sheet1!AJ$21,0))</f>
        <v>0</v>
      </c>
      <c r="AZ118" s="219">
        <f>SUM(AI118:AY118)</f>
        <v>0</v>
      </c>
    </row>
    <row r="119" spans="1:52" ht="12.75" customHeight="1">
      <c r="A119" s="216"/>
      <c r="B119" s="217"/>
      <c r="C119" s="217"/>
      <c r="D119" s="217"/>
      <c r="E119" s="217"/>
      <c r="F119" s="217"/>
      <c r="G119" s="217"/>
      <c r="H119" s="217"/>
      <c r="I119" s="217"/>
      <c r="J119" s="217"/>
      <c r="K119" s="217"/>
      <c r="L119" s="218"/>
      <c r="P119" s="207">
        <f t="shared" si="48"/>
        <v>1</v>
      </c>
      <c r="Q119" s="404">
        <f>+Q118/VLOOKUP('1. SUMMARY'!$C$20,rate,Sheet1!T$21,0)</f>
        <v>0</v>
      </c>
      <c r="R119" s="404">
        <f>+R118/VLOOKUP('1. SUMMARY'!$C$20,rate,Sheet1!U$21,0)</f>
        <v>0</v>
      </c>
      <c r="S119" s="404">
        <f>+S118/VLOOKUP('1. SUMMARY'!$C$20,rate,Sheet1!V$21,0)</f>
        <v>0</v>
      </c>
      <c r="T119" s="404">
        <f>+T118/VLOOKUP('1. SUMMARY'!$C$20,rate,Sheet1!W$21,0)</f>
        <v>0</v>
      </c>
      <c r="U119" s="404">
        <f>+U118/VLOOKUP('1. SUMMARY'!$C$20,rate,Sheet1!X$21,0)</f>
        <v>0</v>
      </c>
      <c r="V119" s="404">
        <f>+V118/VLOOKUP('1. SUMMARY'!$C$20,rate,Sheet1!Y$21,0)</f>
        <v>0</v>
      </c>
      <c r="W119" s="404">
        <f>+W118/VLOOKUP('1. SUMMARY'!$C$20,rate,Sheet1!Z$21,0)</f>
        <v>0</v>
      </c>
      <c r="X119" s="404">
        <f>+X118/VLOOKUP('1. SUMMARY'!$C$20,rate,Sheet1!AA$21,0)</f>
        <v>0</v>
      </c>
      <c r="Y119" s="404">
        <f>+Y118/VLOOKUP('1. SUMMARY'!$C$20,rate,Sheet1!AB$21,0)</f>
        <v>0</v>
      </c>
      <c r="Z119" s="404">
        <f>+Z118/VLOOKUP('1. SUMMARY'!$C$20,rate,Sheet1!AC$21,0)</f>
        <v>0</v>
      </c>
      <c r="AA119" s="404">
        <f>+AA118/VLOOKUP('1. SUMMARY'!$C$20,rate,Sheet1!AD$21,0)</f>
        <v>0</v>
      </c>
      <c r="AB119" s="404">
        <f>+AB118/VLOOKUP('1. SUMMARY'!$C$20,rate,Sheet1!AE$21,0)</f>
        <v>0</v>
      </c>
      <c r="AC119" s="404">
        <f>+AC118/VLOOKUP('1. SUMMARY'!$C$20,rate,Sheet1!AF$21,0)</f>
        <v>0</v>
      </c>
      <c r="AD119" s="404">
        <f>+AD118/VLOOKUP('1. SUMMARY'!$C$20,rate,Sheet1!AG$21,0)</f>
        <v>0</v>
      </c>
      <c r="AE119" s="404">
        <f>+AE118/VLOOKUP('1. SUMMARY'!$C$20,rate,Sheet1!AH$21,0)</f>
        <v>0</v>
      </c>
      <c r="AF119" s="404">
        <f>+AF118/VLOOKUP('1. SUMMARY'!$C$20,rate,Sheet1!AI$21,0)</f>
        <v>0</v>
      </c>
      <c r="AG119" s="404">
        <f>+AG118/VLOOKUP('1. SUMMARY'!$C$20,rate,Sheet1!AJ$21,0)</f>
        <v>0</v>
      </c>
      <c r="AH119" s="219"/>
      <c r="AI119" s="404">
        <v>0</v>
      </c>
      <c r="AJ119" s="404">
        <v>0</v>
      </c>
      <c r="AK119" s="404">
        <v>0</v>
      </c>
      <c r="AL119" s="404">
        <v>0</v>
      </c>
      <c r="AM119" s="404">
        <v>0</v>
      </c>
      <c r="AN119" s="404">
        <v>0</v>
      </c>
      <c r="AO119" s="404">
        <v>0</v>
      </c>
      <c r="AP119" s="404">
        <v>0</v>
      </c>
      <c r="AQ119" s="404"/>
      <c r="AR119" s="404"/>
      <c r="AS119" s="404"/>
      <c r="AT119" s="404"/>
      <c r="AU119" s="404"/>
      <c r="AV119" s="404"/>
      <c r="AW119" s="404"/>
      <c r="AX119" s="404"/>
      <c r="AY119" s="404"/>
      <c r="AZ119" s="219"/>
    </row>
    <row r="120" spans="1:52" ht="12.75" customHeight="1">
      <c r="A120" s="226" t="s">
        <v>153</v>
      </c>
      <c r="B120" s="233">
        <f>IF(B112="No "&amp;B111,0,IF('1. SUMMARY'!$Q$20=1,+$AH313,$AZ313))</f>
        <v>0</v>
      </c>
      <c r="C120" s="233">
        <f>IF(C112="No "&amp;C111,0,IF('1. SUMMARY'!$Q$20=1,+$AH318,$AZ318))</f>
        <v>0</v>
      </c>
      <c r="D120" s="233">
        <f>IF(D112="No "&amp;D111,0,IF('1. SUMMARY'!$Q$20=1,+$AH323,$AZ323))</f>
        <v>0</v>
      </c>
      <c r="E120" s="233">
        <f>IF(E112="No "&amp;E111,0,IF('1. SUMMARY'!$Q$20=1,+$AH328,$AZ328))</f>
        <v>0</v>
      </c>
      <c r="F120" s="233">
        <f>IF(F112="No "&amp;F111,0,IF('1. SUMMARY'!$Q$20=1,+$AH333,$AZ333))</f>
        <v>0</v>
      </c>
      <c r="G120" s="233">
        <f>IF(G112="No "&amp;G111,0,IF('1. SUMMARY'!$Q$20=1,+$AH338,$AZ338))</f>
        <v>0</v>
      </c>
      <c r="H120" s="233">
        <f>IF(H112="No "&amp;H111,0,IF('1. SUMMARY'!$Q$20=1,+$AH343,$AZ343))</f>
        <v>0</v>
      </c>
      <c r="I120" s="233">
        <f>IF(I112="No "&amp;I111,0,IF('1. SUMMARY'!$Q$20=1,+$AH348,$AZ348))</f>
        <v>0</v>
      </c>
      <c r="J120" s="233">
        <f>IF(J112="No "&amp;J111,0,IF('1. SUMMARY'!$Q$20=1,+$AH353,$AZ353))</f>
        <v>0</v>
      </c>
      <c r="K120" s="233">
        <f>IF(K112="No "&amp;K111,0,IF('1. SUMMARY'!$Q$20=1,+$AH358,$AZ358))</f>
        <v>0</v>
      </c>
      <c r="L120" s="229">
        <f>SUM(B120:K120)</f>
        <v>0</v>
      </c>
      <c r="P120" s="207">
        <f t="shared" si="48"/>
        <v>1</v>
      </c>
      <c r="Q120" s="399">
        <f>Sheet1!$T$8</f>
        <v>44105</v>
      </c>
      <c r="R120" s="399">
        <f>Sheet1!$U$8</f>
        <v>44470</v>
      </c>
      <c r="S120" s="399">
        <f>Sheet1!$V$8</f>
        <v>44835</v>
      </c>
      <c r="T120" s="399">
        <f>Sheet1!$W$8</f>
        <v>45200</v>
      </c>
      <c r="U120" s="399">
        <f>Sheet1!$X$8</f>
        <v>45566</v>
      </c>
      <c r="V120" s="399">
        <f>Sheet1!$Y$8</f>
        <v>45931</v>
      </c>
      <c r="W120" s="399">
        <f>Sheet1!$Z$8</f>
        <v>46296</v>
      </c>
      <c r="X120" s="399">
        <f>Sheet1!$AA$8</f>
        <v>46661</v>
      </c>
      <c r="Y120" s="399">
        <f>Sheet1!$AB$8</f>
        <v>47027</v>
      </c>
      <c r="Z120" s="399">
        <f>Sheet1!$AC$8</f>
        <v>47392</v>
      </c>
      <c r="AA120" s="399">
        <f>$AA$5</f>
        <v>47757</v>
      </c>
      <c r="AB120" s="399">
        <f>$AB$5</f>
        <v>48122</v>
      </c>
      <c r="AC120" s="399">
        <f>$AC$5</f>
        <v>48488</v>
      </c>
      <c r="AD120" s="399">
        <f>$AD$5</f>
        <v>48853</v>
      </c>
      <c r="AE120" s="399">
        <f>$AE$5</f>
        <v>49218</v>
      </c>
      <c r="AF120" s="399">
        <f>$AF$5</f>
        <v>49583</v>
      </c>
      <c r="AG120" s="399">
        <f>$AG$5</f>
        <v>49949</v>
      </c>
      <c r="AH120" s="211"/>
      <c r="AI120" s="399">
        <f t="shared" ref="AI120:AR122" si="54">+Q120</f>
        <v>44105</v>
      </c>
      <c r="AJ120" s="399">
        <f t="shared" si="54"/>
        <v>44470</v>
      </c>
      <c r="AK120" s="399">
        <f t="shared" si="54"/>
        <v>44835</v>
      </c>
      <c r="AL120" s="399">
        <f t="shared" si="54"/>
        <v>45200</v>
      </c>
      <c r="AM120" s="399">
        <f t="shared" si="54"/>
        <v>45566</v>
      </c>
      <c r="AN120" s="399">
        <f t="shared" si="54"/>
        <v>45931</v>
      </c>
      <c r="AO120" s="399">
        <f t="shared" si="54"/>
        <v>46296</v>
      </c>
      <c r="AP120" s="399">
        <f t="shared" si="54"/>
        <v>46661</v>
      </c>
      <c r="AQ120" s="399">
        <f t="shared" si="54"/>
        <v>47027</v>
      </c>
      <c r="AR120" s="399">
        <f t="shared" si="54"/>
        <v>47392</v>
      </c>
      <c r="AS120" s="399">
        <f t="shared" ref="AS120:AY122" si="55">+AA120</f>
        <v>47757</v>
      </c>
      <c r="AT120" s="399">
        <f t="shared" si="55"/>
        <v>48122</v>
      </c>
      <c r="AU120" s="399">
        <f t="shared" si="55"/>
        <v>48488</v>
      </c>
      <c r="AV120" s="399">
        <f t="shared" si="55"/>
        <v>48853</v>
      </c>
      <c r="AW120" s="399">
        <f t="shared" si="55"/>
        <v>49218</v>
      </c>
      <c r="AX120" s="399">
        <f t="shared" si="55"/>
        <v>49583</v>
      </c>
      <c r="AY120" s="399">
        <f t="shared" si="55"/>
        <v>49949</v>
      </c>
      <c r="AZ120" s="219"/>
    </row>
    <row r="121" spans="1:52" ht="12.75" customHeight="1">
      <c r="A121" s="216"/>
      <c r="B121" s="234"/>
      <c r="C121" s="234"/>
      <c r="D121" s="234"/>
      <c r="E121" s="234"/>
      <c r="F121" s="234"/>
      <c r="G121" s="234"/>
      <c r="H121" s="234"/>
      <c r="I121" s="234"/>
      <c r="J121" s="234"/>
      <c r="K121" s="234"/>
      <c r="L121" s="235"/>
      <c r="P121" s="207">
        <f t="shared" si="48"/>
        <v>1</v>
      </c>
      <c r="Q121" s="399">
        <f>Sheet1!$T$9</f>
        <v>44469</v>
      </c>
      <c r="R121" s="399">
        <f>Sheet1!$U$9</f>
        <v>44834</v>
      </c>
      <c r="S121" s="399">
        <f>Sheet1!$V$9</f>
        <v>45199</v>
      </c>
      <c r="T121" s="399">
        <f>Sheet1!$W$9</f>
        <v>45565</v>
      </c>
      <c r="U121" s="399">
        <f>Sheet1!$X$9</f>
        <v>45930</v>
      </c>
      <c r="V121" s="399">
        <f>Sheet1!$Y$9</f>
        <v>46295</v>
      </c>
      <c r="W121" s="399">
        <f>Sheet1!$Z$9</f>
        <v>46660</v>
      </c>
      <c r="X121" s="399">
        <f>Sheet1!$AA$9</f>
        <v>47026</v>
      </c>
      <c r="Y121" s="399">
        <f>Sheet1!$AB$9</f>
        <v>47391</v>
      </c>
      <c r="Z121" s="399">
        <f>Sheet1!$AC$9</f>
        <v>47756</v>
      </c>
      <c r="AA121" s="399">
        <f>$AA$6</f>
        <v>48121</v>
      </c>
      <c r="AB121" s="399">
        <f>$AB$6</f>
        <v>48487</v>
      </c>
      <c r="AC121" s="399">
        <f>$AC$6</f>
        <v>48852</v>
      </c>
      <c r="AD121" s="399">
        <f>$AD$6</f>
        <v>49217</v>
      </c>
      <c r="AE121" s="399">
        <f>$AE$6</f>
        <v>49582</v>
      </c>
      <c r="AF121" s="399">
        <f>$AF$6</f>
        <v>49948</v>
      </c>
      <c r="AG121" s="399">
        <f>$AG$6</f>
        <v>50313</v>
      </c>
      <c r="AH121" s="211"/>
      <c r="AI121" s="399">
        <f t="shared" si="54"/>
        <v>44469</v>
      </c>
      <c r="AJ121" s="399">
        <f t="shared" si="54"/>
        <v>44834</v>
      </c>
      <c r="AK121" s="399">
        <f t="shared" si="54"/>
        <v>45199</v>
      </c>
      <c r="AL121" s="399">
        <f t="shared" si="54"/>
        <v>45565</v>
      </c>
      <c r="AM121" s="399">
        <f t="shared" si="54"/>
        <v>45930</v>
      </c>
      <c r="AN121" s="399">
        <f t="shared" si="54"/>
        <v>46295</v>
      </c>
      <c r="AO121" s="399">
        <f t="shared" si="54"/>
        <v>46660</v>
      </c>
      <c r="AP121" s="399">
        <f t="shared" si="54"/>
        <v>47026</v>
      </c>
      <c r="AQ121" s="399">
        <f t="shared" si="54"/>
        <v>47391</v>
      </c>
      <c r="AR121" s="399">
        <f t="shared" si="54"/>
        <v>47756</v>
      </c>
      <c r="AS121" s="399">
        <f t="shared" si="55"/>
        <v>48121</v>
      </c>
      <c r="AT121" s="399">
        <f t="shared" si="55"/>
        <v>48487</v>
      </c>
      <c r="AU121" s="399">
        <f t="shared" si="55"/>
        <v>48852</v>
      </c>
      <c r="AV121" s="399">
        <f t="shared" si="55"/>
        <v>49217</v>
      </c>
      <c r="AW121" s="399">
        <f t="shared" si="55"/>
        <v>49582</v>
      </c>
      <c r="AX121" s="399">
        <f t="shared" si="55"/>
        <v>49948</v>
      </c>
      <c r="AY121" s="399">
        <f t="shared" si="55"/>
        <v>50313</v>
      </c>
      <c r="AZ121" s="219"/>
    </row>
    <row r="122" spans="1:52" ht="12.75" customHeight="1" thickBot="1">
      <c r="A122" s="236" t="s">
        <v>154</v>
      </c>
      <c r="B122" s="237">
        <f>SUM(B118:B120)</f>
        <v>0</v>
      </c>
      <c r="C122" s="237" t="str">
        <f>IF(C112="No Year 2","",SUM(C118:C120))</f>
        <v/>
      </c>
      <c r="D122" s="237" t="str">
        <f>IF(D112="No Year 3","",SUM(D118:D120))</f>
        <v/>
      </c>
      <c r="E122" s="237" t="str">
        <f>IF(E112="No Year 4","",SUM(E118:E120))</f>
        <v/>
      </c>
      <c r="F122" s="237" t="str">
        <f t="shared" ref="F122:K122" si="56">IF(F112="No Year 5","",SUM(F118:F120))</f>
        <v/>
      </c>
      <c r="G122" s="237">
        <f t="shared" si="56"/>
        <v>0</v>
      </c>
      <c r="H122" s="237">
        <f t="shared" si="56"/>
        <v>0</v>
      </c>
      <c r="I122" s="237">
        <f t="shared" si="56"/>
        <v>0</v>
      </c>
      <c r="J122" s="237">
        <f t="shared" si="56"/>
        <v>0</v>
      </c>
      <c r="K122" s="237">
        <f t="shared" si="56"/>
        <v>0</v>
      </c>
      <c r="L122" s="238">
        <f>SUM(B122:K122)</f>
        <v>0</v>
      </c>
      <c r="N122" s="86">
        <f>IF(L122&gt;0,1,0)</f>
        <v>0</v>
      </c>
      <c r="P122" s="207">
        <f t="shared" si="48"/>
        <v>1</v>
      </c>
      <c r="Q122" s="400">
        <f>IF(IF(Q121&lt;$D$44,0,DATEDIF($D$44,Q121+1,"m"))&lt;0,0,IF(Q121&lt;$D$44,0,DATEDIF($D$44,Q121+1,"m")))</f>
        <v>0</v>
      </c>
      <c r="R122" s="400">
        <f>IF(IF(Q122=12,0,IF(R121&gt;D45,12-DATEDIF(D45,R121+1,"m"),IF(R121&lt;D44,0,DATEDIF(D44,R121+1,"m"))))&lt;0,0,IF(Q122=12,0,IF(R121&gt;D45,12-DATEDIF(D45,R121+1,"m"),IF(R121&lt;D44,0,DATEDIF(D44,R121+1,"m")))))</f>
        <v>0</v>
      </c>
      <c r="S122" s="400">
        <f>IF(IF(Q122+R122=12,0,IF(S121&gt;D45,12-DATEDIF(D45,S121+1,"m"),IF(S121&lt;D44,0,DATEDIF(D44,S121+1,"m"))))&lt;0,0,IF(Q122+R122=12,0,IF(S121&gt;D45,12-DATEDIF(D45,S121+1,"m"),IF(S121&lt;D44,0,DATEDIF(D44,S121+1,"m")))))</f>
        <v>0</v>
      </c>
      <c r="T122" s="400">
        <f>IF(IF(R122+S122+Q122=12,0,IF(T121&gt;D45,12-DATEDIF(D45,T121+1,"m"),IF(T121&lt;D44,0,DATEDIF(D44,T121+1,"m"))))&lt;0,0,IF(R122+S122+Q122=12,0,IF(T121&gt;D45,12-DATEDIF(D45,T121+1,"m"),IF(T121&lt;D44,0,DATEDIF(D44,T121+1,"m")))))</f>
        <v>0</v>
      </c>
      <c r="U122" s="400">
        <f>IF(IF(S122+T122+R122+Q122=12,0,IF(U121&gt;D45,12-DATEDIF(D45,U121+1,"m"),IF(U121&lt;D44,0,DATEDIF(D44,U121+1,"m"))))&lt;0,0,IF(S122+T122+R122+Q122=12,0,IF(U121&gt;D45,12-DATEDIF(D45,U121+1,"m"),IF(U121&lt;D44,0,DATEDIF(D44,U121+1,"m")))))</f>
        <v>0</v>
      </c>
      <c r="V122" s="400">
        <f>IF(IF(T122+U122+S122+R122+Q122=12,0,IF(V121&gt;D45,12-DATEDIF(D45,V121+1,"m"),IF(V121&lt;D44,0,DATEDIF(D44,V121+1,"m"))))&lt;0,0,IF(T122+U122+S122+R122+Q122=12,0,IF(V121&gt;D45,12-DATEDIF(D45,V121+1,"m"),IF(V121&lt;D44,0,DATEDIF(D44,V121+1,"m")))))</f>
        <v>0</v>
      </c>
      <c r="W122" s="400">
        <f>IF(IF(U122+V122+T122+S122+R122+Q122=12,0,IF(W121&gt;D45,12-DATEDIF(D45,W121+1,"m"),IF(W121&lt;D44,0,DATEDIF(D44,W121+1,"m"))))&lt;0,0,IF(U122+V122+T122+S122+R122+Q122=12,0,IF(W121&gt;D45,12-DATEDIF(D45,W121+1,"m"),IF(W121&lt;D44,0,DATEDIF(D44,W121+1,"m")))))</f>
        <v>0</v>
      </c>
      <c r="X122" s="400">
        <f>IF(IF(V122+W122+U122+T122+S122+R122+Q122=12,0,IF(X121&gt;D45,12-DATEDIF(D45,X121+1,"m"),IF(X121&lt;D44,0,DATEDIF(D44,X121+1,"m"))))&lt;0,0,IF(V122+W122+U122+T122+S122+R122+Q122=12,0,IF(X121&gt;D45,12-DATEDIF(D45,X121+1,"m"),IF(X121&lt;D44,0,DATEDIF(D44,X121+1,"m")))))</f>
        <v>0</v>
      </c>
      <c r="Y122" s="400">
        <f>IF(IF(W122+X122+V122+U122+T122+S122+R122=12,0,IF(Y121&gt;E45,12-DATEDIF(E45,Y121+1,"m"),IF(Y121&lt;E44,0,DATEDIF(E44,Y121+1,"m"))))&lt;0,0,IF(W122+X122+V122+U122+T122+S122+R122=12,0,IF(Y121&gt;E45,12-DATEDIF(E45,Y121+1,"m"),IF(Y121&lt;E44,0,DATEDIF(E44,Y121+1,"m")))))</f>
        <v>0</v>
      </c>
      <c r="Z122" s="400">
        <f>IF(IF(X122+Y122+W122+V122+U122+T122+S122=12,0,IF(Z121&gt;F45,12-DATEDIF(F45,Z121+1,"m"),IF(Z121&lt;F44,0,DATEDIF(F44,Z121+1,"m"))))&lt;0,0,IF(X122+Y122+W122+V122+U122+T122+S122=12,0,IF(Z121&gt;F45,12-DATEDIF(F45,Z121+1,"m"),IF(Z121&lt;F44,0,DATEDIF(F44,Z121+1,"m")))))</f>
        <v>0</v>
      </c>
      <c r="AA122" s="400"/>
      <c r="AB122" s="400"/>
      <c r="AC122" s="400"/>
      <c r="AD122" s="400"/>
      <c r="AE122" s="400"/>
      <c r="AF122" s="400"/>
      <c r="AG122" s="400"/>
      <c r="AH122" s="423">
        <f>SUM(Q122:AG122)</f>
        <v>0</v>
      </c>
      <c r="AI122" s="400">
        <f t="shared" si="54"/>
        <v>0</v>
      </c>
      <c r="AJ122" s="400">
        <f t="shared" si="54"/>
        <v>0</v>
      </c>
      <c r="AK122" s="400">
        <f t="shared" si="54"/>
        <v>0</v>
      </c>
      <c r="AL122" s="400">
        <f t="shared" si="54"/>
        <v>0</v>
      </c>
      <c r="AM122" s="400">
        <f t="shared" si="54"/>
        <v>0</v>
      </c>
      <c r="AN122" s="400">
        <f t="shared" si="54"/>
        <v>0</v>
      </c>
      <c r="AO122" s="400">
        <f t="shared" si="54"/>
        <v>0</v>
      </c>
      <c r="AP122" s="400">
        <f t="shared" si="54"/>
        <v>0</v>
      </c>
      <c r="AQ122" s="400">
        <f t="shared" si="54"/>
        <v>0</v>
      </c>
      <c r="AR122" s="400">
        <f t="shared" si="54"/>
        <v>0</v>
      </c>
      <c r="AS122" s="400">
        <f t="shared" si="55"/>
        <v>0</v>
      </c>
      <c r="AT122" s="400">
        <f t="shared" si="55"/>
        <v>0</v>
      </c>
      <c r="AU122" s="400">
        <f t="shared" si="55"/>
        <v>0</v>
      </c>
      <c r="AV122" s="400">
        <f t="shared" si="55"/>
        <v>0</v>
      </c>
      <c r="AW122" s="400">
        <f t="shared" si="55"/>
        <v>0</v>
      </c>
      <c r="AX122" s="400">
        <f t="shared" si="55"/>
        <v>0</v>
      </c>
      <c r="AY122" s="400">
        <f t="shared" si="55"/>
        <v>0</v>
      </c>
      <c r="AZ122" s="219">
        <f>SUM(AI122:AY122)</f>
        <v>0</v>
      </c>
    </row>
    <row r="123" spans="1:52" ht="12.75" customHeight="1" thickTop="1">
      <c r="P123" s="207">
        <f t="shared" si="48"/>
        <v>1</v>
      </c>
      <c r="Q123" s="401">
        <f>IF(Q122=0,0,(IF(($B$50+$C$50+$D$50)&lt;=25000,(($D$50/+$AH$122)*Q122)*VLOOKUP('1. SUMMARY'!$C$20,rate,Sheet1!$T$21,0),((IF(($B$50+$C$50)&gt;=25000,0,(((25000-(+$B$50+$C$50))/+$AH$122)*Q122)*VLOOKUP('1. SUMMARY'!$C$20,rate,Sheet1!T$21,0)))))))</f>
        <v>0</v>
      </c>
      <c r="R123" s="401">
        <f>IF(R122=0,0,(IF(($B$50+$C$50+$D$50)&lt;=25000,(($D$50/+$AH$122)*R122)*VLOOKUP('1. SUMMARY'!$C$20,rate,Sheet1!$T$21,0),((IF(($B$50+$C$50)&gt;=25000,0,(((25000-(+$B$50+$C$50))/+$AH$122)*R122)*VLOOKUP('1. SUMMARY'!$C$20,rate,Sheet1!U$21,0)))))))</f>
        <v>0</v>
      </c>
      <c r="S123" s="401">
        <f>IF(S122=0,0,(IF(($B$50+$C$50+$D$50)&lt;=25000,(($D$50/+$AH$122)*S122)*VLOOKUP('1. SUMMARY'!$C$20,rate,Sheet1!$T$21,0),((IF(($B$50+$C$50)&gt;=25000,0,(((25000-(+$B$50+$C$50))/+$AH$122)*S122)*VLOOKUP('1. SUMMARY'!$C$20,rate,Sheet1!V$21,0)))))))</f>
        <v>0</v>
      </c>
      <c r="T123" s="401">
        <f>IF(T122=0,0,(IF(($B$50+$C$50+$D$50)&lt;=25000,(($D$50/+$AH$122)*T122)*VLOOKUP('1. SUMMARY'!$C$20,rate,Sheet1!$T$21,0),((IF(($B$50+$C$50)&gt;=25000,0,(((25000-(+$B$50+$C$50))/+$AH$122)*T122)*VLOOKUP('1. SUMMARY'!$C$20,rate,Sheet1!W$21,0)))))))</f>
        <v>0</v>
      </c>
      <c r="U123" s="401">
        <f>IF(U122=0,0,(IF(($B$50+$C$50+$D$50)&lt;=25000,(($D$50/+$AH$122)*U122)*VLOOKUP('1. SUMMARY'!$C$20,rate,Sheet1!$T$21,0),((IF(($B$50+$C$50)&gt;=25000,0,(((25000-(+$B$50+$C$50))/+$AH$122)*U122)*VLOOKUP('1. SUMMARY'!$C$20,rate,Sheet1!X$21,0)))))))</f>
        <v>0</v>
      </c>
      <c r="V123" s="401">
        <f>IF(V122=0,0,(IF(($B$50+$C$50+$D$50)&lt;=25000,(($D$50/+$AH$122)*V122)*VLOOKUP('1. SUMMARY'!$C$20,rate,Sheet1!$T$21,0),((IF(($B$50+$C$50)&gt;=25000,0,(((25000-(+$B$50+$C$50))/+$AH$122)*V122)*VLOOKUP('1. SUMMARY'!$C$20,rate,Sheet1!Y$21,0)))))))</f>
        <v>0</v>
      </c>
      <c r="W123" s="401">
        <f>IF(W122=0,0,(IF(($B$50+$C$50+$D$50)&lt;=25000,(($D$50/+$AH$122)*W122)*VLOOKUP('1. SUMMARY'!$C$20,rate,Sheet1!$T$21,0),((IF(($B$50+$C$50)&gt;=25000,0,(((25000-(+$B$50+$C$50))/+$AH$122)*W122)*VLOOKUP('1. SUMMARY'!$C$20,rate,Sheet1!Z$21,0)))))))</f>
        <v>0</v>
      </c>
      <c r="X123" s="401">
        <f>IF(X122=0,0,(IF(($B$50+$C$50+$D$50)&lt;=25000,(($D$50/+$AH$122)*X122)*VLOOKUP('1. SUMMARY'!$C$20,rate,Sheet1!$T$21,0),((IF(($B$50+$C$50)&gt;=25000,0,(((25000-(+$B$50+$C$50))/+$AH$122)*X122)*VLOOKUP('1. SUMMARY'!$C$20,rate,Sheet1!AA$21,0)))))))</f>
        <v>0</v>
      </c>
      <c r="Y123" s="401">
        <f>IF(Y122=0,0,(IF(($B$50+$C$50+$D$50)&lt;=25000,(($D$50/+$AH$122)*Y122)*VLOOKUP('1. SUMMARY'!$C$20,rate,Sheet1!$T$21,0),((IF(($B$50+$C$50)&gt;=25000,0,(((25000-(+$B$50+$C$50))/+$AH$122)*Y122)*VLOOKUP('1. SUMMARY'!$C$20,rate,Sheet1!AB$21,0)))))))</f>
        <v>0</v>
      </c>
      <c r="Z123" s="401">
        <f>IF(Z122=0,0,(IF(($B$50+$C$50+$D$50)&lt;=25000,(($D$50/+$AH$122)*Z122)*VLOOKUP('1. SUMMARY'!$C$20,rate,Sheet1!$T$21,0),((IF(($B$50+$C$50)&gt;=25000,0,(((25000-(+$B$50+$C$50))/+$AH$122)*Z122)*VLOOKUP('1. SUMMARY'!$C$20,rate,Sheet1!AC$21,0)))))))</f>
        <v>0</v>
      </c>
      <c r="AA123" s="401">
        <f>IF(AA122=0,0,(IF(($B$50+$C$50+$D$50)&lt;=25000,(($D$50/+$AH$122)*AA122)*VLOOKUP('1. SUMMARY'!$C$20,rate,Sheet1!$T$21,0),((IF(($B$50+$C$50)&gt;=25000,0,(((25000-(+$B$50+$C$50))/+$AH$122)*AA122)*VLOOKUP('1. SUMMARY'!$C$20,rate,Sheet1!AD$21,0)))))))</f>
        <v>0</v>
      </c>
      <c r="AB123" s="401">
        <f>IF(AB122=0,0,(IF(($B$50+$C$50+$D$50)&lt;=25000,(($D$50/+$AH$122)*AB122)*VLOOKUP('1. SUMMARY'!$C$20,rate,Sheet1!$T$21,0),((IF(($B$50+$C$50)&gt;=25000,0,(((25000-(+$B$50+$C$50))/+$AH$122)*AB122)*VLOOKUP('1. SUMMARY'!$C$20,rate,Sheet1!AE$21,0)))))))</f>
        <v>0</v>
      </c>
      <c r="AC123" s="401">
        <f>IF(AC122=0,0,(IF(($B$50+$C$50+$D$50)&lt;=25000,(($D$50/+$AH$122)*AC122)*VLOOKUP('1. SUMMARY'!$C$20,rate,Sheet1!$T$21,0),((IF(($B$50+$C$50)&gt;=25000,0,(((25000-(+$B$50+$C$50))/+$AH$122)*AC122)*VLOOKUP('1. SUMMARY'!$C$20,rate,Sheet1!AF$21,0)))))))</f>
        <v>0</v>
      </c>
      <c r="AD123" s="401">
        <f>IF(AD122=0,0,(IF(($B$50+$C$50+$D$50)&lt;=25000,(($D$50/+$AH$122)*AD122)*VLOOKUP('1. SUMMARY'!$C$20,rate,Sheet1!$T$21,0),((IF(($B$50+$C$50)&gt;=25000,0,(((25000-(+$B$50+$C$50))/+$AH$122)*AD122)*VLOOKUP('1. SUMMARY'!$C$20,rate,Sheet1!AG$21,0)))))))</f>
        <v>0</v>
      </c>
      <c r="AE123" s="401">
        <f>IF(AE122=0,0,(IF(($B$50+$C$50+$D$50)&lt;=25000,(($D$50/+$AH$122)*AE122)*VLOOKUP('1. SUMMARY'!$C$20,rate,Sheet1!$T$21,0),((IF(($B$50+$C$50)&gt;=25000,0,(((25000-(+$B$50+$C$50))/+$AH$122)*AE122)*VLOOKUP('1. SUMMARY'!$C$20,rate,Sheet1!AH$21,0)))))))</f>
        <v>0</v>
      </c>
      <c r="AF123" s="401">
        <f>IF(AF122=0,0,(IF(($B$50+$C$50+$D$50)&lt;=25000,(($D$50/+$AH$122)*AF122)*VLOOKUP('1. SUMMARY'!$C$20,rate,Sheet1!$T$21,0),((IF(($B$50+$C$50)&gt;=25000,0,(((25000-(+$B$50+$C$50))/+$AH$122)*AF122)*VLOOKUP('1. SUMMARY'!$C$20,rate,Sheet1!AI$21,0)))))))</f>
        <v>0</v>
      </c>
      <c r="AG123" s="401">
        <f>IF(AG122=0,0,(IF(($B$50+$C$50+$D$50)&lt;=25000,(($D$50/+$AH$122)*AG122)*VLOOKUP('1. SUMMARY'!$C$20,rate,Sheet1!$T$21,0),((IF(($B$50+$C$50)&gt;=25000,0,(((25000-(+$B$50+$C$50))/+$AH$122)*AG122)*VLOOKUP('1. SUMMARY'!$C$20,rate,Sheet1!AJ$21,0)))))))</f>
        <v>0</v>
      </c>
      <c r="AH123" s="219">
        <f>SUM(Q123:AG123)</f>
        <v>0</v>
      </c>
      <c r="AI123" s="401">
        <f>IF(Q122=0,0,((+$D50/$AZ$17)*AI122)*VLOOKUP('1. SUMMARY'!$C$20,rate,Sheet1!T$21,0))</f>
        <v>0</v>
      </c>
      <c r="AJ123" s="401">
        <f>IF(R122=0,0,((+$D50/$AZ$17)*AJ122)*VLOOKUP('1. SUMMARY'!$C$20,rate,Sheet1!U$21,0))</f>
        <v>0</v>
      </c>
      <c r="AK123" s="401">
        <f>IF(S122=0,0,((+$D50/$AZ$17)*AK122)*VLOOKUP('1. SUMMARY'!$C$20,rate,Sheet1!V$21,0))</f>
        <v>0</v>
      </c>
      <c r="AL123" s="401">
        <f>IF(T122=0,0,((+$D50/$AZ$17)*AL122)*VLOOKUP('1. SUMMARY'!$C$20,rate,Sheet1!W$21,0))</f>
        <v>0</v>
      </c>
      <c r="AM123" s="401">
        <f>IF(U122=0,0,((+$D50/$AZ$17)*AM122)*VLOOKUP('1. SUMMARY'!$C$20,rate,Sheet1!X$21,0))</f>
        <v>0</v>
      </c>
      <c r="AN123" s="401">
        <f>IF(V122=0,0,((+$D50/$AZ$17)*AN122)*VLOOKUP('1. SUMMARY'!$C$20,rate,Sheet1!Y$21,0))</f>
        <v>0</v>
      </c>
      <c r="AO123" s="401">
        <f>IF(W122=0,0,((+$D50/$AZ$17)*AO122)*VLOOKUP('1. SUMMARY'!$C$20,rate,Sheet1!Z$21,0))</f>
        <v>0</v>
      </c>
      <c r="AP123" s="401">
        <f>IF(X122=0,0,((+$D50/$AZ$17)*AP122)*VLOOKUP('1. SUMMARY'!$C$20,rate,Sheet1!AA$21,0))</f>
        <v>0</v>
      </c>
      <c r="AQ123" s="401">
        <f>IF(Y122=0,0,((+$D50/$AZ$17)*AQ122)*VLOOKUP('1. SUMMARY'!$C$20,rate,Sheet1!AB$21,0))</f>
        <v>0</v>
      </c>
      <c r="AR123" s="401">
        <f>IF(Z122=0,0,((+$D50/$AZ$17)*AR122)*VLOOKUP('1. SUMMARY'!$C$20,rate,Sheet1!AC$21,0))</f>
        <v>0</v>
      </c>
      <c r="AS123" s="401">
        <f>IF(AA122=0,0,((+$D50/$AZ$17)*AS122)*VLOOKUP('1. SUMMARY'!$C$20,rate,Sheet1!AD$21,0))</f>
        <v>0</v>
      </c>
      <c r="AT123" s="401">
        <f>IF(AB122=0,0,((+$D50/$AZ$17)*AT122)*VLOOKUP('1. SUMMARY'!$C$20,rate,Sheet1!AE$21,0))</f>
        <v>0</v>
      </c>
      <c r="AU123" s="401">
        <f>IF(AC122=0,0,((+$D50/$AZ$17)*AU122)*VLOOKUP('1. SUMMARY'!$C$20,rate,Sheet1!AF$21,0))</f>
        <v>0</v>
      </c>
      <c r="AV123" s="401">
        <f>IF(AD122=0,0,((+$D50/$AZ$17)*AV122)*VLOOKUP('1. SUMMARY'!$C$20,rate,Sheet1!AG$21,0))</f>
        <v>0</v>
      </c>
      <c r="AW123" s="401">
        <f>IF(AE122=0,0,((+$D50/$AZ$17)*AW122)*VLOOKUP('1. SUMMARY'!$C$20,rate,Sheet1!AH$21,0))</f>
        <v>0</v>
      </c>
      <c r="AX123" s="401">
        <f>IF(AF122=0,0,((+$D50/$AZ$17)*AX122)*VLOOKUP('1. SUMMARY'!$C$20,rate,Sheet1!AI$21,0))</f>
        <v>0</v>
      </c>
      <c r="AY123" s="401">
        <f>IF(AG122=0,0,((+$D50/$AZ$17)*AY122)*VLOOKUP('1. SUMMARY'!$C$20,rate,Sheet1!AJ$21,0))</f>
        <v>0</v>
      </c>
      <c r="AZ123" s="219">
        <f>SUM(AI123:AY123)</f>
        <v>0</v>
      </c>
    </row>
    <row r="124" spans="1:52" ht="12.75" customHeight="1" thickBot="1">
      <c r="P124" s="207">
        <f t="shared" si="48"/>
        <v>1</v>
      </c>
      <c r="Q124" s="401">
        <f>+Q123/VLOOKUP('1. SUMMARY'!$C$20,rate,Sheet1!T$21,0)</f>
        <v>0</v>
      </c>
      <c r="R124" s="401">
        <f>+R123/VLOOKUP('1. SUMMARY'!$C$20,rate,Sheet1!U$21,0)</f>
        <v>0</v>
      </c>
      <c r="S124" s="401">
        <f>+S123/VLOOKUP('1. SUMMARY'!$C$20,rate,Sheet1!V$21,0)</f>
        <v>0</v>
      </c>
      <c r="T124" s="401">
        <f>+T123/VLOOKUP('1. SUMMARY'!$C$20,rate,Sheet1!W$21,0)</f>
        <v>0</v>
      </c>
      <c r="U124" s="401">
        <f>+U123/VLOOKUP('1. SUMMARY'!$C$20,rate,Sheet1!X$21,0)</f>
        <v>0</v>
      </c>
      <c r="V124" s="401">
        <f>+V123/VLOOKUP('1. SUMMARY'!$C$20,rate,Sheet1!Y$21,0)</f>
        <v>0</v>
      </c>
      <c r="W124" s="401">
        <f>+W123/VLOOKUP('1. SUMMARY'!$C$20,rate,Sheet1!Z$21,0)</f>
        <v>0</v>
      </c>
      <c r="X124" s="401">
        <f>+X123/VLOOKUP('1. SUMMARY'!$C$20,rate,Sheet1!AA$21,0)</f>
        <v>0</v>
      </c>
      <c r="Y124" s="401">
        <f>+Y123/VLOOKUP('1. SUMMARY'!$C$20,rate,Sheet1!AB$21,0)</f>
        <v>0</v>
      </c>
      <c r="Z124" s="401">
        <f>+Z123/VLOOKUP('1. SUMMARY'!$C$20,rate,Sheet1!AC$21,0)</f>
        <v>0</v>
      </c>
      <c r="AA124" s="401">
        <f>+AA123/VLOOKUP('1. SUMMARY'!$C$20,rate,Sheet1!AD$21,0)</f>
        <v>0</v>
      </c>
      <c r="AB124" s="401">
        <f>+AB123/VLOOKUP('1. SUMMARY'!$C$20,rate,Sheet1!AE$21,0)</f>
        <v>0</v>
      </c>
      <c r="AC124" s="401">
        <f>+AC123/VLOOKUP('1. SUMMARY'!$C$20,rate,Sheet1!AF$21,0)</f>
        <v>0</v>
      </c>
      <c r="AD124" s="401">
        <f>+AD123/VLOOKUP('1. SUMMARY'!$C$20,rate,Sheet1!AG$21,0)</f>
        <v>0</v>
      </c>
      <c r="AE124" s="401">
        <f>+AE123/VLOOKUP('1. SUMMARY'!$C$20,rate,Sheet1!AH$21,0)</f>
        <v>0</v>
      </c>
      <c r="AF124" s="401">
        <f>+AF123/VLOOKUP('1. SUMMARY'!$C$20,rate,Sheet1!AI$21,0)</f>
        <v>0</v>
      </c>
      <c r="AG124" s="401">
        <f>+AG123/VLOOKUP('1. SUMMARY'!$C$20,rate,Sheet1!AJ$21,0)</f>
        <v>0</v>
      </c>
      <c r="AH124" s="219"/>
      <c r="AI124" s="401">
        <v>0</v>
      </c>
      <c r="AJ124" s="401">
        <v>0</v>
      </c>
      <c r="AK124" s="401">
        <v>0</v>
      </c>
      <c r="AL124" s="401">
        <v>0</v>
      </c>
      <c r="AM124" s="401">
        <v>0</v>
      </c>
      <c r="AN124" s="401">
        <v>0</v>
      </c>
      <c r="AO124" s="401">
        <v>0</v>
      </c>
      <c r="AP124" s="401">
        <v>0</v>
      </c>
      <c r="AQ124" s="401"/>
      <c r="AR124" s="401"/>
      <c r="AS124" s="401"/>
      <c r="AT124" s="401"/>
      <c r="AU124" s="401"/>
      <c r="AV124" s="401"/>
      <c r="AW124" s="401"/>
      <c r="AX124" s="401"/>
      <c r="AY124" s="401"/>
      <c r="AZ124" s="219"/>
    </row>
    <row r="125" spans="1:52" ht="12.75" customHeight="1" thickTop="1">
      <c r="A125" s="212" t="s">
        <v>161</v>
      </c>
      <c r="B125" s="213"/>
      <c r="C125" s="213"/>
      <c r="D125" s="213"/>
      <c r="E125" s="213"/>
      <c r="F125" s="213"/>
      <c r="G125" s="213"/>
      <c r="H125" s="213"/>
      <c r="I125" s="213"/>
      <c r="J125" s="213"/>
      <c r="K125" s="213"/>
      <c r="L125" s="214"/>
      <c r="P125" s="207">
        <f t="shared" si="48"/>
        <v>1</v>
      </c>
      <c r="Q125" s="405">
        <f>Sheet1!$T$8</f>
        <v>44105</v>
      </c>
      <c r="R125" s="405">
        <f>Sheet1!$U$8</f>
        <v>44470</v>
      </c>
      <c r="S125" s="405">
        <f>Sheet1!$V$8</f>
        <v>44835</v>
      </c>
      <c r="T125" s="405">
        <f>Sheet1!$W$8</f>
        <v>45200</v>
      </c>
      <c r="U125" s="405">
        <f>Sheet1!$X$8</f>
        <v>45566</v>
      </c>
      <c r="V125" s="405">
        <f>Sheet1!$Y$8</f>
        <v>45931</v>
      </c>
      <c r="W125" s="405">
        <f>Sheet1!$Z$8</f>
        <v>46296</v>
      </c>
      <c r="X125" s="405">
        <f>Sheet1!$AA$8</f>
        <v>46661</v>
      </c>
      <c r="Y125" s="405">
        <f>Sheet1!$AB$8</f>
        <v>47027</v>
      </c>
      <c r="Z125" s="405">
        <f>Sheet1!$AC$8</f>
        <v>47392</v>
      </c>
      <c r="AA125" s="405">
        <f>$AA$5</f>
        <v>47757</v>
      </c>
      <c r="AB125" s="405">
        <f>$AB$5</f>
        <v>48122</v>
      </c>
      <c r="AC125" s="405">
        <f>$AC$5</f>
        <v>48488</v>
      </c>
      <c r="AD125" s="405">
        <f>$AD$5</f>
        <v>48853</v>
      </c>
      <c r="AE125" s="405">
        <f>$AE$5</f>
        <v>49218</v>
      </c>
      <c r="AF125" s="405">
        <f>$AF$5</f>
        <v>49583</v>
      </c>
      <c r="AG125" s="405">
        <f>$AG$5</f>
        <v>49949</v>
      </c>
      <c r="AH125" s="211"/>
      <c r="AI125" s="405">
        <f t="shared" ref="AI125:AR127" si="57">+Q125</f>
        <v>44105</v>
      </c>
      <c r="AJ125" s="405">
        <f t="shared" si="57"/>
        <v>44470</v>
      </c>
      <c r="AK125" s="405">
        <f t="shared" si="57"/>
        <v>44835</v>
      </c>
      <c r="AL125" s="405">
        <f t="shared" si="57"/>
        <v>45200</v>
      </c>
      <c r="AM125" s="405">
        <f t="shared" si="57"/>
        <v>45566</v>
      </c>
      <c r="AN125" s="405">
        <f t="shared" si="57"/>
        <v>45931</v>
      </c>
      <c r="AO125" s="405">
        <f t="shared" si="57"/>
        <v>46296</v>
      </c>
      <c r="AP125" s="405">
        <f t="shared" si="57"/>
        <v>46661</v>
      </c>
      <c r="AQ125" s="405">
        <f t="shared" si="57"/>
        <v>47027</v>
      </c>
      <c r="AR125" s="405">
        <f t="shared" si="57"/>
        <v>47392</v>
      </c>
      <c r="AS125" s="405">
        <f t="shared" ref="AS125:AY127" si="58">+AA125</f>
        <v>47757</v>
      </c>
      <c r="AT125" s="405">
        <f t="shared" si="58"/>
        <v>48122</v>
      </c>
      <c r="AU125" s="405">
        <f t="shared" si="58"/>
        <v>48488</v>
      </c>
      <c r="AV125" s="405">
        <f t="shared" si="58"/>
        <v>48853</v>
      </c>
      <c r="AW125" s="405">
        <f t="shared" si="58"/>
        <v>49218</v>
      </c>
      <c r="AX125" s="405">
        <f t="shared" si="58"/>
        <v>49583</v>
      </c>
      <c r="AY125" s="405">
        <f t="shared" si="58"/>
        <v>49949</v>
      </c>
      <c r="AZ125" s="211"/>
    </row>
    <row r="126" spans="1:52" ht="23.25" customHeight="1">
      <c r="A126" s="215" t="s">
        <v>149</v>
      </c>
      <c r="B126" s="575"/>
      <c r="C126" s="575"/>
      <c r="D126" s="575"/>
      <c r="E126" s="575"/>
      <c r="F126" s="575"/>
      <c r="G126" s="575"/>
      <c r="H126" s="575"/>
      <c r="I126" s="575"/>
      <c r="J126" s="575"/>
      <c r="K126" s="575"/>
      <c r="L126" s="576"/>
      <c r="P126" s="207">
        <f t="shared" si="48"/>
        <v>1</v>
      </c>
      <c r="Q126" s="405">
        <f>Sheet1!$T$9</f>
        <v>44469</v>
      </c>
      <c r="R126" s="405">
        <f>Sheet1!$U$9</f>
        <v>44834</v>
      </c>
      <c r="S126" s="405">
        <f>Sheet1!$V$9</f>
        <v>45199</v>
      </c>
      <c r="T126" s="405">
        <f>Sheet1!$W$9</f>
        <v>45565</v>
      </c>
      <c r="U126" s="405">
        <f>Sheet1!$X$9</f>
        <v>45930</v>
      </c>
      <c r="V126" s="405">
        <f>Sheet1!$Y$9</f>
        <v>46295</v>
      </c>
      <c r="W126" s="405">
        <f>Sheet1!$Z$9</f>
        <v>46660</v>
      </c>
      <c r="X126" s="405">
        <f>Sheet1!$AA$9</f>
        <v>47026</v>
      </c>
      <c r="Y126" s="405">
        <f>Sheet1!$AB$9</f>
        <v>47391</v>
      </c>
      <c r="Z126" s="405">
        <f>Sheet1!$AC$9</f>
        <v>47756</v>
      </c>
      <c r="AA126" s="405">
        <f>$AA$6</f>
        <v>48121</v>
      </c>
      <c r="AB126" s="405">
        <f>$AB$6</f>
        <v>48487</v>
      </c>
      <c r="AC126" s="405">
        <f>$AC$6</f>
        <v>48852</v>
      </c>
      <c r="AD126" s="405">
        <f>$AD$6</f>
        <v>49217</v>
      </c>
      <c r="AE126" s="405">
        <f>$AE$6</f>
        <v>49582</v>
      </c>
      <c r="AF126" s="405">
        <f>$AF$6</f>
        <v>49948</v>
      </c>
      <c r="AG126" s="405">
        <f>$AG$6</f>
        <v>50313</v>
      </c>
      <c r="AH126" s="211"/>
      <c r="AI126" s="405">
        <f t="shared" si="57"/>
        <v>44469</v>
      </c>
      <c r="AJ126" s="405">
        <f t="shared" si="57"/>
        <v>44834</v>
      </c>
      <c r="AK126" s="405">
        <f t="shared" si="57"/>
        <v>45199</v>
      </c>
      <c r="AL126" s="405">
        <f t="shared" si="57"/>
        <v>45565</v>
      </c>
      <c r="AM126" s="405">
        <f t="shared" si="57"/>
        <v>45930</v>
      </c>
      <c r="AN126" s="405">
        <f t="shared" si="57"/>
        <v>46295</v>
      </c>
      <c r="AO126" s="405">
        <f t="shared" si="57"/>
        <v>46660</v>
      </c>
      <c r="AP126" s="405">
        <f t="shared" si="57"/>
        <v>47026</v>
      </c>
      <c r="AQ126" s="405">
        <f t="shared" si="57"/>
        <v>47391</v>
      </c>
      <c r="AR126" s="405">
        <f t="shared" si="57"/>
        <v>47756</v>
      </c>
      <c r="AS126" s="405">
        <f t="shared" si="58"/>
        <v>48121</v>
      </c>
      <c r="AT126" s="405">
        <f t="shared" si="58"/>
        <v>48487</v>
      </c>
      <c r="AU126" s="405">
        <f t="shared" si="58"/>
        <v>48852</v>
      </c>
      <c r="AV126" s="405">
        <f t="shared" si="58"/>
        <v>49217</v>
      </c>
      <c r="AW126" s="405">
        <f t="shared" si="58"/>
        <v>49582</v>
      </c>
      <c r="AX126" s="405">
        <f t="shared" si="58"/>
        <v>49948</v>
      </c>
      <c r="AY126" s="405">
        <f t="shared" si="58"/>
        <v>50313</v>
      </c>
      <c r="AZ126" s="211"/>
    </row>
    <row r="127" spans="1:52" ht="12.75" customHeight="1">
      <c r="A127" s="216"/>
      <c r="B127" s="217"/>
      <c r="C127" s="217"/>
      <c r="D127" s="217"/>
      <c r="E127" s="217"/>
      <c r="F127" s="217"/>
      <c r="G127" s="217"/>
      <c r="H127" s="217"/>
      <c r="I127" s="217"/>
      <c r="J127" s="217"/>
      <c r="K127" s="217"/>
      <c r="L127" s="218"/>
      <c r="P127" s="207">
        <f t="shared" si="48"/>
        <v>1</v>
      </c>
      <c r="Q127" s="406">
        <f>IF(IF(Q126&lt;$E$44,0,DATEDIF($E$44,Q126+1,"m"))&lt;0,0,IF(Q126&lt;$E$44,0,DATEDIF($E$44,Q126+1,"m")))</f>
        <v>0</v>
      </c>
      <c r="R127" s="406">
        <f>IF(IF(Q127=12,0,IF(R126&gt;E45,12-DATEDIF(E45,R126+1,"m"),IF(R126&lt;E44,0,DATEDIF(E44,R126+1,"m"))))&lt;0,0,IF(Q127=12,0,IF(R126&gt;E45,12-DATEDIF(E45,R126+1,"m"),IF(R126&lt;E44,0,DATEDIF(E44,R126+1,"m")))))</f>
        <v>0</v>
      </c>
      <c r="S127" s="406">
        <f>IF(IF(Q127+R127=12,0,IF(S126&gt;E45,12-DATEDIF(E45,S126+1,"m"),IF(S126&lt;E44,0,DATEDIF(E44,S126+1,"m"))))&lt;0,0,IF(Q127+R127=12,0,IF(S126&gt;E45,12-DATEDIF(E45,S126+1,"m"),IF(S126&lt;E44,0,DATEDIF(E44,S126+1,"m")))))</f>
        <v>0</v>
      </c>
      <c r="T127" s="406">
        <f>IF(IF(R127+S127+Q127=12,0,IF(T126&gt;E45,12-DATEDIF(E45,T126+1,"m"),IF(T126&lt;E44,0,DATEDIF(E44,T126+1,"m"))))&lt;0,0,IF(R127+S127+Q127=12,0,IF(T126&gt;E45,12-DATEDIF(E45,T126+1,"m"),IF(T126&lt;E44,0,DATEDIF(E44,T126+1,"m")))))</f>
        <v>0</v>
      </c>
      <c r="U127" s="406">
        <f>IF(IF(S127+T127+R127+Q127=12,0,IF(U126&gt;E45,12-DATEDIF(E45,U126+1,"m"),IF(U126&lt;E44,0,DATEDIF(E44,U126+1,"m"))))&lt;0,0,IF(S127+T127+R127+Q127=12,0,IF(U126&gt;E45,12-DATEDIF(E45,U126+1,"m"),IF(U126&lt;E44,0,DATEDIF(E44,U126+1,"m")))))</f>
        <v>0</v>
      </c>
      <c r="V127" s="406">
        <f>IF(IF(T127+U127+S127+R127+Q127=12,0,IF(V126&gt;E45,12-DATEDIF(E45,V126+1,"m"),IF(V126&lt;E44,0,DATEDIF(E44,V126+1,"m"))))&lt;0,0,IF(T127+U127+S127+R127+Q127=12,0,IF(V126&gt;E45,12-DATEDIF(E45,V126+1,"m"),IF(V126&lt;E44,0,DATEDIF(E44,V126+1,"m")))))</f>
        <v>0</v>
      </c>
      <c r="W127" s="406">
        <f>IF(IF(U127+V127+T127+S127+R127+Q127=12,0,IF(W126&gt;E45,12-DATEDIF(E45,W126+1,"m"),IF(W126&lt;E44,0,DATEDIF(E44,W126+1,"m"))))&lt;0,0,IF(U127+V127+T127+S127+R127+Q127=12,0,IF(W126&gt;E45,12-DATEDIF(E45,W126+1,"m"),IF(W126&lt;E44,0,DATEDIF(E44,W126+1,"m")))))</f>
        <v>0</v>
      </c>
      <c r="X127" s="406">
        <f>IF(IF(V127+W127+U127+T127+S127+R127+Q127=12,0,IF(X126&gt;E45,12-DATEDIF(E45,X126+1,"m"),IF(X126&lt;E44,0,DATEDIF(E44,X126+1,"m"))))&lt;0,0,IF(V127+W127+U127+T127+S127+R127+Q127=12,0,IF(X126&gt;E45,12-DATEDIF(E45,X126+1,"m"),IF(X126&lt;E44,0,DATEDIF(E44,X126+1,"m")))))</f>
        <v>0</v>
      </c>
      <c r="Y127" s="406">
        <f>IF(IF(W127+X127+V127+U127+T127+S127+R127=12,0,IF(Y126&gt;F45,12-DATEDIF(F45,Y126+1,"m"),IF(Y126&lt;F44,0,DATEDIF(F44,Y126+1,"m"))))&lt;0,0,IF(W127+X127+V127+U127+T127+S127+R127=12,0,IF(Y126&gt;F45,12-DATEDIF(F45,Y126+1,"m"),IF(Y126&lt;F44,0,DATEDIF(F44,Y126+1,"m")))))</f>
        <v>0</v>
      </c>
      <c r="Z127" s="406">
        <f>IF(IF(X127+Y127+W127+V127+U127+T127+S127=12,0,IF(Z126&gt;G45,12-DATEDIF(G45,Z126+1,"m"),IF(Z126&lt;G44,0,DATEDIF(G44,Z126+1,"m"))))&lt;0,0,IF(X127+Y127+W127+V127+U127+T127+S127=12,0,IF(Z126&gt;G45,12-DATEDIF(G45,Z126+1,"m"),IF(Z126&lt;G44,0,DATEDIF(G44,Z126+1,"m")))))</f>
        <v>0</v>
      </c>
      <c r="AA127" s="406"/>
      <c r="AB127" s="406"/>
      <c r="AC127" s="406"/>
      <c r="AD127" s="406"/>
      <c r="AE127" s="406"/>
      <c r="AF127" s="406"/>
      <c r="AG127" s="406"/>
      <c r="AH127" s="423">
        <f>SUM(Q127:AG127)</f>
        <v>0</v>
      </c>
      <c r="AI127" s="406">
        <f t="shared" si="57"/>
        <v>0</v>
      </c>
      <c r="AJ127" s="406">
        <f t="shared" si="57"/>
        <v>0</v>
      </c>
      <c r="AK127" s="406">
        <f t="shared" si="57"/>
        <v>0</v>
      </c>
      <c r="AL127" s="406">
        <f t="shared" si="57"/>
        <v>0</v>
      </c>
      <c r="AM127" s="406">
        <f t="shared" si="57"/>
        <v>0</v>
      </c>
      <c r="AN127" s="406">
        <f t="shared" si="57"/>
        <v>0</v>
      </c>
      <c r="AO127" s="406">
        <f t="shared" si="57"/>
        <v>0</v>
      </c>
      <c r="AP127" s="406">
        <f t="shared" si="57"/>
        <v>0</v>
      </c>
      <c r="AQ127" s="406">
        <f t="shared" si="57"/>
        <v>0</v>
      </c>
      <c r="AR127" s="406">
        <f t="shared" si="57"/>
        <v>0</v>
      </c>
      <c r="AS127" s="406">
        <f t="shared" si="58"/>
        <v>0</v>
      </c>
      <c r="AT127" s="406">
        <f t="shared" si="58"/>
        <v>0</v>
      </c>
      <c r="AU127" s="406">
        <f t="shared" si="58"/>
        <v>0</v>
      </c>
      <c r="AV127" s="406">
        <f t="shared" si="58"/>
        <v>0</v>
      </c>
      <c r="AW127" s="406">
        <f t="shared" si="58"/>
        <v>0</v>
      </c>
      <c r="AX127" s="406">
        <f t="shared" si="58"/>
        <v>0</v>
      </c>
      <c r="AY127" s="406">
        <f t="shared" si="58"/>
        <v>0</v>
      </c>
      <c r="AZ127" s="219">
        <f>SUM(AI127:AY127)</f>
        <v>0</v>
      </c>
    </row>
    <row r="128" spans="1:52" ht="12.75" customHeight="1">
      <c r="A128" s="216"/>
      <c r="B128" s="175" t="s">
        <v>81</v>
      </c>
      <c r="C128" s="175" t="s">
        <v>82</v>
      </c>
      <c r="D128" s="175" t="s">
        <v>83</v>
      </c>
      <c r="E128" s="175" t="s">
        <v>84</v>
      </c>
      <c r="F128" s="175" t="s">
        <v>85</v>
      </c>
      <c r="G128" s="175" t="s">
        <v>86</v>
      </c>
      <c r="H128" s="175" t="s">
        <v>87</v>
      </c>
      <c r="I128" s="175" t="s">
        <v>224</v>
      </c>
      <c r="J128" s="175" t="s">
        <v>225</v>
      </c>
      <c r="K128" s="175" t="s">
        <v>226</v>
      </c>
      <c r="L128" s="220" t="s">
        <v>47</v>
      </c>
      <c r="P128" s="207">
        <f t="shared" si="48"/>
        <v>1</v>
      </c>
      <c r="Q128" s="407">
        <f>IF(Q127=0,0,(IF(($C$50+$B$50+$D$50+$E$50)&lt;=25000,(($E$50/+$AH$127)*Q127)*VLOOKUP('1. SUMMARY'!$C$20,rate,Sheet1!T$21,0),((IF(($B$50+$C$50+$D$50)&gt;=25000,0,(((25000-($B$50+$C$50+$D$50))/+$AH$127)*Q127)*(VLOOKUP('1. SUMMARY'!$C$20,rate,Sheet1!T$21,0))))))))</f>
        <v>0</v>
      </c>
      <c r="R128" s="407">
        <f>IF(R127=0,0,(IF(($C$50+$B$50+$D$50+$E$50)&lt;=25000,(($E$50/+$AH$127)*R127)*VLOOKUP('1. SUMMARY'!$C$20,rate,Sheet1!U$21,0),((IF(($B$50+$C$50+$D$50)&gt;=25000,0,(((25000-($B$50+$C$50+$D$50))/+$AH$127)*R127)*(VLOOKUP('1. SUMMARY'!$C$20,rate,Sheet1!U$21,0))))))))</f>
        <v>0</v>
      </c>
      <c r="S128" s="407">
        <f>IF(S127=0,0,(IF(($C$50+$B$50+$D$50+$E$50)&lt;=25000,(($E$50/+$AH$127)*S127)*VLOOKUP('1. SUMMARY'!$C$20,rate,Sheet1!V$21,0),((IF(($B$50+$C$50+$D$50)&gt;=25000,0,(((25000-($B$50+$C$50+$D$50))/+$AH$127)*S127)*(VLOOKUP('1. SUMMARY'!$C$20,rate,Sheet1!V$21,0))))))))</f>
        <v>0</v>
      </c>
      <c r="T128" s="407">
        <f>IF(T127=0,0,(IF(($C$50+$B$50+$D$50+$E$50)&lt;=25000,(($E$50/+$AH$127)*T127)*VLOOKUP('1. SUMMARY'!$C$20,rate,Sheet1!W$21,0),((IF(($B$50+$C$50+$D$50)&gt;=25000,0,(((25000-($B$50+$C$50+$D$50))/+$AH$127)*T127)*(VLOOKUP('1. SUMMARY'!$C$20,rate,Sheet1!W$21,0))))))))</f>
        <v>0</v>
      </c>
      <c r="U128" s="407">
        <f>IF(U127=0,0,(IF(($C$50+$B$50+$D$50+$E$50)&lt;=25000,(($E$50/+$AH$127)*U127)*VLOOKUP('1. SUMMARY'!$C$20,rate,Sheet1!X$21,0),((IF(($B$50+$C$50+$D$50)&gt;=25000,0,(((25000-($B$50+$C$50+$D$50))/+$AH$127)*U127)*(VLOOKUP('1. SUMMARY'!$C$20,rate,Sheet1!X$21,0))))))))</f>
        <v>0</v>
      </c>
      <c r="V128" s="407">
        <f>IF(V127=0,0,(IF(($C$50+$B$50+$D$50+$E$50)&lt;=25000,(($E$50/+$AH$127)*V127)*VLOOKUP('1. SUMMARY'!$C$20,rate,Sheet1!Y$21,0),((IF(($B$50+$C$50+$D$50)&gt;=25000,0,(((25000-($B$50+$C$50+$D$50))/+$AH$127)*V127)*(VLOOKUP('1. SUMMARY'!$C$20,rate,Sheet1!Y$21,0))))))))</f>
        <v>0</v>
      </c>
      <c r="W128" s="407">
        <f>IF(W127=0,0,(IF(($C$50+$B$50+$D$50+$E$50)&lt;=25000,(($E$50/+$AH$127)*W127)*VLOOKUP('1. SUMMARY'!$C$20,rate,Sheet1!Z$21,0),((IF(($B$50+$C$50+$D$50)&gt;=25000,0,(((25000-($B$50+$C$50+$D$50))/+$AH$127)*W127)*(VLOOKUP('1. SUMMARY'!$C$20,rate,Sheet1!Z$21,0))))))))</f>
        <v>0</v>
      </c>
      <c r="X128" s="407">
        <f>IF(X127=0,0,(IF(($C$50+$B$50+$D$50+$E$50)&lt;=25000,(($E$50/+$AH$127)*X127)*VLOOKUP('1. SUMMARY'!$C$20,rate,Sheet1!AA$21,0),((IF(($B$50+$C$50+$D$50)&gt;=25000,0,(((25000-($B$50+$C$50+$D$50))/+$AH$127)*X127)*(VLOOKUP('1. SUMMARY'!$C$20,rate,Sheet1!AA$21,0))))))))</f>
        <v>0</v>
      </c>
      <c r="Y128" s="407">
        <f>IF(Y127=0,0,(IF(($C$50+$B$50+$D$50+$E$50)&lt;=25000,(($E$50/+$AH$127)*Y127)*VLOOKUP('1. SUMMARY'!$C$20,rate,Sheet1!AB$21,0),((IF(($B$50+$C$50+$D$50)&gt;=25000,0,(((25000-($B$50+$C$50+$D$50))/+$AH$127)*Y127)*(VLOOKUP('1. SUMMARY'!$C$20,rate,Sheet1!AB$21,0))))))))</f>
        <v>0</v>
      </c>
      <c r="Z128" s="407">
        <f>IF(Z127=0,0,(IF(($C$50+$B$50+$D$50+$E$50)&lt;=25000,(($E$50/+$AH$127)*Z127)*VLOOKUP('1. SUMMARY'!$C$20,rate,Sheet1!AC$21,0),((IF(($B$50+$C$50+$D$50)&gt;=25000,0,(((25000-($B$50+$C$50+$D$50))/+$AH$127)*Z127)*(VLOOKUP('1. SUMMARY'!$C$20,rate,Sheet1!AC$21,0))))))))</f>
        <v>0</v>
      </c>
      <c r="AA128" s="407">
        <f>IF(AA127=0,0,(IF(($C$50+$B$50+$D$50+$E$50)&lt;=25000,(($E$50/+$AH$127)*AA127)*VLOOKUP('1. SUMMARY'!$C$20,rate,Sheet1!AD$21,0),((IF(($B$50+$C$50+$D$50)&gt;=25000,0,(((25000-($B$50+$C$50+$D$50))/+$AH$127)*AA127)*(VLOOKUP('1. SUMMARY'!$C$20,rate,Sheet1!AD$21,0))))))))</f>
        <v>0</v>
      </c>
      <c r="AB128" s="407"/>
      <c r="AC128" s="407"/>
      <c r="AD128" s="407"/>
      <c r="AE128" s="407"/>
      <c r="AF128" s="407"/>
      <c r="AG128" s="407"/>
      <c r="AH128" s="219">
        <f>SUM(Q128:AG128)</f>
        <v>0</v>
      </c>
      <c r="AI128" s="407">
        <f>IF(AI127=0,0,((+$E50/$AZ$22)*AI127)*VLOOKUP('1. SUMMARY'!$C$20,rate,Sheet1!T$21,0))</f>
        <v>0</v>
      </c>
      <c r="AJ128" s="407">
        <f>IF(AJ127=0,0,((+$E50/$AZ$22)*AJ127)*VLOOKUP('1. SUMMARY'!$C$20,rate,Sheet1!U$21,0))</f>
        <v>0</v>
      </c>
      <c r="AK128" s="407">
        <f>IF(AK127=0,0,((+$E50/$AZ$22)*AK127)*VLOOKUP('1. SUMMARY'!$C$20,rate,Sheet1!V$21,0))</f>
        <v>0</v>
      </c>
      <c r="AL128" s="407">
        <f>IF(AL127=0,0,((+$E50/$AZ$22)*AL127)*VLOOKUP('1. SUMMARY'!$C$20,rate,Sheet1!W$21,0))</f>
        <v>0</v>
      </c>
      <c r="AM128" s="407">
        <f>IF(AM127=0,0,((+$E50/$AZ$22)*AM127)*VLOOKUP('1. SUMMARY'!$C$20,rate,Sheet1!X$21,0))</f>
        <v>0</v>
      </c>
      <c r="AN128" s="407">
        <f>IF(AN127=0,0,((+$E50/$AZ$22)*AN127)*VLOOKUP('1. SUMMARY'!$C$20,rate,Sheet1!Y$21,0))</f>
        <v>0</v>
      </c>
      <c r="AO128" s="407">
        <f>IF(AO127=0,0,((+$E50/$AZ$22)*AO127)*VLOOKUP('1. SUMMARY'!$C$20,rate,Sheet1!Z$21,0))</f>
        <v>0</v>
      </c>
      <c r="AP128" s="407">
        <f>IF(AP127=0,0,((+$E50/$AZ$22)*AP127)*VLOOKUP('1. SUMMARY'!$C$20,rate,Sheet1!AA$21,0))</f>
        <v>0</v>
      </c>
      <c r="AQ128" s="407">
        <f>IF(AQ127=0,0,((+$E50/$AZ$22)*AQ127)*VLOOKUP('1. SUMMARY'!$C$20,rate,Sheet1!AB$21,0))</f>
        <v>0</v>
      </c>
      <c r="AR128" s="407">
        <f>IF(AR127=0,0,((+$E50/$AZ$22)*AR127)*VLOOKUP('1. SUMMARY'!$C$20,rate,Sheet1!AC$21,0))</f>
        <v>0</v>
      </c>
      <c r="AS128" s="407">
        <f>IF(AS127=0,0,((+$E50/$AZ$22)*AS127)*VLOOKUP('1. SUMMARY'!$C$20,rate,Sheet1!AD$21,0))</f>
        <v>0</v>
      </c>
      <c r="AT128" s="407">
        <f>IF(AT127=0,0,((+$E50/$AZ$22)*AT127)*VLOOKUP('1. SUMMARY'!$C$20,rate,Sheet1!AE$21,0))</f>
        <v>0</v>
      </c>
      <c r="AU128" s="407">
        <f>IF(AU127=0,0,((+$E50/$AZ$22)*AU127)*VLOOKUP('1. SUMMARY'!$C$20,rate,Sheet1!AF$21,0))</f>
        <v>0</v>
      </c>
      <c r="AV128" s="407">
        <f>IF(AV127=0,0,((+$E50/$AZ$22)*AV127)*VLOOKUP('1. SUMMARY'!$C$20,rate,Sheet1!AG$21,0))</f>
        <v>0</v>
      </c>
      <c r="AW128" s="407">
        <f>IF(AW127=0,0,((+$E50/$AZ$22)*AW127)*VLOOKUP('1. SUMMARY'!$C$20,rate,Sheet1!AH$21,0))</f>
        <v>0</v>
      </c>
      <c r="AX128" s="407">
        <f>IF(AX127=0,0,((+$E50/$AZ$22)*AX127)*VLOOKUP('1. SUMMARY'!$C$20,rate,Sheet1!AI$21,0))</f>
        <v>0</v>
      </c>
      <c r="AY128" s="407">
        <f>IF(AY127=0,0,((+$E50/$AZ$22)*AY127)*VLOOKUP('1. SUMMARY'!$C$20,rate,Sheet1!AJ$21,0))</f>
        <v>0</v>
      </c>
      <c r="AZ128" s="219">
        <f>SUM(AI128:AY128)</f>
        <v>0</v>
      </c>
    </row>
    <row r="129" spans="1:52" ht="12.75" customHeight="1">
      <c r="A129" s="221"/>
      <c r="B129" s="222">
        <f>'1. SUMMARY'!C17</f>
        <v>0</v>
      </c>
      <c r="C129" s="222" t="str">
        <f>IF(+B130+1&gt;'1. SUMMARY'!$C$18,"No "&amp;C128,+B130+1)</f>
        <v>No Year 2</v>
      </c>
      <c r="D129" s="222" t="str">
        <f>IF(C129="No "&amp;C128,"No "&amp;D128,IF(+C130+1&gt;'1. SUMMARY'!$C$18,"No "&amp;D128,+C130+1))</f>
        <v>No Year 3</v>
      </c>
      <c r="E129" s="222" t="str">
        <f>IF(D129="No "&amp;D128,"No "&amp;E128,IF(+D130+1&gt;'1. SUMMARY'!$C$18,"No "&amp;E128,+D130+1))</f>
        <v>No Year 4</v>
      </c>
      <c r="F129" s="222" t="str">
        <f>IF(E129="No "&amp;E128,"No "&amp;F128,IF(+E130+1&gt;'1. SUMMARY'!$C$18,"No "&amp;F128,+E130+1))</f>
        <v>No Year 5</v>
      </c>
      <c r="G129" s="222" t="str">
        <f>IF(F129="No "&amp;F128,"No "&amp;G128,IF(+F130+1&gt;'1. SUMMARY'!$C$18,"No "&amp;G128,+F130+1))</f>
        <v>No Year 6</v>
      </c>
      <c r="H129" s="222" t="str">
        <f>IF(G129="No "&amp;G128,"No "&amp;H128,IF(+G130+1&gt;'1. SUMMARY'!$C$18,"No "&amp;H128,+G130+1))</f>
        <v>No Year 7</v>
      </c>
      <c r="I129" s="222" t="str">
        <f>IF(H129="No "&amp;H128,"No "&amp;I128,IF(+H130+1&gt;'1. SUMMARY'!$C$18,"No "&amp;I128,+H130+1))</f>
        <v>No Year 8</v>
      </c>
      <c r="J129" s="222" t="str">
        <f>IF(I129="No "&amp;I128,"No "&amp;J128,IF(+I130+1&gt;'1. SUMMARY'!$C$18,"No "&amp;J128,+I130+1))</f>
        <v>No Year 9</v>
      </c>
      <c r="K129" s="222" t="str">
        <f>IF(J129="No "&amp;J128,"No "&amp;K128,IF(+J130+1&gt;'1. SUMMARY'!$C$18,"No "&amp;K128,+J130+1))</f>
        <v>No Year 10</v>
      </c>
      <c r="L129" s="223"/>
      <c r="P129" s="207">
        <f t="shared" si="48"/>
        <v>1</v>
      </c>
      <c r="Q129" s="407">
        <f>+Q128/VLOOKUP('1. SUMMARY'!$C$20,rate,Sheet1!T$21,0)</f>
        <v>0</v>
      </c>
      <c r="R129" s="407">
        <f>+R128/VLOOKUP('1. SUMMARY'!$C$20,rate,Sheet1!U$21,0)</f>
        <v>0</v>
      </c>
      <c r="S129" s="407">
        <f>+S128/VLOOKUP('1. SUMMARY'!$C$20,rate,Sheet1!V$21,0)</f>
        <v>0</v>
      </c>
      <c r="T129" s="407">
        <f>+T128/VLOOKUP('1. SUMMARY'!$C$20,rate,Sheet1!W$21,0)</f>
        <v>0</v>
      </c>
      <c r="U129" s="407">
        <f>+U128/VLOOKUP('1. SUMMARY'!$C$20,rate,Sheet1!X$21,0)</f>
        <v>0</v>
      </c>
      <c r="V129" s="407">
        <f>+V128/VLOOKUP('1. SUMMARY'!$C$20,rate,Sheet1!Y$21,0)</f>
        <v>0</v>
      </c>
      <c r="W129" s="407">
        <f>+W128/VLOOKUP('1. SUMMARY'!$C$20,rate,Sheet1!Z$21,0)</f>
        <v>0</v>
      </c>
      <c r="X129" s="407">
        <f>+X128/VLOOKUP('1. SUMMARY'!$C$20,rate,Sheet1!AA$21,0)</f>
        <v>0</v>
      </c>
      <c r="Y129" s="407">
        <f>+Y128/VLOOKUP('1. SUMMARY'!$C$20,rate,Sheet1!AB$21,0)</f>
        <v>0</v>
      </c>
      <c r="Z129" s="407">
        <f>+Z128/VLOOKUP('1. SUMMARY'!$C$20,rate,Sheet1!AC$21,0)</f>
        <v>0</v>
      </c>
      <c r="AA129" s="407">
        <f>+AA128/VLOOKUP('1. SUMMARY'!$C$20,rate,Sheet1!AD$21,0)</f>
        <v>0</v>
      </c>
      <c r="AB129" s="407">
        <f>+AB128/VLOOKUP('1. SUMMARY'!$C$20,rate,Sheet1!AE$21,0)</f>
        <v>0</v>
      </c>
      <c r="AC129" s="407">
        <f>+AC128/VLOOKUP('1. SUMMARY'!$C$20,rate,Sheet1!AF$21,0)</f>
        <v>0</v>
      </c>
      <c r="AD129" s="407">
        <f>+AD128/VLOOKUP('1. SUMMARY'!$C$20,rate,Sheet1!AG$21,0)</f>
        <v>0</v>
      </c>
      <c r="AE129" s="407">
        <f>+AE128/VLOOKUP('1. SUMMARY'!$C$20,rate,Sheet1!AH$21,0)</f>
        <v>0</v>
      </c>
      <c r="AF129" s="407">
        <f>+AF128/VLOOKUP('1. SUMMARY'!$C$20,rate,Sheet1!AI$21,0)</f>
        <v>0</v>
      </c>
      <c r="AG129" s="407">
        <f>+AG128/VLOOKUP('1. SUMMARY'!$C$20,rate,Sheet1!AJ$21,0)</f>
        <v>0</v>
      </c>
      <c r="AH129" s="219"/>
      <c r="AI129" s="407">
        <v>0</v>
      </c>
      <c r="AJ129" s="407">
        <v>0</v>
      </c>
      <c r="AK129" s="407">
        <v>0</v>
      </c>
      <c r="AL129" s="407">
        <v>0</v>
      </c>
      <c r="AM129" s="407">
        <v>0</v>
      </c>
      <c r="AN129" s="407">
        <v>0</v>
      </c>
      <c r="AO129" s="407">
        <v>0</v>
      </c>
      <c r="AP129" s="407">
        <v>0</v>
      </c>
      <c r="AQ129" s="407"/>
      <c r="AR129" s="407"/>
      <c r="AS129" s="407"/>
      <c r="AT129" s="407"/>
      <c r="AU129" s="407"/>
      <c r="AV129" s="407"/>
      <c r="AW129" s="407"/>
      <c r="AX129" s="407"/>
      <c r="AY129" s="407"/>
      <c r="AZ129" s="219"/>
    </row>
    <row r="130" spans="1:52" ht="12.75" customHeight="1">
      <c r="A130" s="221"/>
      <c r="B130" s="224">
        <f>IF((DATE(YEAR(B129), MONTH(B129)+12, DAY(B129)-1))&lt;=('1. SUMMARY'!$C$18),DATE(YEAR(B129), MONTH(B129)+12, DAY(B129)-1),'1. SUMMARY'!$C$18)</f>
        <v>0</v>
      </c>
      <c r="C130" s="224" t="str">
        <f>IF(C129="No "&amp;C128,"No "&amp;C128,IF(B130='1. SUMMARY'!B131,"a",IF((DATE(YEAR(C129),MONTH(C129)+12,DAY(C129)-1))&lt;=('1. SUMMARY'!$C$18),DATE(YEAR(C129),MONTH(C129)+12,DAY(C129)-1),'1. SUMMARY'!$C$18)))</f>
        <v>No Year 2</v>
      </c>
      <c r="D130" s="224" t="str">
        <f>IF(D129="No "&amp;D128,"No "&amp;D128,IF(C130='1. SUMMARY'!C131,"a",IF((DATE(YEAR(D129),MONTH(D129)+12,DAY(D129)-1))&lt;=('1. SUMMARY'!$C$18),DATE(YEAR(D129),MONTH(D129)+12,DAY(D129)-1),'1. SUMMARY'!$C$18)))</f>
        <v>No Year 3</v>
      </c>
      <c r="E130" s="224" t="str">
        <f>IF(E129="No "&amp;E128,"No "&amp;E128,IF(D130='1. SUMMARY'!E131,"a",IF((DATE(YEAR(E129),MONTH(E129)+12,DAY(E129)-1))&lt;=('1. SUMMARY'!$C$18),DATE(YEAR(E129),MONTH(E129)+12,DAY(E129)-1),'1. SUMMARY'!$C$18)))</f>
        <v>No Year 4</v>
      </c>
      <c r="F130" s="224" t="str">
        <f>IF(F129="No "&amp;F128,"No "&amp;F128,IF(E130='1. SUMMARY'!F131,"a",IF((DATE(YEAR(F129),MONTH(F129)+12,DAY(F129)-1))&lt;=('1. SUMMARY'!$C$18),DATE(YEAR(F129),MONTH(F129)+12,DAY(F129)-1),'1. SUMMARY'!$C$18)))</f>
        <v>No Year 5</v>
      </c>
      <c r="G130" s="224" t="str">
        <f>IF(G129="No "&amp;G128,"No "&amp;G128,IF(F130='1. SUMMARY'!G131,"a",IF((DATE(YEAR(G129),MONTH(G129)+12,DAY(G129)-1))&lt;=('1. SUMMARY'!$C$18),DATE(YEAR(G129),MONTH(G129)+12,DAY(G129)-1),'1. SUMMARY'!$C$18)))</f>
        <v>No Year 6</v>
      </c>
      <c r="H130" s="224" t="str">
        <f>IF(H129="No "&amp;H128,"No "&amp;H128,IF(G130='1. SUMMARY'!H131,"a",IF((DATE(YEAR(H129),MONTH(H129)+12,DAY(H129)-1))&lt;=('1. SUMMARY'!$C$18),DATE(YEAR(H129),MONTH(H129)+12,DAY(H129)-1),'1. SUMMARY'!$C$18)))</f>
        <v>No Year 7</v>
      </c>
      <c r="I130" s="224" t="str">
        <f>IF(I129="No "&amp;I128,"No "&amp;I128,IF(H130='1. SUMMARY'!N131,"a",IF((DATE(YEAR(I129),MONTH(I129)+12,DAY(I129)-1))&lt;=('1. SUMMARY'!$C$18),DATE(YEAR(I129),MONTH(I129)+12,DAY(I129)-1),'1. SUMMARY'!$C$18)))</f>
        <v>No Year 8</v>
      </c>
      <c r="J130" s="224" t="str">
        <f>IF(J129="No "&amp;J128,"No "&amp;J128,IF(I130='1. SUMMARY'!O131,"a",IF((DATE(YEAR(J129),MONTH(J129)+12,DAY(J129)-1))&lt;=('1. SUMMARY'!$C$18),DATE(YEAR(J129),MONTH(J129)+12,DAY(J129)-1),'1. SUMMARY'!$C$18)))</f>
        <v>No Year 9</v>
      </c>
      <c r="K130" s="224" t="str">
        <f>IF(K129="No "&amp;K128,"No "&amp;K128,IF(J130='1. SUMMARY'!P129,"a",IF((DATE(YEAR(K129),MONTH(K129)+12,DAY(K129)-1))&lt;=('1. SUMMARY'!$C$18),DATE(YEAR(K129),MONTH(K129)+12,DAY(K129)-1),'1. SUMMARY'!$C$18)))</f>
        <v>No Year 10</v>
      </c>
      <c r="L130" s="218"/>
      <c r="P130" s="207">
        <f t="shared" si="48"/>
        <v>1</v>
      </c>
      <c r="Q130" s="408">
        <f>Sheet1!$T$8</f>
        <v>44105</v>
      </c>
      <c r="R130" s="408">
        <f>Sheet1!$U$8</f>
        <v>44470</v>
      </c>
      <c r="S130" s="408">
        <f>Sheet1!$V$8</f>
        <v>44835</v>
      </c>
      <c r="T130" s="408">
        <f>Sheet1!$W$8</f>
        <v>45200</v>
      </c>
      <c r="U130" s="408">
        <f>Sheet1!$X$8</f>
        <v>45566</v>
      </c>
      <c r="V130" s="408">
        <f>Sheet1!$Y$8</f>
        <v>45931</v>
      </c>
      <c r="W130" s="408">
        <f>Sheet1!$Z$8</f>
        <v>46296</v>
      </c>
      <c r="X130" s="408">
        <f>Sheet1!$AA$8</f>
        <v>46661</v>
      </c>
      <c r="Y130" s="408">
        <f>Sheet1!$AB$8</f>
        <v>47027</v>
      </c>
      <c r="Z130" s="408">
        <f>Sheet1!$AC$8</f>
        <v>47392</v>
      </c>
      <c r="AA130" s="408">
        <f>$AA$5</f>
        <v>47757</v>
      </c>
      <c r="AB130" s="408">
        <f>$AB$5</f>
        <v>48122</v>
      </c>
      <c r="AC130" s="408">
        <f>$AC$5</f>
        <v>48488</v>
      </c>
      <c r="AD130" s="408">
        <f>$AD$5</f>
        <v>48853</v>
      </c>
      <c r="AE130" s="408">
        <f>$AE$5</f>
        <v>49218</v>
      </c>
      <c r="AF130" s="408">
        <f>$AF$5</f>
        <v>49583</v>
      </c>
      <c r="AG130" s="408">
        <f>$AG$5</f>
        <v>49949</v>
      </c>
      <c r="AH130" s="211"/>
      <c r="AI130" s="408">
        <f t="shared" ref="AI130:AR132" si="59">+Q130</f>
        <v>44105</v>
      </c>
      <c r="AJ130" s="408">
        <f t="shared" si="59"/>
        <v>44470</v>
      </c>
      <c r="AK130" s="408">
        <f t="shared" si="59"/>
        <v>44835</v>
      </c>
      <c r="AL130" s="408">
        <f t="shared" si="59"/>
        <v>45200</v>
      </c>
      <c r="AM130" s="408">
        <f t="shared" si="59"/>
        <v>45566</v>
      </c>
      <c r="AN130" s="408">
        <f t="shared" si="59"/>
        <v>45931</v>
      </c>
      <c r="AO130" s="408">
        <f t="shared" si="59"/>
        <v>46296</v>
      </c>
      <c r="AP130" s="408">
        <f t="shared" si="59"/>
        <v>46661</v>
      </c>
      <c r="AQ130" s="408">
        <f t="shared" si="59"/>
        <v>47027</v>
      </c>
      <c r="AR130" s="408">
        <f t="shared" si="59"/>
        <v>47392</v>
      </c>
      <c r="AS130" s="408">
        <f t="shared" ref="AS130:AY132" si="60">+AA130</f>
        <v>47757</v>
      </c>
      <c r="AT130" s="408">
        <f t="shared" si="60"/>
        <v>48122</v>
      </c>
      <c r="AU130" s="408">
        <f t="shared" si="60"/>
        <v>48488</v>
      </c>
      <c r="AV130" s="408">
        <f t="shared" si="60"/>
        <v>48853</v>
      </c>
      <c r="AW130" s="408">
        <f t="shared" si="60"/>
        <v>49218</v>
      </c>
      <c r="AX130" s="408">
        <f t="shared" si="60"/>
        <v>49583</v>
      </c>
      <c r="AY130" s="408">
        <f t="shared" si="60"/>
        <v>49949</v>
      </c>
      <c r="AZ130" s="211"/>
    </row>
    <row r="131" spans="1:52" ht="12.75" customHeight="1">
      <c r="A131" s="216"/>
      <c r="B131" s="225"/>
      <c r="C131" s="225"/>
      <c r="D131" s="225"/>
      <c r="E131" s="225"/>
      <c r="F131" s="225"/>
      <c r="G131" s="225"/>
      <c r="H131" s="225"/>
      <c r="I131" s="225"/>
      <c r="J131" s="225"/>
      <c r="K131" s="225"/>
      <c r="L131" s="223"/>
      <c r="O131" s="207">
        <v>5</v>
      </c>
      <c r="P131" s="207">
        <f t="shared" si="48"/>
        <v>1</v>
      </c>
      <c r="Q131" s="408">
        <f>Sheet1!$T$9</f>
        <v>44469</v>
      </c>
      <c r="R131" s="408">
        <f>Sheet1!$U$9</f>
        <v>44834</v>
      </c>
      <c r="S131" s="408">
        <f>Sheet1!$V$9</f>
        <v>45199</v>
      </c>
      <c r="T131" s="408">
        <f>Sheet1!$W$9</f>
        <v>45565</v>
      </c>
      <c r="U131" s="408">
        <f>Sheet1!$X$9</f>
        <v>45930</v>
      </c>
      <c r="V131" s="408">
        <f>Sheet1!$Y$9</f>
        <v>46295</v>
      </c>
      <c r="W131" s="408">
        <f>Sheet1!$Z$9</f>
        <v>46660</v>
      </c>
      <c r="X131" s="408">
        <f>Sheet1!$AA$9</f>
        <v>47026</v>
      </c>
      <c r="Y131" s="408">
        <f>Sheet1!$AB$9</f>
        <v>47391</v>
      </c>
      <c r="Z131" s="408">
        <f>Sheet1!$AC$9</f>
        <v>47756</v>
      </c>
      <c r="AA131" s="408">
        <f>$AA$6</f>
        <v>48121</v>
      </c>
      <c r="AB131" s="408">
        <f>$AB$6</f>
        <v>48487</v>
      </c>
      <c r="AC131" s="408">
        <f>$AC$6</f>
        <v>48852</v>
      </c>
      <c r="AD131" s="408">
        <f>$AD$6</f>
        <v>49217</v>
      </c>
      <c r="AE131" s="408">
        <f>$AE$6</f>
        <v>49582</v>
      </c>
      <c r="AF131" s="408">
        <f>$AF$6</f>
        <v>49948</v>
      </c>
      <c r="AG131" s="408">
        <f>$AG$6</f>
        <v>50313</v>
      </c>
      <c r="AH131" s="211"/>
      <c r="AI131" s="408">
        <f t="shared" si="59"/>
        <v>44469</v>
      </c>
      <c r="AJ131" s="408">
        <f t="shared" si="59"/>
        <v>44834</v>
      </c>
      <c r="AK131" s="408">
        <f t="shared" si="59"/>
        <v>45199</v>
      </c>
      <c r="AL131" s="408">
        <f t="shared" si="59"/>
        <v>45565</v>
      </c>
      <c r="AM131" s="408">
        <f t="shared" si="59"/>
        <v>45930</v>
      </c>
      <c r="AN131" s="408">
        <f t="shared" si="59"/>
        <v>46295</v>
      </c>
      <c r="AO131" s="408">
        <f t="shared" si="59"/>
        <v>46660</v>
      </c>
      <c r="AP131" s="408">
        <f t="shared" si="59"/>
        <v>47026</v>
      </c>
      <c r="AQ131" s="408">
        <f t="shared" si="59"/>
        <v>47391</v>
      </c>
      <c r="AR131" s="408">
        <f t="shared" si="59"/>
        <v>47756</v>
      </c>
      <c r="AS131" s="408">
        <f t="shared" si="60"/>
        <v>48121</v>
      </c>
      <c r="AT131" s="408">
        <f t="shared" si="60"/>
        <v>48487</v>
      </c>
      <c r="AU131" s="408">
        <f t="shared" si="60"/>
        <v>48852</v>
      </c>
      <c r="AV131" s="408">
        <f t="shared" si="60"/>
        <v>49217</v>
      </c>
      <c r="AW131" s="408">
        <f t="shared" si="60"/>
        <v>49582</v>
      </c>
      <c r="AX131" s="408">
        <f t="shared" si="60"/>
        <v>49948</v>
      </c>
      <c r="AY131" s="408">
        <f t="shared" si="60"/>
        <v>50313</v>
      </c>
      <c r="AZ131" s="211"/>
    </row>
    <row r="132" spans="1:52" ht="12.75" customHeight="1">
      <c r="A132" s="226" t="s">
        <v>150</v>
      </c>
      <c r="B132" s="227"/>
      <c r="C132" s="227"/>
      <c r="D132" s="227"/>
      <c r="E132" s="227"/>
      <c r="F132" s="227"/>
      <c r="G132" s="228"/>
      <c r="H132" s="228"/>
      <c r="I132" s="228"/>
      <c r="J132" s="228"/>
      <c r="K132" s="228"/>
      <c r="L132" s="229">
        <f>SUM(B132:K132)</f>
        <v>0</v>
      </c>
      <c r="P132" s="207">
        <f t="shared" si="48"/>
        <v>1</v>
      </c>
      <c r="Q132" s="409">
        <f>IF(IF(Q131&lt;$F$44,0,DATEDIF($F$44,Q131+1,"m"))&lt;0,0,IF(Q131&lt;$F$44,0,DATEDIF($F$44,Q131+1,"m")))</f>
        <v>0</v>
      </c>
      <c r="R132" s="409">
        <f>IF(IF(Q132=12,0,IF(R131&gt;F45,12-DATEDIF(F45,R131+1,"m"),IF(R131&lt;F44,0,DATEDIF(F44,R131+1,"m"))))&lt;0,0,IF(Q132=12,0,IF(R131&gt;F45,12-DATEDIF(F45,R131+1,"m"),IF(R131&lt;F44,0,DATEDIF(F44,R131+1,"m")))))</f>
        <v>0</v>
      </c>
      <c r="S132" s="409">
        <f>IF(IF(Q132+R132=12,0,IF(S131&gt;F45,12-DATEDIF(F45,S131+1,"m"),IF(S131&lt;F44,0,DATEDIF(F44,S131+1,"m"))))&lt;0,0,IF(Q132+R132=12,0,IF(S131&gt;F45,12-DATEDIF(F45,S131+1,"m"),IF(S131&lt;F44,0,DATEDIF(F44,S131+1,"m")))))</f>
        <v>0</v>
      </c>
      <c r="T132" s="409">
        <f>IF(IF(R132+S132+Q132=12,0,IF(T131&gt;F45,12-DATEDIF(F45,T131+1,"m"),IF(T131&lt;F44,0,DATEDIF(F44,T131+1,"m"))))&lt;0,0,IF(R132+S132+Q132=12,0,IF(T131&gt;F45,12-DATEDIF(F45,T131+1,"m"),IF(T131&lt;F44,0,DATEDIF(F44,T131+1,"m")))))</f>
        <v>0</v>
      </c>
      <c r="U132" s="409">
        <f>IF(IF(S132+T132+R132+Q132=12,0,IF(U131&gt;F45,12-DATEDIF(F45,U131+1,"m"),IF(U131&lt;F44,0,DATEDIF(F44,U131+1,"m"))))&lt;0,0,IF(S132+T132+R132+Q132=12,0,IF(U131&gt;F45,12-DATEDIF(F45,U131+1,"m"),IF(U131&lt;F44,0,DATEDIF(F44,U131+1,"m")))))</f>
        <v>0</v>
      </c>
      <c r="V132" s="409">
        <f>IF(IF(T132+U132+S132+R132+Q132=12,0,IF(V131&gt;F45,12-DATEDIF(F45,V131+1,"m"),IF(V131&lt;F44,0,DATEDIF(F44,V131+1,"m"))))&lt;0,0,IF(T132+U132+S132+R132+Q132=12,0,IF(V131&gt;F45,12-DATEDIF(F45,V131+1,"m"),IF(V131&lt;F44,0,DATEDIF(F44,V131+1,"m")))))</f>
        <v>0</v>
      </c>
      <c r="W132" s="409">
        <f>IF(IF(U132+V132+T132+S132+R132+Q132=12,0,IF(W131&gt;F45,12-DATEDIF(F45,W131+1,"m"),IF(W131&lt;F44,0,DATEDIF(F44,W131+1,"m"))))&lt;0,0,IF(U132+V132+T132+S132+R132+Q132=12,0,IF(W131&gt;F45,12-DATEDIF(F45,W131+1,"m"),IF(W131&lt;F44,0,DATEDIF(F44,W131+1,"m")))))</f>
        <v>0</v>
      </c>
      <c r="X132" s="409">
        <f>IF(IF(V132+W132+U132+T132+S132+R132+Q132=12,0,IF(X131&gt;F45,12-DATEDIF(F45,X131+1,"m"),IF(X131&lt;F44,0,DATEDIF(F44,X131+1,"m"))))&lt;0,0,IF(V132+W132+U132+T132+S132+R132+Q132=12,0,IF(X131&gt;F45,12-DATEDIF(F45,X131+1,"m"),IF(X131&lt;F44,0,DATEDIF(F44,X131+1,"m")))))</f>
        <v>0</v>
      </c>
      <c r="Y132" s="409">
        <f>IF(IF(W132+X132+V132+U132+T132+S132+R132=12,0,IF(Y131&gt;G45,12-DATEDIF(G45,Y131+1,"m"),IF(Y131&lt;G44,0,DATEDIF(G44,Y131+1,"m"))))&lt;0,0,IF(W132+X132+V132+U132+T132+S132+R132=12,0,IF(Y131&gt;G45,12-DATEDIF(G45,Y131+1,"m"),IF(Y131&lt;G44,0,DATEDIF(G44,Y131+1,"m")))))</f>
        <v>0</v>
      </c>
      <c r="Z132" s="409">
        <f>IF(IF(X132+Y132+W132+V132+U132+T132+S132=12,0,IF(Z131&gt;H45,12-DATEDIF(H45,Z131+1,"m"),IF(Z131&lt;H44,0,DATEDIF(H44,Z131+1,"m"))))&lt;0,0,IF(X132+Y132+W132+V132+U132+T132+S132=12,0,IF(Z131&gt;H45,12-DATEDIF(H45,Z131+1,"m"),IF(Z131&lt;H44,0,DATEDIF(H44,Z131+1,"m")))))</f>
        <v>0</v>
      </c>
      <c r="AA132" s="409"/>
      <c r="AB132" s="409"/>
      <c r="AC132" s="409"/>
      <c r="AD132" s="409"/>
      <c r="AE132" s="409"/>
      <c r="AF132" s="409"/>
      <c r="AG132" s="409"/>
      <c r="AH132" s="423">
        <f>SUM(Q132:AG132)</f>
        <v>0</v>
      </c>
      <c r="AI132" s="409">
        <f t="shared" si="59"/>
        <v>0</v>
      </c>
      <c r="AJ132" s="409">
        <f t="shared" si="59"/>
        <v>0</v>
      </c>
      <c r="AK132" s="409">
        <f t="shared" si="59"/>
        <v>0</v>
      </c>
      <c r="AL132" s="409">
        <f t="shared" si="59"/>
        <v>0</v>
      </c>
      <c r="AM132" s="409">
        <f t="shared" si="59"/>
        <v>0</v>
      </c>
      <c r="AN132" s="409">
        <f t="shared" si="59"/>
        <v>0</v>
      </c>
      <c r="AO132" s="409">
        <f t="shared" si="59"/>
        <v>0</v>
      </c>
      <c r="AP132" s="409">
        <f t="shared" si="59"/>
        <v>0</v>
      </c>
      <c r="AQ132" s="409">
        <f t="shared" si="59"/>
        <v>0</v>
      </c>
      <c r="AR132" s="409">
        <f t="shared" si="59"/>
        <v>0</v>
      </c>
      <c r="AS132" s="409">
        <f t="shared" si="60"/>
        <v>0</v>
      </c>
      <c r="AT132" s="409">
        <f t="shared" si="60"/>
        <v>0</v>
      </c>
      <c r="AU132" s="409">
        <f t="shared" si="60"/>
        <v>0</v>
      </c>
      <c r="AV132" s="409">
        <f t="shared" si="60"/>
        <v>0</v>
      </c>
      <c r="AW132" s="409">
        <f t="shared" si="60"/>
        <v>0</v>
      </c>
      <c r="AX132" s="409">
        <f t="shared" si="60"/>
        <v>0</v>
      </c>
      <c r="AY132" s="409">
        <f t="shared" si="60"/>
        <v>0</v>
      </c>
      <c r="AZ132" s="219">
        <f>SUM(AI132:AY132)</f>
        <v>0</v>
      </c>
    </row>
    <row r="133" spans="1:52" ht="12.75" customHeight="1">
      <c r="A133" s="221" t="s">
        <v>151</v>
      </c>
      <c r="B133" s="227"/>
      <c r="C133" s="227"/>
      <c r="D133" s="227"/>
      <c r="E133" s="227"/>
      <c r="F133" s="227"/>
      <c r="G133" s="228"/>
      <c r="H133" s="228"/>
      <c r="I133" s="228"/>
      <c r="J133" s="228"/>
      <c r="K133" s="228"/>
      <c r="L133" s="229">
        <f>SUM(B133:K133)</f>
        <v>0</v>
      </c>
      <c r="P133" s="207">
        <f t="shared" si="48"/>
        <v>1</v>
      </c>
      <c r="Q133" s="410">
        <f>IF(Q132=0,0,(IF(($C$50+$B$50+$D$50+$E$50+$F$50)&lt;=25000,(($F$50/+$AH$132)*Q132)*VLOOKUP('1. SUMMARY'!$C$20,rate,Sheet1!T$21,0),((IF(($B$50+$C$50+$D$50+$E$50)&gt;=25000,0,(((25000-($B$50+$C$50+$D$50+$E$50))/+$AH$132)*Q132)*(VLOOKUP('1. SUMMARY'!$C$20,rate,Sheet1!T$21,0))))))))</f>
        <v>0</v>
      </c>
      <c r="R133" s="410">
        <f>IF(R132=0,0,(IF(($C$50+$B$50+$D$50+$E$50+$F$50)&lt;=25000,(($F$50/+$AH$132)*R132)*VLOOKUP('1. SUMMARY'!$C$20,rate,Sheet1!U$21,0),((IF(($B$50+$C$50+$D$50+$E$50)&gt;=25000,0,(((25000-($B$50+$C$50+$D$50+$E$50))/+$AH$132)*R132)*(VLOOKUP('1. SUMMARY'!$C$20,rate,Sheet1!U$21,0))))))))</f>
        <v>0</v>
      </c>
      <c r="S133" s="410">
        <f>IF(S132=0,0,(IF(($C$50+$B$50+$D$50+$E$50+$F$50)&lt;=25000,(($F$50/+$AH$132)*S132)*VLOOKUP('1. SUMMARY'!$C$20,rate,Sheet1!V$21,0),((IF(($B$50+$C$50+$D$50+$E$50)&gt;=25000,0,(((25000-($B$50+$C$50+$D$50+$E$50))/+$AH$132)*S132)*(VLOOKUP('1. SUMMARY'!$C$20,rate,Sheet1!V$21,0))))))))</f>
        <v>0</v>
      </c>
      <c r="T133" s="410">
        <f>IF(T132=0,0,(IF(($C$50+$B$50+$D$50+$E$50+$F$50)&lt;=25000,(($F$50/+$AH$132)*T132)*VLOOKUP('1. SUMMARY'!$C$20,rate,Sheet1!W$21,0),((IF(($B$50+$C$50+$D$50+$E$50)&gt;=25000,0,(((25000-($B$50+$C$50+$D$50+$E$50))/+$AH$132)*T132)*(VLOOKUP('1. SUMMARY'!$C$20,rate,Sheet1!W$21,0))))))))</f>
        <v>0</v>
      </c>
      <c r="U133" s="410">
        <f>IF(U132=0,0,(IF(($C$50+$B$50+$D$50+$E$50+$F$50)&lt;=25000,(($F$50/+$AH$132)*U132)*VLOOKUP('1. SUMMARY'!$C$20,rate,Sheet1!X$21,0),((IF(($B$50+$C$50+$D$50+$E$50)&gt;=25000,0,(((25000-($B$50+$C$50+$D$50+$E$50))/+$AH$132)*U132)*(VLOOKUP('1. SUMMARY'!$C$20,rate,Sheet1!X$21,0))))))))</f>
        <v>0</v>
      </c>
      <c r="V133" s="410">
        <f>IF(V132=0,0,(IF(($C$50+$B$50+$D$50+$E$50+$F$50)&lt;=25000,(($F$50/+$AH$132)*V132)*VLOOKUP('1. SUMMARY'!$C$20,rate,Sheet1!Y$21,0),((IF(($B$50+$C$50+$D$50+$E$50)&gt;=25000,0,(((25000-($B$50+$C$50+$D$50+$E$50))/+$AH$132)*V132)*(VLOOKUP('1. SUMMARY'!$C$20,rate,Sheet1!Y$21,0))))))))</f>
        <v>0</v>
      </c>
      <c r="W133" s="410">
        <f>IF(W132=0,0,(IF(($C$50+$B$50+$D$50+$E$50+$F$50)&lt;=25000,(($F$50/+$AH$132)*W132)*VLOOKUP('1. SUMMARY'!$C$20,rate,Sheet1!Z$21,0),((IF(($B$50+$C$50+$D$50+$E$50)&gt;=25000,0,(((25000-($B$50+$C$50+$D$50+$E$50))/+$AH$132)*W132)*(VLOOKUP('1. SUMMARY'!$C$20,rate,Sheet1!Z$21,0))))))))</f>
        <v>0</v>
      </c>
      <c r="X133" s="410">
        <f>IF(X132=0,0,(IF(($C$50+$B$50+$D$50+$E$50+$F$50)&lt;=25000,(($F$50/+$AH$132)*X132)*VLOOKUP('1. SUMMARY'!$C$20,rate,Sheet1!AA$21,0),((IF(($B$50+$C$50+$D$50+$E$50)&gt;=25000,0,(((25000-($B$50+$C$50+$D$50+$E$50))/+$AH$132)*X132)*(VLOOKUP('1. SUMMARY'!$C$20,rate,Sheet1!AA$21,0))))))))</f>
        <v>0</v>
      </c>
      <c r="Y133" s="410">
        <f>IF(Y132=0,0,(IF(($C$50+$B$50+$D$50+$E$50+$F$50)&lt;=25000,(($F$50/+$AH$132)*Y132)*VLOOKUP('1. SUMMARY'!$C$20,rate,Sheet1!AB$21,0),((IF(($B$50+$C$50+$D$50+$E$50)&gt;=25000,0,(((25000-($B$50+$C$50+$D$50+$E$50))/+$AH$132)*Y132)*(VLOOKUP('1. SUMMARY'!$C$20,rate,Sheet1!AB$21,0))))))))</f>
        <v>0</v>
      </c>
      <c r="Z133" s="410">
        <f>IF(Z132=0,0,(IF(($C$50+$B$50+$D$50+$E$50+$F$50)&lt;=25000,(($F$50/+$AH$132)*Z132)*VLOOKUP('1. SUMMARY'!$C$20,rate,Sheet1!AC$21,0),((IF(($B$50+$C$50+$D$50+$E$50)&gt;=25000,0,(((25000-($B$50+$C$50+$D$50+$E$50))/+$AH$132)*Z132)*(VLOOKUP('1. SUMMARY'!$C$20,rate,Sheet1!AC$21,0))))))))</f>
        <v>0</v>
      </c>
      <c r="AA133" s="410">
        <f>IF(AA132=0,0,(IF(($C$50+$B$50+$D$50+$E$50+$F$50)&lt;=25000,(($F$50/+$AH$132)*AA132)*VLOOKUP('1. SUMMARY'!$C$20,rate,Sheet1!AD$21,0),((IF(($B$50+$C$50+$D$50+$E$50)&gt;=25000,0,(((25000-($B$50+$C$50+$D$50+$E$50))/+$AH$132)*AA132)*(VLOOKUP('1. SUMMARY'!$C$20,rate,Sheet1!AD$21,0))))))))</f>
        <v>0</v>
      </c>
      <c r="AB133" s="410">
        <f>IF(AB132=0,0,(IF(($C$50+$B$50+$D$50+$E$50+$F$50)&lt;=25000,(($F$50/+$AH$132)*AB132)*VLOOKUP('1. SUMMARY'!$C$20,rate,Sheet1!AE$21,0),((IF(($B$50+$C$50+$D$50+$E$50)&gt;=25000,0,(((25000-($B$50+$C$50+$D$50+$E$50))/+$AH$132)*AB132)*(VLOOKUP('1. SUMMARY'!$C$20,rate,Sheet1!AE$21,0))))))))</f>
        <v>0</v>
      </c>
      <c r="AC133" s="410">
        <f>IF(AC132=0,0,(IF(($C$50+$B$50+$D$50+$E$50+$F$50)&lt;=25000,(($F$50/+$AH$132)*AC132)*VLOOKUP('1. SUMMARY'!$C$20,rate,Sheet1!AF$21,0),((IF(($B$50+$C$50+$D$50+$E$50)&gt;=25000,0,(((25000-($B$50+$C$50+$D$50+$E$50))/+$AH$132)*AC132)*(VLOOKUP('1. SUMMARY'!$C$20,rate,Sheet1!AF$21,0))))))))</f>
        <v>0</v>
      </c>
      <c r="AD133" s="410">
        <f>IF(AD132=0,0,(IF(($C$50+$B$50+$D$50+$E$50+$F$50)&lt;=25000,(($F$50/+$AH$132)*AD132)*VLOOKUP('1. SUMMARY'!$C$20,rate,Sheet1!AG$21,0),((IF(($B$50+$C$50+$D$50+$E$50)&gt;=25000,0,(((25000-($B$50+$C$50+$D$50+$E$50))/+$AH$132)*AD132)*(VLOOKUP('1. SUMMARY'!$C$20,rate,Sheet1!AG$21,0))))))))</f>
        <v>0</v>
      </c>
      <c r="AE133" s="410">
        <f>IF(AE132=0,0,(IF(($C$50+$B$50+$D$50+$E$50+$F$50)&lt;=25000,(($F$50/+$AH$132)*AE132)*VLOOKUP('1. SUMMARY'!$C$20,rate,Sheet1!AH$21,0),((IF(($B$50+$C$50+$D$50+$E$50)&gt;=25000,0,(((25000-($B$50+$C$50+$D$50+$E$50))/+$AH$132)*AE132)*(VLOOKUP('1. SUMMARY'!$C$20,rate,Sheet1!AH$21,0))))))))</f>
        <v>0</v>
      </c>
      <c r="AF133" s="410">
        <f>IF(AF132=0,0,(IF(($C$50+$B$50+$D$50+$E$50+$F$50)&lt;=25000,(($F$50/+$AH$132)*AF132)*VLOOKUP('1. SUMMARY'!$C$20,rate,Sheet1!AI$21,0),((IF(($B$50+$C$50+$D$50+$E$50)&gt;=25000,0,(((25000-($B$50+$C$50+$D$50+$E$50))/+$AH$132)*AF132)*(VLOOKUP('1. SUMMARY'!$C$20,rate,Sheet1!AI$21,0))))))))</f>
        <v>0</v>
      </c>
      <c r="AG133" s="410">
        <f>IF(AG132=0,0,(IF(($C$50+$B$50+$D$50+$E$50+$F$50)&lt;=25000,(($F$50/+$AH$132)*AG132)*VLOOKUP('1. SUMMARY'!$C$20,rate,Sheet1!AJ$21,0),((IF(($B$50+$C$50+$D$50+$E$50)&gt;=25000,0,(((25000-($B$50+$C$50+$D$50+$E$50))/+$AH$132)*AG132)*(VLOOKUP('1. SUMMARY'!$C$20,rate,Sheet1!AJ$21,0))))))))</f>
        <v>0</v>
      </c>
      <c r="AH133" s="219">
        <f>SUM(Q133:AG133)</f>
        <v>0</v>
      </c>
      <c r="AI133" s="410">
        <f>IF(AI132=0,0,((+$F50/$AZ132)*AI132)*VLOOKUP('1. SUMMARY'!$C$20,rate,Sheet1!T$21,0))</f>
        <v>0</v>
      </c>
      <c r="AJ133" s="410">
        <f>IF(AJ132=0,0,((+$F50/$AZ132)*AJ132)*VLOOKUP('1. SUMMARY'!$C$20,rate,Sheet1!U$21,0))</f>
        <v>0</v>
      </c>
      <c r="AK133" s="410">
        <f>IF(AK132=0,0,((+$F50/$AZ132)*AK132)*VLOOKUP('1. SUMMARY'!$C$20,rate,Sheet1!V$21,0))</f>
        <v>0</v>
      </c>
      <c r="AL133" s="410">
        <f>IF(AL132=0,0,((+$F50/$AZ132)*AL132)*VLOOKUP('1. SUMMARY'!$C$20,rate,Sheet1!W$21,0))</f>
        <v>0</v>
      </c>
      <c r="AM133" s="410">
        <f>IF(AM132=0,0,((+$F50/$AZ132)*AM132)*VLOOKUP('1. SUMMARY'!$C$20,rate,Sheet1!X$21,0))</f>
        <v>0</v>
      </c>
      <c r="AN133" s="410">
        <f>IF(AN132=0,0,((+$F50/$AZ132)*AN132)*VLOOKUP('1. SUMMARY'!$C$20,rate,Sheet1!Y$21,0))</f>
        <v>0</v>
      </c>
      <c r="AO133" s="410">
        <f>IF(AO132=0,0,((+$F50/$AZ132)*AO132)*VLOOKUP('1. SUMMARY'!$C$20,rate,Sheet1!Z$21,0))</f>
        <v>0</v>
      </c>
      <c r="AP133" s="410">
        <f>IF(AP132=0,0,((+$F50/$AZ132)*AP132)*VLOOKUP('1. SUMMARY'!$C$20,rate,Sheet1!AA$21,0))</f>
        <v>0</v>
      </c>
      <c r="AQ133" s="410">
        <f>IF(AQ132=0,0,((+$F50/$AZ132)*AQ132)*VLOOKUP('1. SUMMARY'!$C$20,rate,Sheet1!AB$21,0))</f>
        <v>0</v>
      </c>
      <c r="AR133" s="410">
        <f>IF(AR132=0,0,((+$F50/$AZ132)*AR132)*VLOOKUP('1. SUMMARY'!$C$20,rate,Sheet1!AC$21,0))</f>
        <v>0</v>
      </c>
      <c r="AS133" s="410">
        <f>IF(AS132=0,0,((+$F50/$AZ132)*AS132)*VLOOKUP('1. SUMMARY'!$C$20,rate,Sheet1!AD$21,0))</f>
        <v>0</v>
      </c>
      <c r="AT133" s="410">
        <f>IF(AT132=0,0,((+$F50/$AZ132)*AT132)*VLOOKUP('1. SUMMARY'!$C$20,rate,Sheet1!AE$21,0))</f>
        <v>0</v>
      </c>
      <c r="AU133" s="410">
        <f>IF(AU132=0,0,((+$F50/$AZ132)*AU132)*VLOOKUP('1. SUMMARY'!$C$20,rate,Sheet1!AF$21,0))</f>
        <v>0</v>
      </c>
      <c r="AV133" s="410">
        <f>IF(AV132=0,0,((+$F50/$AZ132)*AV132)*VLOOKUP('1. SUMMARY'!$C$20,rate,Sheet1!AG$21,0))</f>
        <v>0</v>
      </c>
      <c r="AW133" s="410">
        <f>IF(AW132=0,0,((+$F50/$AZ132)*AW132)*VLOOKUP('1. SUMMARY'!$C$20,rate,Sheet1!AH$21,0))</f>
        <v>0</v>
      </c>
      <c r="AX133" s="410">
        <f>IF(AX132=0,0,((+$F50/$AZ132)*AX132)*VLOOKUP('1. SUMMARY'!$C$20,rate,Sheet1!AI$21,0))</f>
        <v>0</v>
      </c>
      <c r="AY133" s="410">
        <f>IF(AY132=0,0,((+$F50/$AZ132)*AY132)*VLOOKUP('1. SUMMARY'!$C$20,rate,Sheet1!AJ$21,0))</f>
        <v>0</v>
      </c>
      <c r="AZ133" s="219">
        <f>SUM(AI133:AY133)</f>
        <v>0</v>
      </c>
    </row>
    <row r="134" spans="1:52" ht="12.75" customHeight="1">
      <c r="A134" s="216"/>
      <c r="B134" s="217"/>
      <c r="C134" s="217"/>
      <c r="D134" s="217"/>
      <c r="E134" s="217"/>
      <c r="F134" s="217"/>
      <c r="G134" s="217"/>
      <c r="H134" s="217"/>
      <c r="I134" s="217"/>
      <c r="J134" s="217"/>
      <c r="K134" s="217"/>
      <c r="L134" s="218"/>
      <c r="P134" s="207">
        <f t="shared" si="48"/>
        <v>1</v>
      </c>
      <c r="Q134" s="410">
        <f>+Q133/VLOOKUP('1. SUMMARY'!$C$20,rate,Sheet1!T$21,0)</f>
        <v>0</v>
      </c>
      <c r="R134" s="410">
        <f>+R133/VLOOKUP('1. SUMMARY'!$C$20,rate,Sheet1!U$21,0)</f>
        <v>0</v>
      </c>
      <c r="S134" s="410">
        <f>+S133/VLOOKUP('1. SUMMARY'!$C$20,rate,Sheet1!V$21,0)</f>
        <v>0</v>
      </c>
      <c r="T134" s="410">
        <f>+T133/VLOOKUP('1. SUMMARY'!$C$20,rate,Sheet1!W$21,0)</f>
        <v>0</v>
      </c>
      <c r="U134" s="410">
        <f>+U133/VLOOKUP('1. SUMMARY'!$C$20,rate,Sheet1!X$21,0)</f>
        <v>0</v>
      </c>
      <c r="V134" s="410">
        <f>+V133/VLOOKUP('1. SUMMARY'!$C$20,rate,Sheet1!Y$21,0)</f>
        <v>0</v>
      </c>
      <c r="W134" s="410">
        <f>+W133/VLOOKUP('1. SUMMARY'!$C$20,rate,Sheet1!Z$21,0)</f>
        <v>0</v>
      </c>
      <c r="X134" s="410">
        <f>+X133/VLOOKUP('1. SUMMARY'!$C$20,rate,Sheet1!AA$21,0)</f>
        <v>0</v>
      </c>
      <c r="Y134" s="410">
        <f>+Y133/VLOOKUP('1. SUMMARY'!$C$20,rate,Sheet1!AB$21,0)</f>
        <v>0</v>
      </c>
      <c r="Z134" s="410">
        <f>+Z133/VLOOKUP('1. SUMMARY'!$C$20,rate,Sheet1!AC$21,0)</f>
        <v>0</v>
      </c>
      <c r="AA134" s="410">
        <f>+AA133/VLOOKUP('1. SUMMARY'!$C$20,rate,Sheet1!AD$21,0)</f>
        <v>0</v>
      </c>
      <c r="AB134" s="410">
        <f>+AB133/VLOOKUP('1. SUMMARY'!$C$20,rate,Sheet1!AE$21,0)</f>
        <v>0</v>
      </c>
      <c r="AC134" s="410">
        <f>+AC133/VLOOKUP('1. SUMMARY'!$C$20,rate,Sheet1!AF$21,0)</f>
        <v>0</v>
      </c>
      <c r="AD134" s="410">
        <f>+AD133/VLOOKUP('1. SUMMARY'!$C$20,rate,Sheet1!AG$21,0)</f>
        <v>0</v>
      </c>
      <c r="AE134" s="410">
        <f>+AE133/VLOOKUP('1. SUMMARY'!$C$20,rate,Sheet1!AH$21,0)</f>
        <v>0</v>
      </c>
      <c r="AF134" s="410">
        <f>+AF133/VLOOKUP('1. SUMMARY'!$C$20,rate,Sheet1!AI$21,0)</f>
        <v>0</v>
      </c>
      <c r="AG134" s="410">
        <f>+AG133/VLOOKUP('1. SUMMARY'!$C$20,rate,Sheet1!AJ$21,0)</f>
        <v>0</v>
      </c>
      <c r="AH134" s="219"/>
      <c r="AI134" s="410">
        <v>0</v>
      </c>
      <c r="AJ134" s="410">
        <v>0</v>
      </c>
      <c r="AK134" s="410">
        <v>0</v>
      </c>
      <c r="AL134" s="410">
        <v>0</v>
      </c>
      <c r="AM134" s="410">
        <v>0</v>
      </c>
      <c r="AN134" s="410">
        <v>0</v>
      </c>
      <c r="AO134" s="410">
        <v>0</v>
      </c>
      <c r="AP134" s="410">
        <v>0</v>
      </c>
      <c r="AQ134" s="410"/>
      <c r="AR134" s="410"/>
      <c r="AS134" s="410"/>
      <c r="AT134" s="410"/>
      <c r="AU134" s="410"/>
      <c r="AV134" s="410"/>
      <c r="AW134" s="410"/>
      <c r="AX134" s="410"/>
      <c r="AY134" s="410"/>
      <c r="AZ134" s="219"/>
    </row>
    <row r="135" spans="1:52" ht="12.75" customHeight="1">
      <c r="A135" s="231" t="s">
        <v>152</v>
      </c>
      <c r="B135" s="146">
        <f t="shared" ref="B135:K135" si="61">SUM(B132:B133)</f>
        <v>0</v>
      </c>
      <c r="C135" s="146">
        <f t="shared" si="61"/>
        <v>0</v>
      </c>
      <c r="D135" s="146">
        <f t="shared" si="61"/>
        <v>0</v>
      </c>
      <c r="E135" s="146">
        <f t="shared" si="61"/>
        <v>0</v>
      </c>
      <c r="F135" s="146">
        <f t="shared" si="61"/>
        <v>0</v>
      </c>
      <c r="G135" s="146">
        <f t="shared" si="61"/>
        <v>0</v>
      </c>
      <c r="H135" s="146">
        <f t="shared" si="61"/>
        <v>0</v>
      </c>
      <c r="I135" s="146">
        <f t="shared" si="61"/>
        <v>0</v>
      </c>
      <c r="J135" s="146">
        <f t="shared" si="61"/>
        <v>0</v>
      </c>
      <c r="K135" s="146">
        <f t="shared" si="61"/>
        <v>0</v>
      </c>
      <c r="L135" s="229">
        <f>SUM(B135:K135)</f>
        <v>0</v>
      </c>
      <c r="P135" s="207">
        <f t="shared" ref="P135:P164" si="62">IF(Q210=39356,(+P134+1),P134)</f>
        <v>1</v>
      </c>
      <c r="Q135" s="413">
        <f>Sheet1!$T$8</f>
        <v>44105</v>
      </c>
      <c r="R135" s="413">
        <f>Sheet1!$U$8</f>
        <v>44470</v>
      </c>
      <c r="S135" s="413">
        <f>Sheet1!$V$8</f>
        <v>44835</v>
      </c>
      <c r="T135" s="413">
        <f>Sheet1!$W$8</f>
        <v>45200</v>
      </c>
      <c r="U135" s="413">
        <f>Sheet1!$X$8</f>
        <v>45566</v>
      </c>
      <c r="V135" s="413">
        <f>Sheet1!$Y$8</f>
        <v>45931</v>
      </c>
      <c r="W135" s="413">
        <f>Sheet1!$Z$8</f>
        <v>46296</v>
      </c>
      <c r="X135" s="413">
        <f>Sheet1!$AA$8</f>
        <v>46661</v>
      </c>
      <c r="Y135" s="413">
        <f>Sheet1!$AB$8</f>
        <v>47027</v>
      </c>
      <c r="Z135" s="413">
        <f>Sheet1!$AC$8</f>
        <v>47392</v>
      </c>
      <c r="AA135" s="413">
        <f>$AA$5</f>
        <v>47757</v>
      </c>
      <c r="AB135" s="413">
        <f>$AB$5</f>
        <v>48122</v>
      </c>
      <c r="AC135" s="413">
        <f>$AC$5</f>
        <v>48488</v>
      </c>
      <c r="AD135" s="413">
        <f>$AD$5</f>
        <v>48853</v>
      </c>
      <c r="AE135" s="413">
        <f>$AE$5</f>
        <v>49218</v>
      </c>
      <c r="AF135" s="413">
        <f>$AF$5</f>
        <v>49583</v>
      </c>
      <c r="AG135" s="413">
        <f>$AG$5</f>
        <v>49949</v>
      </c>
      <c r="AH135" s="211"/>
      <c r="AI135" s="413">
        <f t="shared" ref="AI135:AR137" si="63">+Q135</f>
        <v>44105</v>
      </c>
      <c r="AJ135" s="413">
        <f t="shared" si="63"/>
        <v>44470</v>
      </c>
      <c r="AK135" s="413">
        <f t="shared" si="63"/>
        <v>44835</v>
      </c>
      <c r="AL135" s="413">
        <f t="shared" si="63"/>
        <v>45200</v>
      </c>
      <c r="AM135" s="413">
        <f t="shared" si="63"/>
        <v>45566</v>
      </c>
      <c r="AN135" s="413">
        <f t="shared" si="63"/>
        <v>45931</v>
      </c>
      <c r="AO135" s="413">
        <f t="shared" si="63"/>
        <v>46296</v>
      </c>
      <c r="AP135" s="413">
        <f t="shared" si="63"/>
        <v>46661</v>
      </c>
      <c r="AQ135" s="413">
        <f t="shared" si="63"/>
        <v>47027</v>
      </c>
      <c r="AR135" s="413">
        <f t="shared" si="63"/>
        <v>47392</v>
      </c>
      <c r="AS135" s="413">
        <f t="shared" ref="AS135:AY137" si="64">+AA135</f>
        <v>47757</v>
      </c>
      <c r="AT135" s="413">
        <f t="shared" si="64"/>
        <v>48122</v>
      </c>
      <c r="AU135" s="413">
        <f t="shared" si="64"/>
        <v>48488</v>
      </c>
      <c r="AV135" s="413">
        <f t="shared" si="64"/>
        <v>48853</v>
      </c>
      <c r="AW135" s="413">
        <f t="shared" si="64"/>
        <v>49218</v>
      </c>
      <c r="AX135" s="413">
        <f t="shared" si="64"/>
        <v>49583</v>
      </c>
      <c r="AY135" s="413">
        <f t="shared" si="64"/>
        <v>49949</v>
      </c>
      <c r="AZ135" s="211"/>
    </row>
    <row r="136" spans="1:52" ht="12.75" customHeight="1">
      <c r="A136" s="216"/>
      <c r="B136" s="217"/>
      <c r="C136" s="217"/>
      <c r="D136" s="217"/>
      <c r="E136" s="217"/>
      <c r="F136" s="217"/>
      <c r="G136" s="217"/>
      <c r="H136" s="217"/>
      <c r="I136" s="217"/>
      <c r="J136" s="217"/>
      <c r="K136" s="217"/>
      <c r="L136" s="218"/>
      <c r="O136" s="207">
        <v>6</v>
      </c>
      <c r="P136" s="207">
        <f t="shared" si="62"/>
        <v>1</v>
      </c>
      <c r="Q136" s="413">
        <f>Sheet1!$T$9</f>
        <v>44469</v>
      </c>
      <c r="R136" s="413">
        <f>Sheet1!$U$9</f>
        <v>44834</v>
      </c>
      <c r="S136" s="413">
        <f>Sheet1!$V$9</f>
        <v>45199</v>
      </c>
      <c r="T136" s="413">
        <f>Sheet1!$W$9</f>
        <v>45565</v>
      </c>
      <c r="U136" s="413">
        <f>Sheet1!$X$9</f>
        <v>45930</v>
      </c>
      <c r="V136" s="413">
        <f>Sheet1!$Y$9</f>
        <v>46295</v>
      </c>
      <c r="W136" s="413">
        <f>Sheet1!$Z$9</f>
        <v>46660</v>
      </c>
      <c r="X136" s="413">
        <f>Sheet1!$AA$9</f>
        <v>47026</v>
      </c>
      <c r="Y136" s="413">
        <f>Sheet1!$AB$9</f>
        <v>47391</v>
      </c>
      <c r="Z136" s="413">
        <f>Sheet1!$AC$9</f>
        <v>47756</v>
      </c>
      <c r="AA136" s="413">
        <f>$AA$6</f>
        <v>48121</v>
      </c>
      <c r="AB136" s="413">
        <f>$AB$6</f>
        <v>48487</v>
      </c>
      <c r="AC136" s="413">
        <f>$AC$6</f>
        <v>48852</v>
      </c>
      <c r="AD136" s="413">
        <f>$AD$6</f>
        <v>49217</v>
      </c>
      <c r="AE136" s="413">
        <f>$AE$6</f>
        <v>49582</v>
      </c>
      <c r="AF136" s="413">
        <f>$AF$6</f>
        <v>49948</v>
      </c>
      <c r="AG136" s="413">
        <f>$AG$6</f>
        <v>50313</v>
      </c>
      <c r="AH136" s="211"/>
      <c r="AI136" s="413">
        <f t="shared" si="63"/>
        <v>44469</v>
      </c>
      <c r="AJ136" s="413">
        <f t="shared" si="63"/>
        <v>44834</v>
      </c>
      <c r="AK136" s="413">
        <f t="shared" si="63"/>
        <v>45199</v>
      </c>
      <c r="AL136" s="413">
        <f t="shared" si="63"/>
        <v>45565</v>
      </c>
      <c r="AM136" s="413">
        <f t="shared" si="63"/>
        <v>45930</v>
      </c>
      <c r="AN136" s="413">
        <f t="shared" si="63"/>
        <v>46295</v>
      </c>
      <c r="AO136" s="413">
        <f t="shared" si="63"/>
        <v>46660</v>
      </c>
      <c r="AP136" s="413">
        <f t="shared" si="63"/>
        <v>47026</v>
      </c>
      <c r="AQ136" s="413">
        <f t="shared" si="63"/>
        <v>47391</v>
      </c>
      <c r="AR136" s="413">
        <f t="shared" si="63"/>
        <v>47756</v>
      </c>
      <c r="AS136" s="413">
        <f t="shared" si="64"/>
        <v>48121</v>
      </c>
      <c r="AT136" s="413">
        <f t="shared" si="64"/>
        <v>48487</v>
      </c>
      <c r="AU136" s="413">
        <f t="shared" si="64"/>
        <v>48852</v>
      </c>
      <c r="AV136" s="413">
        <f t="shared" si="64"/>
        <v>49217</v>
      </c>
      <c r="AW136" s="413">
        <f t="shared" si="64"/>
        <v>49582</v>
      </c>
      <c r="AX136" s="413">
        <f t="shared" si="64"/>
        <v>49948</v>
      </c>
      <c r="AY136" s="413">
        <f t="shared" si="64"/>
        <v>50313</v>
      </c>
      <c r="AZ136" s="211"/>
    </row>
    <row r="137" spans="1:52" ht="12.75" customHeight="1">
      <c r="A137" s="226" t="s">
        <v>153</v>
      </c>
      <c r="B137" s="233">
        <f>IF(B129="No "&amp;B128,0,IF('1. SUMMARY'!$Q$20=1,+$AH363,$AZ363))</f>
        <v>0</v>
      </c>
      <c r="C137" s="233">
        <f>IF(C129="No "&amp;C128,0,IF('1. SUMMARY'!$Q$20=1,+$AH368,$AZ368))</f>
        <v>0</v>
      </c>
      <c r="D137" s="233">
        <f>IF(D129="No "&amp;D128,0,IF('1. SUMMARY'!$Q$20=1,+$AH373,$AZ373))</f>
        <v>0</v>
      </c>
      <c r="E137" s="233">
        <f>IF(E129="No "&amp;E128,0,IF('1. SUMMARY'!$Q$20=1,+$AH378,$AZ378))</f>
        <v>0</v>
      </c>
      <c r="F137" s="233">
        <f>IF(F129="No "&amp;F128,0,IF('1. SUMMARY'!$Q$20=1,+$AH383,$AZ383))</f>
        <v>0</v>
      </c>
      <c r="G137" s="233">
        <f>IF(G129="No "&amp;G128,0,IF('1. SUMMARY'!$Q$20=1,+$AH388,$AZ388))</f>
        <v>0</v>
      </c>
      <c r="H137" s="233">
        <f>IF(H129="No "&amp;H128,0,IF('1. SUMMARY'!$Q$20=1,+$AH393,$AZ393))</f>
        <v>0</v>
      </c>
      <c r="I137" s="233">
        <f>IF(I129="No "&amp;I128,0,IF('1. SUMMARY'!$Q$20=1,+$AH398,$AZ398))</f>
        <v>0</v>
      </c>
      <c r="J137" s="233">
        <f>IF(J129="No "&amp;J128,0,IF('1. SUMMARY'!$Q$20=1,+$AH403,$AZ403))</f>
        <v>0</v>
      </c>
      <c r="K137" s="233">
        <f>IF(K129="No "&amp;K128,0,IF('1. SUMMARY'!$Q$20=1,+$AH408,$AZ408))</f>
        <v>0</v>
      </c>
      <c r="L137" s="229">
        <f>SUM(B137:K137)</f>
        <v>0</v>
      </c>
      <c r="P137" s="207">
        <f t="shared" si="62"/>
        <v>1</v>
      </c>
      <c r="Q137" s="414">
        <f>IF(IF(Q136&lt;$G$27,0,DATEDIF($G$27,Q136+1,"m"))&lt;0,0,IF(Q136&lt;$G$27,0,DATEDIF($G$27,Q136+1,"m")))</f>
        <v>0</v>
      </c>
      <c r="R137" s="414">
        <f>IF(IF(Q137=12,0,IF(R136&gt;$G$28,12-DATEDIF($G$28,R136+1,"m"),IF(R136&lt;$G$27,0,DATEDIF($G$27,R136+1,"m"))))&lt;0,0,IF(Q137=12,0,IF(R136&gt;$G$28,12-DATEDIF($G$28,R136+1,"m"),IF(R136&lt;$G$27,0,DATEDIF($G$27,R136+1,"m")))))</f>
        <v>0</v>
      </c>
      <c r="S137" s="414">
        <f>IF(IF(Q137+R137=12,0,IF(S136&gt;$G$28,12-DATEDIF($G$28,S136+1,"m"),IF(S136&lt;$G$27,0,DATEDIF($G$27,S136+1,"m"))))&lt;0,0,IF(Q137+R137=12,0,IF(S136&gt;$G$28,12-DATEDIF($G$28,S136+1,"m"),IF(S136&lt;$G$27,0,DATEDIF($G$27,S136+1,"m")))))</f>
        <v>0</v>
      </c>
      <c r="T137" s="414">
        <f>IF(IF(R137+S137+Q137=12,0,IF(T136&gt;$G$28,12-DATEDIF($G$28,T136+1,"m"),IF(T136&lt;$G$27,0,DATEDIF($G$27,T136+1,"m"))))&lt;0,0,IF(R137+S137+Q137=12,0,IF(T136&gt;$G$28,12-DATEDIF($G$28,T136+1,"m"),IF(T136&lt;$G$27,0,DATEDIF($G$27,T136+1,"m")))))</f>
        <v>0</v>
      </c>
      <c r="U137" s="414">
        <f>IF(IF(S137+T137+R137+Q137=12,0,IF(U136&gt;$G$28,12-DATEDIF($G$28,U136+1,"m"),IF(U136&lt;$G$27,0,DATEDIF($G$27,U136+1,"m"))))&lt;0,0,IF(S137+T137+R137+Q137=12,0,IF(U136&gt;$G$28,12-DATEDIF($G$28,U136+1,"m"),IF(U136&lt;$G$27,0,DATEDIF($G$27,U136+1,"m")))))</f>
        <v>0</v>
      </c>
      <c r="V137" s="414">
        <f>IF(IF(T137+U137+S137+R137+Q137=12,0,IF(V136&gt;$G$28,12-DATEDIF($G$28,V136+1,"m"),IF(V136&lt;$G$27,0,DATEDIF($G$27,V136+1,"m"))))&lt;0,0,IF(T137+U137+S137+R137+Q137=12,0,IF(V136&gt;$G$28,12-DATEDIF($G$28,V136+1,"m"),IF(V136&lt;$G$27,0,DATEDIF($G$27,V136+1,"m")))))</f>
        <v>0</v>
      </c>
      <c r="W137" s="414">
        <f>IF(IF(U137+V137+T137+S137+R137+Q137=12,0,IF(W136&gt;$G$28,12-DATEDIF($G$28,W136+1,"m"),IF(W136&lt;$G$27,0,DATEDIF($G$27,W136+1,"m"))))&lt;0,0,IF(U137+V137+T137+S137+R137+Q137=12,0,IF(W136&gt;$G$28,12-DATEDIF($G$28,W136+1,"m"),IF(W136&lt;$G$27,0,DATEDIF($G$27,W136+1,"m")))))</f>
        <v>0</v>
      </c>
      <c r="X137" s="414">
        <f>IF(IF(V137+W137+U137+T137+S137+R137+Q137=12,0,IF(X136&gt;$G$28,12-DATEDIF($G$28,X136+1,"m"),IF(X136&lt;$G$27,0,DATEDIF($G$27,X136+1,"m"))))&lt;0,0,IF(V137+W137+U137+T137+S137+R137+Q137=12,0,IF(X136&gt;$G$28,12-DATEDIF($G$28,X136+1,"m"),IF(X136&lt;$G$27,0,DATEDIF($G$27,X136+1,"m")))))</f>
        <v>0</v>
      </c>
      <c r="Y137" s="414">
        <f>IF(IF(W137+X137+V137+U137+T137+S137+R137+Q137=12,0,IF(Y136&gt;$G$28,12-DATEDIF($G$28,Y136+1,"m"),IF(Y136&lt;$G$27,0,DATEDIF($G$27,Y136+1,"m"))))&lt;0,0,IF(W137+X137+V137+U137+T137+S137+R137+Q137=12,0,IF(Y136&gt;$G$28,12-DATEDIF($G$28,Y136+1,"m"),IF(Y136&lt;$G$27,0,DATEDIF($G$27,Y136+1,"m")))))</f>
        <v>0</v>
      </c>
      <c r="Z137" s="414">
        <f>IF(IF(X137+Y137+W137+V137+U137+T137+S137+R137+Q137=12,0,IF(Z136&gt;$G$28,12-DATEDIF($G$28,Z136+1,"m"),IF(Z136&lt;$G$27,0,DATEDIF($G$27,Z136+1,"m"))))&lt;0,0,IF(X137+Y137+W137+V137+U137+T137+S137+R137+Q137=12,0,IF(Z136&gt;$G$28,12-DATEDIF($G$28,Z136+1,"m"),IF(Z136&lt;$G$27,0,DATEDIF($G$27,Z136+1,"m")))))</f>
        <v>0</v>
      </c>
      <c r="AA137" s="414">
        <f>IF(IF(Q137+R137+S137+Y137+Z137+X137+W137+V137+U137+T137=12,0,IF(AA136&gt;$G$28,12-DATEDIF($G$28,AA136+1,"m"),IF(AA136&lt;$G$27,0,DATEDIF($G$27,AA136+1,"m"))))&lt;0,0,IF(Q137+R137+S137+Y137+Z137+X137+W137+V137+U137+T137=12,0,IF(AA136&gt;$G$28,12-DATEDIF($G$28,AA136+1,"m"),IF(AA136&lt;$G$27,0,DATEDIF($G$27,AA136+1,"m")))))</f>
        <v>0</v>
      </c>
      <c r="AB137" s="414">
        <f>IF(IF(Q137+R137+S137+T137+Z137+AA137+Y137+X137+W137+V137+U137=12,0,IF(AB136&gt;$G$28,12-DATEDIF($G$28,AB136+1,"m"),IF(AB136&lt;$G$27,0,DATEDIF($G$27,AB136+1,"m"))))&lt;0,0,IF(Q137+R137+S137+T137+Z137+AA137+Y137+X137+W137+V137+U137=12,0,IF(AB136&gt;$G$28,12-DATEDIF($G$28,AB136+1,"m"),IF(AB136&lt;$G$27,0,DATEDIF($G$27,AB136+1,"m")))))</f>
        <v>0</v>
      </c>
      <c r="AC137" s="414">
        <f>IF(IF(Q137+R137+S137+T137+U137+AA137+AB137+Z137+Y137+X137+W137+V137=12,0,IF(AC136&gt;$G$28,12-DATEDIF($G$28,AC136+1,"m"),IF(AC136&lt;$G$27,0,DATEDIF($G$27,AC136+1,"m"))))&lt;0,0,IF(Q137+R137+S137+T137+U137+AA137+AB137+Z137+Y137+X137+W137+V137=12,0,IF(AC136&gt;$G$28,12-DATEDIF($G$28,AC136+1,"m"),IF(AC136&lt;$G$27,0,DATEDIF($G$27,AC136+1,"m")))))</f>
        <v>0</v>
      </c>
      <c r="AD137" s="414">
        <f>IF(IF(Q137+R137+S137+T137+U137+V137+AB137+AC137+AA137+Z137+Y137+X137+W137=12,0,IF(AD136&gt;$G$28,12-DATEDIF($G$28,AD136+1,"m"),IF(AD136&lt;$G$27,0,DATEDIF($G$27,AD136+1,"m"))))&lt;0,0,IF(Q137+R137+S137+T137+U137+V137+AB137+AC137+AA137+Z137+Y137+X137+W137=12,0,IF(AD136&gt;$G$28,12-DATEDIF($G$28,AD136+1,"m"),IF(AD136&lt;$G$27,0,DATEDIF($G$27,AD136+1,"m")))))</f>
        <v>0</v>
      </c>
      <c r="AE137" s="414">
        <f>IF(IF(Q137+R137+S137+T137+U137+V137+W137+AC137+AD137+AB137+AA137+Z137+Y137+X137=12,0,IF(AE136&gt;$G$28,12-DATEDIF($G$28,AE136+1,"m"),IF(AE136&lt;$G$27,0,DATEDIF($G$27,AE136+1,"m"))))&lt;0,0,IF(Q137+R137+S137+T137+U137+V137+W137+AC137+AD137+AB137+AA137+Z137+Y137+X137=12,0,IF(AE136&gt;$G$28,12-DATEDIF($G$28,AE136+1,"m"),IF(AE136&lt;$G$27,0,DATEDIF($G$27,AE136+1,"m")))))</f>
        <v>0</v>
      </c>
      <c r="AF137" s="414">
        <f>IF(IF(Q137+R137+S137+T137+U137+V137+W137+X137+AD137+AE137+AC137+AB137+AA137+Z137+Y137=12,0,IF(AF136&gt;$G$28,12-DATEDIF($G$28,AF136+1,"m"),IF(AF136&lt;$G$27,0,DATEDIF($G$27,AF136+1,"m"))))&lt;0,0,IF(Q137+R137+S137+T137+U137+V137+W137+X137+AD137+AE137+AC137+AB137+AA137+Z137+Y137=12,0,IF(AF136&gt;$G$28,12-DATEDIF($G$28,AF136+1,"m"),IF(AF136&lt;$G$27,0,DATEDIF($G$27,AF136+1,"m")))))</f>
        <v>0</v>
      </c>
      <c r="AG137" s="414">
        <f>IF(IF(Q137+R137+S137+T137+U137+V137+W137+X137+Y137+AE137+AF137+AD137+AC137+AB137+AA137+Z137=12,0,IF(AG136&gt;$G$28,12-DATEDIF($G$28,AG136+1,"m"),IF(AG136&lt;$G$27,0,DATEDIF($G$27,AG136+1,"m"))))&lt;0,0,IF(Q137+R137+S137+T137+U137+V137+W137+X137+Y137+AE137+AF137+AD137+AC137+AB137+AA137+Z137=12,0,IF(AG136&gt;$G$28,12-DATEDIF($G$28,AG136+1,"m"),IF(AG136&lt;$G$27,0,DATEDIF($G$27,AG136+1,"m")))))</f>
        <v>0</v>
      </c>
      <c r="AH137" s="423">
        <f>SUM(Q137:AG137)</f>
        <v>0</v>
      </c>
      <c r="AI137" s="414">
        <f t="shared" si="63"/>
        <v>0</v>
      </c>
      <c r="AJ137" s="414">
        <f t="shared" si="63"/>
        <v>0</v>
      </c>
      <c r="AK137" s="414">
        <f t="shared" si="63"/>
        <v>0</v>
      </c>
      <c r="AL137" s="414">
        <f t="shared" si="63"/>
        <v>0</v>
      </c>
      <c r="AM137" s="414">
        <f t="shared" si="63"/>
        <v>0</v>
      </c>
      <c r="AN137" s="414">
        <f t="shared" si="63"/>
        <v>0</v>
      </c>
      <c r="AO137" s="414">
        <f t="shared" si="63"/>
        <v>0</v>
      </c>
      <c r="AP137" s="414">
        <f t="shared" si="63"/>
        <v>0</v>
      </c>
      <c r="AQ137" s="414">
        <f t="shared" si="63"/>
        <v>0</v>
      </c>
      <c r="AR137" s="414">
        <f t="shared" si="63"/>
        <v>0</v>
      </c>
      <c r="AS137" s="414">
        <f t="shared" si="64"/>
        <v>0</v>
      </c>
      <c r="AT137" s="414">
        <f t="shared" si="64"/>
        <v>0</v>
      </c>
      <c r="AU137" s="414">
        <f t="shared" si="64"/>
        <v>0</v>
      </c>
      <c r="AV137" s="414">
        <f t="shared" si="64"/>
        <v>0</v>
      </c>
      <c r="AW137" s="414">
        <f t="shared" si="64"/>
        <v>0</v>
      </c>
      <c r="AX137" s="414">
        <f t="shared" si="64"/>
        <v>0</v>
      </c>
      <c r="AY137" s="414">
        <f t="shared" si="64"/>
        <v>0</v>
      </c>
      <c r="AZ137" s="219">
        <f>SUM(AI137:AY137)</f>
        <v>0</v>
      </c>
    </row>
    <row r="138" spans="1:52" ht="12.75" customHeight="1">
      <c r="A138" s="216"/>
      <c r="B138" s="234"/>
      <c r="C138" s="234"/>
      <c r="D138" s="234"/>
      <c r="E138" s="234"/>
      <c r="F138" s="234"/>
      <c r="G138" s="234"/>
      <c r="H138" s="234"/>
      <c r="I138" s="234"/>
      <c r="J138" s="234"/>
      <c r="K138" s="234"/>
      <c r="L138" s="235"/>
      <c r="P138" s="207">
        <f t="shared" si="62"/>
        <v>1</v>
      </c>
      <c r="Q138" s="415">
        <f>IF(Q137=0,0,(IF(($B$50+$C$50+$D$50+$E$50+$F$50+$G$50)&lt;=25000,(($G$50/+$AH137)*Q137)*VLOOKUP('1. SUMMARY'!$C$20,rate,Sheet1!T$21,0),((IF(($F$50+$B$50+$C$50+$D$50+$E$50)&gt;=25000,0,(((25000-($B$50+$C$50+$D$50+$E$50+$F$50))/+$AH137)*Q137)*(VLOOKUP('1. SUMMARY'!$C$20,rate,Sheet1!T$21,0))))))))</f>
        <v>0</v>
      </c>
      <c r="R138" s="415">
        <f>IF(R137=0,0,(IF(($B$50+$C$50+$D$50+$E$50+$F$50+$G$50)&lt;=25000,(($G$50/+$AH137)*R137)*VLOOKUP('1. SUMMARY'!$C$20,rate,Sheet1!U$21,0),((IF(($F$50+$B$50+$C$50+$D$50+$E$50)&gt;=25000,0,(((25000-($B$50+$C$50+$D$50+$E$50+$F$50))/+$AH137)*R137)*(VLOOKUP('1. SUMMARY'!$C$20,rate,Sheet1!U$21,0))))))))</f>
        <v>0</v>
      </c>
      <c r="S138" s="415">
        <f>IF(S137=0,0,(IF(($B$50+$C$50+$D$50+$E$50+$F$50+$G$50)&lt;=25000,(($G$50/+$AH137)*S137)*VLOOKUP('1. SUMMARY'!$C$20,rate,Sheet1!V$21,0),((IF(($F$50+$B$50+$C$50+$D$50+$E$50)&gt;=25000,0,(((25000-($B$50+$C$50+$D$50+$E$50+$F$50))/+$AH137)*S137)*(VLOOKUP('1. SUMMARY'!$C$20,rate,Sheet1!V$21,0))))))))</f>
        <v>0</v>
      </c>
      <c r="T138" s="415">
        <f>IF(T137=0,0,(IF(($B$50+$C$50+$D$50+$E$50+$F$50+$G$50)&lt;=25000,(($G$50/+$AH137)*T137)*VLOOKUP('1. SUMMARY'!$C$20,rate,Sheet1!W$21,0),((IF(($F$50+$B$50+$C$50+$D$50+$E$50)&gt;=25000,0,(((25000-($B$50+$C$50+$D$50+$E$50+$F$50))/+$AH137)*T137)*(VLOOKUP('1. SUMMARY'!$C$20,rate,Sheet1!W$21,0))))))))</f>
        <v>0</v>
      </c>
      <c r="U138" s="415">
        <f>IF(U137=0,0,(IF(($B$50+$C$50+$D$50+$E$50+$F$50+$G$50)&lt;=25000,(($G$50/+$AH137)*U137)*VLOOKUP('1. SUMMARY'!$C$20,rate,Sheet1!X$21,0),((IF(($F$50+$B$50+$C$50+$D$50+$E$50)&gt;=25000,0,(((25000-($B$50+$C$50+$D$50+$E$50+$F$50))/+$AH137)*U137)*(VLOOKUP('1. SUMMARY'!$C$20,rate,Sheet1!X$21,0))))))))</f>
        <v>0</v>
      </c>
      <c r="V138" s="415">
        <f>IF(V137=0,0,(IF(($B$50+$C$50+$D$50+$E$50+$F$50+$G$50)&lt;=25000,(($G$50/+$AH137)*V137)*VLOOKUP('1. SUMMARY'!$C$20,rate,Sheet1!Y$21,0),((IF(($F$50+$B$50+$C$50+$D$50+$E$50)&gt;=25000,0,(((25000-($B$50+$C$50+$D$50+$E$50+$F$50))/+$AH137)*V137)*(VLOOKUP('1. SUMMARY'!$C$20,rate,Sheet1!Y$21,0))))))))</f>
        <v>0</v>
      </c>
      <c r="W138" s="415">
        <f>IF(W137=0,0,(IF(($B$50+$C$50+$D$50+$E$50+$F$50+$G$50)&lt;=25000,(($G$50/+$AH137)*W137)*VLOOKUP('1. SUMMARY'!$C$20,rate,Sheet1!Z$21,0),((IF(($F$50+$B$50+$C$50+$D$50+$E$50)&gt;=25000,0,(((25000-($B$50+$C$50+$D$50+$E$50+$F$50))/+$AH137)*W137)*(VLOOKUP('1. SUMMARY'!$C$20,rate,Sheet1!Z$21,0))))))))</f>
        <v>0</v>
      </c>
      <c r="X138" s="415">
        <f>IF(X137=0,0,(IF(($B$50+$C$50+$D$50+$E$50+$F$50+$G$50)&lt;=25000,(($G$50/+$AH137)*X137)*VLOOKUP('1. SUMMARY'!$C$20,rate,Sheet1!AA$21,0),((IF(($F$50+$B$50+$C$50+$D$50+$E$50)&gt;=25000,0,(((25000-($B$50+$C$50+$D$50+$E$50+$F$50))/+$AH137)*X137)*(VLOOKUP('1. SUMMARY'!$C$20,rate,Sheet1!AA$21,0))))))))</f>
        <v>0</v>
      </c>
      <c r="Y138" s="415">
        <f>IF(Y137=0,0,(IF(($B$50+$C$50+$D$50+$E$50+$F$50+$G$50)&lt;=25000,(($G$50/+$AH137)*Y137)*VLOOKUP('1. SUMMARY'!$C$20,rate,Sheet1!AB$21,0),((IF(($F$50+$B$50+$C$50+$D$50+$E$50)&gt;=25000,0,(((25000-($B$50+$C$50+$D$50+$E$50+$F$50))/+$AH137)*Y137)*(VLOOKUP('1. SUMMARY'!$C$20,rate,Sheet1!AB$21,0))))))))</f>
        <v>0</v>
      </c>
      <c r="Z138" s="415">
        <f>IF(Z137=0,0,(IF(($B$50+$C$50+$D$50+$E$50+$F$50+$G$50)&lt;=25000,(($G$50/+$AH137)*Z137)*VLOOKUP('1. SUMMARY'!$C$20,rate,Sheet1!AC$21,0),((IF(($F$50+$B$50+$C$50+$D$50+$E$50)&gt;=25000,0,(((25000-($B$50+$C$50+$D$50+$E$50+$F$50))/+$AH137)*Z137)*(VLOOKUP('1. SUMMARY'!$C$20,rate,Sheet1!AC$21,0))))))))</f>
        <v>0</v>
      </c>
      <c r="AA138" s="415">
        <f>IF(AA137=0,0,(IF(($B$50+$C$50+$D$50+$E$50+$F$50+$G$50)&lt;=25000,(($G$50/+$AH137)*AA137)*VLOOKUP('1. SUMMARY'!$C$20,rate,Sheet1!AD$21,0),((IF(($F$50+$B$50+$C$50+$D$50+$E$50)&gt;=25000,0,(((25000-($B$50+$C$50+$D$50+$E$50+$F$50))/+$AH137)*AA137)*(VLOOKUP('1. SUMMARY'!$C$20,rate,Sheet1!AD$21,0))))))))</f>
        <v>0</v>
      </c>
      <c r="AB138" s="415">
        <f>IF(AB137=0,0,(IF(($B$50+$C$50+$D$50+$E$50+$F$50+$G$50)&lt;=25000,(($G$50/+$AH137)*AB137)*VLOOKUP('1. SUMMARY'!$C$20,rate,Sheet1!AE$21,0),((IF(($F$50+$B$50+$C$50+$D$50+$E$50)&gt;=25000,0,(((25000-($B$50+$C$50+$D$50+$E$50+$F$50))/+$AH137)*AB137)*(VLOOKUP('1. SUMMARY'!$C$20,rate,Sheet1!AE$21,0))))))))</f>
        <v>0</v>
      </c>
      <c r="AC138" s="415">
        <f>IF(AC137=0,0,(IF(($B$50+$C$50+$D$50+$E$50+$F$50+$G$50)&lt;=25000,(($G$50/+$AH137)*AC137)*VLOOKUP('1. SUMMARY'!$C$20,rate,Sheet1!AF$21,0),((IF(($F$50+$B$50+$C$50+$D$50+$E$50)&gt;=25000,0,(((25000-($B$50+$C$50+$D$50+$E$50+$F$50))/+$AH137)*AC137)*(VLOOKUP('1. SUMMARY'!$C$20,rate,Sheet1!AF$21,0))))))))</f>
        <v>0</v>
      </c>
      <c r="AD138" s="415">
        <f>IF(AD137=0,0,(IF(($B$50+$C$50+$D$50+$E$50+$F$50+$G$50)&lt;=25000,(($G$50/+$AH137)*AD137)*VLOOKUP('1. SUMMARY'!$C$20,rate,Sheet1!AG$21,0),((IF(($F$50+$B$50+$C$50+$D$50+$E$50)&gt;=25000,0,(((25000-($B$50+$C$50+$D$50+$E$50+$F$50))/+$AH137)*AD137)*(VLOOKUP('1. SUMMARY'!$C$20,rate,Sheet1!AG$21,0))))))))</f>
        <v>0</v>
      </c>
      <c r="AE138" s="415">
        <f>IF(AE137=0,0,(IF(($B$50+$C$50+$D$50+$E$50+$F$50+$G$50)&lt;=25000,(($G$50/+$AH137)*AE137)*VLOOKUP('1. SUMMARY'!$C$20,rate,Sheet1!AH$21,0),((IF(($F$50+$B$50+$C$50+$D$50+$E$50)&gt;=25000,0,(((25000-($B$50+$C$50+$D$50+$E$50+$F$50))/+$AH137)*AE137)*(VLOOKUP('1. SUMMARY'!$C$20,rate,Sheet1!AH$21,0))))))))</f>
        <v>0</v>
      </c>
      <c r="AF138" s="415">
        <f>IF(AF137=0,0,(IF(($B$50+$C$50+$D$50+$E$50+$F$50+$G$50)&lt;=25000,(($G$50/+$AH137)*AF137)*VLOOKUP('1. SUMMARY'!$C$20,rate,Sheet1!AI$21,0),((IF(($F$50+$B$50+$C$50+$D$50+$E$50)&gt;=25000,0,(((25000-($B$50+$C$50+$D$50+$E$50+$F$50))/+$AH137)*AF137)*(VLOOKUP('1. SUMMARY'!$C$20,rate,Sheet1!AI$21,0))))))))</f>
        <v>0</v>
      </c>
      <c r="AG138" s="415">
        <f>IF(AG137=0,0,(IF(($B$50+$C$50+$D$50+$E$50+$F$50+$G$50)&lt;=25000,(($G$50/+$AH137)*AG137)*VLOOKUP('1. SUMMARY'!$C$20,rate,Sheet1!AJ$21,0),((IF(($F$50+$B$50+$C$50+$D$50+$E$50)&gt;=25000,0,(((25000-($B$50+$C$50+$D$50+$E$50+$F$50))/+$AH137)*AG137)*(VLOOKUP('1. SUMMARY'!$C$20,rate,Sheet1!AJ$21,0))))))))</f>
        <v>0</v>
      </c>
      <c r="AH138" s="219">
        <f>SUM(Q138:AG138)</f>
        <v>0</v>
      </c>
      <c r="AI138" s="415">
        <f>IF(AI137=0,0,((+$G50/$AZ137)*AI137)*VLOOKUP('1. SUMMARY'!$C$20,rate,Sheet1!T$21,0))</f>
        <v>0</v>
      </c>
      <c r="AJ138" s="415">
        <f>IF(AJ137=0,0,((+$G50/$AZ137)*AJ137)*VLOOKUP('1. SUMMARY'!$C$20,rate,Sheet1!U$21,0))</f>
        <v>0</v>
      </c>
      <c r="AK138" s="415">
        <f>IF(AK137=0,0,((+$G50/$AZ137)*AK137)*VLOOKUP('1. SUMMARY'!$C$20,rate,Sheet1!V$21,0))</f>
        <v>0</v>
      </c>
      <c r="AL138" s="415">
        <f>IF(AL137=0,0,((+$G50/$AZ137)*AL137)*VLOOKUP('1. SUMMARY'!$C$20,rate,Sheet1!W$21,0))</f>
        <v>0</v>
      </c>
      <c r="AM138" s="415">
        <f>IF(AM137=0,0,((+$G50/$AZ137)*AM137)*VLOOKUP('1. SUMMARY'!$C$20,rate,Sheet1!X$21,0))</f>
        <v>0</v>
      </c>
      <c r="AN138" s="415">
        <f>IF(AN137=0,0,((+$G50/$AZ137)*AN137)*VLOOKUP('1. SUMMARY'!$C$20,rate,Sheet1!Y$21,0))</f>
        <v>0</v>
      </c>
      <c r="AO138" s="415">
        <f>IF(AO137=0,0,((+$G50/$AZ137)*AO137)*VLOOKUP('1. SUMMARY'!$C$20,rate,Sheet1!Z$21,0))</f>
        <v>0</v>
      </c>
      <c r="AP138" s="415">
        <f>IF(AP137=0,0,((+$G50/$AZ137)*AP137)*VLOOKUP('1. SUMMARY'!$C$20,rate,Sheet1!AA$21,0))</f>
        <v>0</v>
      </c>
      <c r="AQ138" s="415">
        <f>IF(AQ137=0,0,((+$G50/$AZ137)*AQ137)*VLOOKUP('1. SUMMARY'!$C$20,rate,Sheet1!AB$21,0))</f>
        <v>0</v>
      </c>
      <c r="AR138" s="415">
        <f>IF(AR137=0,0,((+$G50/$AZ137)*AR137)*VLOOKUP('1. SUMMARY'!$C$20,rate,Sheet1!AC$21,0))</f>
        <v>0</v>
      </c>
      <c r="AS138" s="415">
        <f>IF(AS137=0,0,((+$G50/$AZ137)*AS137)*VLOOKUP('1. SUMMARY'!$C$20,rate,Sheet1!AD$21,0))</f>
        <v>0</v>
      </c>
      <c r="AT138" s="415">
        <f>IF(AT137=0,0,((+$G50/$AZ137)*AT137)*VLOOKUP('1. SUMMARY'!$C$20,rate,Sheet1!AE$21,0))</f>
        <v>0</v>
      </c>
      <c r="AU138" s="415">
        <f>IF(AU137=0,0,((+$G50/$AZ137)*AU137)*VLOOKUP('1. SUMMARY'!$C$20,rate,Sheet1!AF$21,0))</f>
        <v>0</v>
      </c>
      <c r="AV138" s="415">
        <f>IF(AV137=0,0,((+$G50/$AZ137)*AV137)*VLOOKUP('1. SUMMARY'!$C$20,rate,Sheet1!AG$21,0))</f>
        <v>0</v>
      </c>
      <c r="AW138" s="415">
        <f>IF(AW137=0,0,((+$G50/$AZ137)*AW137)*VLOOKUP('1. SUMMARY'!$C$20,rate,Sheet1!AH$21,0))</f>
        <v>0</v>
      </c>
      <c r="AX138" s="415">
        <f>IF(AX137=0,0,((+$G50/$AZ137)*AX137)*VLOOKUP('1. SUMMARY'!$C$20,rate,Sheet1!AI$21,0))</f>
        <v>0</v>
      </c>
      <c r="AY138" s="415">
        <f>IF(AY137=0,0,((+$G50/$AZ137)*AY137)*VLOOKUP('1. SUMMARY'!$C$20,rate,Sheet1!AJ$21,0))</f>
        <v>0</v>
      </c>
      <c r="AZ138" s="219">
        <f>SUM(AI138:AY138)</f>
        <v>0</v>
      </c>
    </row>
    <row r="139" spans="1:52" ht="12.75" customHeight="1" thickBot="1">
      <c r="A139" s="236" t="s">
        <v>154</v>
      </c>
      <c r="B139" s="237">
        <f>SUM(B135:B137)</f>
        <v>0</v>
      </c>
      <c r="C139" s="237" t="str">
        <f>IF(C129="No Year 2","",SUM(C135:C137))</f>
        <v/>
      </c>
      <c r="D139" s="237" t="str">
        <f>IF(D129="No Year 3","",SUM(D135:D137))</f>
        <v/>
      </c>
      <c r="E139" s="237" t="str">
        <f>IF(E129="No Year 4","",SUM(E135:E137))</f>
        <v/>
      </c>
      <c r="F139" s="237" t="str">
        <f>IF(F129="No Year 5","",SUM(F135:F137))</f>
        <v/>
      </c>
      <c r="G139" s="237" t="str">
        <f>IF(G129="No Year 6","",SUM(G135:G137))</f>
        <v/>
      </c>
      <c r="H139" s="237" t="str">
        <f>IF(H129="No Year 7","",SUM(H135:H137))</f>
        <v/>
      </c>
      <c r="I139" s="237" t="str">
        <f>IF(I129="No Year 8","",SUM(I135:I137))</f>
        <v/>
      </c>
      <c r="J139" s="237" t="str">
        <f>IF(J129="No Year 9","",SUM(J135:J137))</f>
        <v/>
      </c>
      <c r="K139" s="237" t="str">
        <f>IF(K129="No Year 10","",SUM(K135:K137))</f>
        <v/>
      </c>
      <c r="L139" s="238">
        <f>SUM(B139:K139)</f>
        <v>0</v>
      </c>
      <c r="N139" s="86">
        <f>IF(L139&gt;0,1,0)</f>
        <v>0</v>
      </c>
      <c r="P139" s="207">
        <f t="shared" si="62"/>
        <v>1</v>
      </c>
      <c r="Q139" s="415">
        <f>+Q138/VLOOKUP('1. SUMMARY'!$C$20,rate,Sheet1!T$21,0)</f>
        <v>0</v>
      </c>
      <c r="R139" s="415">
        <f>+R138/VLOOKUP('1. SUMMARY'!$C$20,rate,Sheet1!U$21,0)</f>
        <v>0</v>
      </c>
      <c r="S139" s="415">
        <f>+S138/VLOOKUP('1. SUMMARY'!$C$20,rate,Sheet1!V$21,0)</f>
        <v>0</v>
      </c>
      <c r="T139" s="415">
        <f>+T138/VLOOKUP('1. SUMMARY'!$C$20,rate,Sheet1!W$21,0)</f>
        <v>0</v>
      </c>
      <c r="U139" s="415">
        <f>+U138/VLOOKUP('1. SUMMARY'!$C$20,rate,Sheet1!X$21,0)</f>
        <v>0</v>
      </c>
      <c r="V139" s="415">
        <f>+V138/VLOOKUP('1. SUMMARY'!$C$20,rate,Sheet1!Y$21,0)</f>
        <v>0</v>
      </c>
      <c r="W139" s="415">
        <f>+W138/VLOOKUP('1. SUMMARY'!$C$20,rate,Sheet1!Z$21,0)</f>
        <v>0</v>
      </c>
      <c r="X139" s="415">
        <f>+X138/VLOOKUP('1. SUMMARY'!$C$20,rate,Sheet1!AA$21,0)</f>
        <v>0</v>
      </c>
      <c r="Y139" s="415">
        <f>+Y138/VLOOKUP('1. SUMMARY'!$C$20,rate,Sheet1!AB$21,0)</f>
        <v>0</v>
      </c>
      <c r="Z139" s="415">
        <f>+Z138/VLOOKUP('1. SUMMARY'!$C$20,rate,Sheet1!AC$21,0)</f>
        <v>0</v>
      </c>
      <c r="AA139" s="415">
        <f>+AA138/VLOOKUP('1. SUMMARY'!$C$20,rate,Sheet1!AD$21,0)</f>
        <v>0</v>
      </c>
      <c r="AB139" s="415">
        <f>+AB138/VLOOKUP('1. SUMMARY'!$C$20,rate,Sheet1!AE$21,0)</f>
        <v>0</v>
      </c>
      <c r="AC139" s="415">
        <f>+AC138/VLOOKUP('1. SUMMARY'!$C$20,rate,Sheet1!AF$21,0)</f>
        <v>0</v>
      </c>
      <c r="AD139" s="415">
        <f>+AD138/VLOOKUP('1. SUMMARY'!$C$20,rate,Sheet1!AG$21,0)</f>
        <v>0</v>
      </c>
      <c r="AE139" s="415">
        <f>+AE138/VLOOKUP('1. SUMMARY'!$C$20,rate,Sheet1!AH$21,0)</f>
        <v>0</v>
      </c>
      <c r="AF139" s="415">
        <f>+AF138/VLOOKUP('1. SUMMARY'!$C$20,rate,Sheet1!AI$21,0)</f>
        <v>0</v>
      </c>
      <c r="AG139" s="415">
        <f>+AG138/VLOOKUP('1. SUMMARY'!$C$20,rate,Sheet1!AJ$21,0)</f>
        <v>0</v>
      </c>
      <c r="AH139" s="219"/>
      <c r="AI139" s="415"/>
      <c r="AJ139" s="415"/>
      <c r="AK139" s="415"/>
      <c r="AL139" s="415"/>
      <c r="AM139" s="415"/>
      <c r="AN139" s="415"/>
      <c r="AO139" s="415"/>
      <c r="AP139" s="415"/>
      <c r="AQ139" s="415"/>
      <c r="AR139" s="415"/>
      <c r="AS139" s="415"/>
      <c r="AT139" s="415"/>
      <c r="AU139" s="415"/>
      <c r="AV139" s="415"/>
      <c r="AW139" s="415"/>
      <c r="AX139" s="415"/>
      <c r="AY139" s="415"/>
      <c r="AZ139" s="219"/>
    </row>
    <row r="140" spans="1:52" ht="12.75" customHeight="1" thickTop="1">
      <c r="P140" s="207">
        <f t="shared" si="62"/>
        <v>1</v>
      </c>
      <c r="Q140" s="411">
        <f>Sheet1!$T$8</f>
        <v>44105</v>
      </c>
      <c r="R140" s="411">
        <f>Sheet1!$U$8</f>
        <v>44470</v>
      </c>
      <c r="S140" s="411">
        <f>Sheet1!$V$8</f>
        <v>44835</v>
      </c>
      <c r="T140" s="411">
        <f>Sheet1!$W$8</f>
        <v>45200</v>
      </c>
      <c r="U140" s="411">
        <f>Sheet1!$X$8</f>
        <v>45566</v>
      </c>
      <c r="V140" s="411">
        <f>Sheet1!$Y$8</f>
        <v>45931</v>
      </c>
      <c r="W140" s="411">
        <f>Sheet1!$Z$8</f>
        <v>46296</v>
      </c>
      <c r="X140" s="411">
        <f>Sheet1!$AA$8</f>
        <v>46661</v>
      </c>
      <c r="Y140" s="411">
        <f>Sheet1!$AB$8</f>
        <v>47027</v>
      </c>
      <c r="Z140" s="411">
        <f>Sheet1!$AC$8</f>
        <v>47392</v>
      </c>
      <c r="AA140" s="411">
        <f>$AA$5</f>
        <v>47757</v>
      </c>
      <c r="AB140" s="411">
        <f>$AB$5</f>
        <v>48122</v>
      </c>
      <c r="AC140" s="411">
        <f>$AC$5</f>
        <v>48488</v>
      </c>
      <c r="AD140" s="411">
        <f>$AD$5</f>
        <v>48853</v>
      </c>
      <c r="AE140" s="411">
        <f>$AE$5</f>
        <v>49218</v>
      </c>
      <c r="AF140" s="411">
        <f>$AF$5</f>
        <v>49583</v>
      </c>
      <c r="AG140" s="411">
        <f>$AG$5</f>
        <v>49949</v>
      </c>
      <c r="AH140" s="211"/>
      <c r="AI140" s="411">
        <f t="shared" ref="AI140:AR142" si="65">+Q140</f>
        <v>44105</v>
      </c>
      <c r="AJ140" s="411">
        <f t="shared" si="65"/>
        <v>44470</v>
      </c>
      <c r="AK140" s="411">
        <f t="shared" si="65"/>
        <v>44835</v>
      </c>
      <c r="AL140" s="411">
        <f t="shared" si="65"/>
        <v>45200</v>
      </c>
      <c r="AM140" s="411">
        <f t="shared" si="65"/>
        <v>45566</v>
      </c>
      <c r="AN140" s="411">
        <f t="shared" si="65"/>
        <v>45931</v>
      </c>
      <c r="AO140" s="411">
        <f t="shared" si="65"/>
        <v>46296</v>
      </c>
      <c r="AP140" s="411">
        <f t="shared" si="65"/>
        <v>46661</v>
      </c>
      <c r="AQ140" s="411">
        <f t="shared" si="65"/>
        <v>47027</v>
      </c>
      <c r="AR140" s="411">
        <f t="shared" si="65"/>
        <v>47392</v>
      </c>
      <c r="AS140" s="411">
        <f t="shared" ref="AS140:AY142" si="66">+AA140</f>
        <v>47757</v>
      </c>
      <c r="AT140" s="411">
        <f t="shared" si="66"/>
        <v>48122</v>
      </c>
      <c r="AU140" s="411">
        <f t="shared" si="66"/>
        <v>48488</v>
      </c>
      <c r="AV140" s="411">
        <f t="shared" si="66"/>
        <v>48853</v>
      </c>
      <c r="AW140" s="411">
        <f t="shared" si="66"/>
        <v>49218</v>
      </c>
      <c r="AX140" s="411">
        <f t="shared" si="66"/>
        <v>49583</v>
      </c>
      <c r="AY140" s="411">
        <f t="shared" si="66"/>
        <v>49949</v>
      </c>
      <c r="AZ140" s="219"/>
    </row>
    <row r="141" spans="1:52" ht="12.75" customHeight="1" thickBot="1">
      <c r="P141" s="207">
        <f t="shared" si="62"/>
        <v>1</v>
      </c>
      <c r="Q141" s="411">
        <f>Sheet1!$T$9</f>
        <v>44469</v>
      </c>
      <c r="R141" s="411">
        <f>Sheet1!$U$9</f>
        <v>44834</v>
      </c>
      <c r="S141" s="411">
        <f>Sheet1!$V$9</f>
        <v>45199</v>
      </c>
      <c r="T141" s="411">
        <f>Sheet1!$W$9</f>
        <v>45565</v>
      </c>
      <c r="U141" s="411">
        <f>Sheet1!$X$9</f>
        <v>45930</v>
      </c>
      <c r="V141" s="411">
        <f>Sheet1!$Y$9</f>
        <v>46295</v>
      </c>
      <c r="W141" s="411">
        <f>Sheet1!$Z$9</f>
        <v>46660</v>
      </c>
      <c r="X141" s="411">
        <f>Sheet1!$AA$9</f>
        <v>47026</v>
      </c>
      <c r="Y141" s="411">
        <f>Sheet1!$AB$9</f>
        <v>47391</v>
      </c>
      <c r="Z141" s="411">
        <f>Sheet1!$AC$9</f>
        <v>47756</v>
      </c>
      <c r="AA141" s="411">
        <f>$AA$6</f>
        <v>48121</v>
      </c>
      <c r="AB141" s="411">
        <f>$AB$6</f>
        <v>48487</v>
      </c>
      <c r="AC141" s="411">
        <f>$AC$6</f>
        <v>48852</v>
      </c>
      <c r="AD141" s="411">
        <f>$AD$6</f>
        <v>49217</v>
      </c>
      <c r="AE141" s="411">
        <f>$AE$6</f>
        <v>49582</v>
      </c>
      <c r="AF141" s="411">
        <f>$AF$6</f>
        <v>49948</v>
      </c>
      <c r="AG141" s="411">
        <f>$AG$6</f>
        <v>50313</v>
      </c>
      <c r="AH141" s="211"/>
      <c r="AI141" s="411">
        <f t="shared" si="65"/>
        <v>44469</v>
      </c>
      <c r="AJ141" s="411">
        <f t="shared" si="65"/>
        <v>44834</v>
      </c>
      <c r="AK141" s="411">
        <f t="shared" si="65"/>
        <v>45199</v>
      </c>
      <c r="AL141" s="411">
        <f t="shared" si="65"/>
        <v>45565</v>
      </c>
      <c r="AM141" s="411">
        <f t="shared" si="65"/>
        <v>45930</v>
      </c>
      <c r="AN141" s="411">
        <f t="shared" si="65"/>
        <v>46295</v>
      </c>
      <c r="AO141" s="411">
        <f t="shared" si="65"/>
        <v>46660</v>
      </c>
      <c r="AP141" s="411">
        <f t="shared" si="65"/>
        <v>47026</v>
      </c>
      <c r="AQ141" s="411">
        <f t="shared" si="65"/>
        <v>47391</v>
      </c>
      <c r="AR141" s="411">
        <f t="shared" si="65"/>
        <v>47756</v>
      </c>
      <c r="AS141" s="411">
        <f t="shared" si="66"/>
        <v>48121</v>
      </c>
      <c r="AT141" s="411">
        <f t="shared" si="66"/>
        <v>48487</v>
      </c>
      <c r="AU141" s="411">
        <f t="shared" si="66"/>
        <v>48852</v>
      </c>
      <c r="AV141" s="411">
        <f t="shared" si="66"/>
        <v>49217</v>
      </c>
      <c r="AW141" s="411">
        <f t="shared" si="66"/>
        <v>49582</v>
      </c>
      <c r="AX141" s="411">
        <f t="shared" si="66"/>
        <v>49948</v>
      </c>
      <c r="AY141" s="411">
        <f t="shared" si="66"/>
        <v>50313</v>
      </c>
      <c r="AZ141" s="219"/>
    </row>
    <row r="142" spans="1:52" ht="12.75" customHeight="1" thickTop="1">
      <c r="A142" s="212" t="s">
        <v>162</v>
      </c>
      <c r="B142" s="213"/>
      <c r="C142" s="213"/>
      <c r="D142" s="213"/>
      <c r="E142" s="213"/>
      <c r="F142" s="213"/>
      <c r="G142" s="213"/>
      <c r="H142" s="213"/>
      <c r="I142" s="213"/>
      <c r="J142" s="213"/>
      <c r="K142" s="213"/>
      <c r="L142" s="214"/>
      <c r="O142" s="207">
        <v>7</v>
      </c>
      <c r="P142" s="207">
        <f t="shared" si="62"/>
        <v>1</v>
      </c>
      <c r="Q142" s="412">
        <f>IF(IF(Q141&lt;$H$27,0,DATEDIF($H$27,Q141+1,"m"))&lt;0,0,IF(Q141&lt;$H$27,0,DATEDIF($H$27,Q141+1,"m")))</f>
        <v>0</v>
      </c>
      <c r="R142" s="412">
        <f>IF(IF(Q142=12,0,IF(R141&gt;$H$28,12-DATEDIF($H$28,R141+1,"m"),IF(R141&lt;$H$27,0,DATEDIF($H$27,R141+1,"m"))))&lt;0,0,IF(Q142=12,0,IF(R141&gt;$H$28,12-DATEDIF($H$28,R141+1,"m"),IF(R141&lt;$H$27,0,DATEDIF($H$27,R141+1,"m")))))</f>
        <v>0</v>
      </c>
      <c r="S142" s="412">
        <f>IF(IF(Q142+R142=12,0,IF(S141&gt;$H$28,12-DATEDIF($H$28,S141+1,"m"),IF(S141&lt;$H$27,0,DATEDIF($H$27,S141+1,"m"))))&lt;0,0,IF(Q142+R142=12,0,IF(S141&gt;$H$28,12-DATEDIF($H$28,S141+1,"m"),IF(S141&lt;$H$27,0,DATEDIF($H$27,S141+1,"m")))))</f>
        <v>0</v>
      </c>
      <c r="T142" s="412">
        <f>IF(IF(R142+S142+Q142=12,0,IF(T141&gt;$H$28,12-DATEDIF($H$28,T141+1,"m"),IF(T141&lt;$H$27,0,DATEDIF($H$27,T141+1,"m"))))&lt;0,0,IF(R142+S142+Q142=12,0,IF(T141&gt;$H$28,12-DATEDIF($H$28,T141+1,"m"),IF(T141&lt;$H$27,0,DATEDIF($H$27,T141+1,"m")))))</f>
        <v>0</v>
      </c>
      <c r="U142" s="412">
        <f>IF(IF(S142+T142+R142+Q142=12,0,IF(U141&gt;$H$28,12-DATEDIF($H$28,U141+1,"m"),IF(U141&lt;$H$27,0,DATEDIF($H$27,U141+1,"m"))))&lt;0,0,IF(S142+T142+R142+Q142=12,0,IF(U141&gt;$H$28,12-DATEDIF($H$28,U141+1,"m"),IF(U141&lt;$H$27,0,DATEDIF($H$27,U141+1,"m")))))</f>
        <v>0</v>
      </c>
      <c r="V142" s="412">
        <f>IF(IF(T142+U142+S142+R142+Q142=12,0,IF(V141&gt;$H$28,12-DATEDIF($H$28,V141+1,"m"),IF(V141&lt;$H$27,0,DATEDIF($H$27,V141+1,"m"))))&lt;0,0,IF(T142+U142+S142+R142+Q142=12,0,IF(V141&gt;$H$28,12-DATEDIF($H$28,V141+1,"m"),IF(V141&lt;$H$27,0,DATEDIF($H$27,V141+1,"m")))))</f>
        <v>0</v>
      </c>
      <c r="W142" s="412">
        <f>IF(IF(U142+V142+T142+S142+R142+Q142=12,0,IF(W141&gt;$H$28,12-DATEDIF($H$28,W141+1,"m"),IF(W141&lt;$H$27,0,DATEDIF($H$27,W141+1,"m"))))&lt;0,0,IF(U142+V142+T142+S142+R142+Q142=12,0,IF(W141&gt;$H$28,12-DATEDIF($H$28,W141+1,"m"),IF(W141&lt;$H$27,0,DATEDIF($H$27,W141+1,"m")))))</f>
        <v>0</v>
      </c>
      <c r="X142" s="412">
        <f>IF(IF(V142+W142+U142+T142+S142+R142+Q142=12,0,IF(X141&gt;$H$28,12-DATEDIF($H$28,X141+1,"m"),IF(X141&lt;$H$27,0,DATEDIF($H$27,X141+1,"m"))))&lt;0,0,IF(V142+W142+U142+T142+S142+R142+Q142=12,0,IF(X141&gt;$H$28,12-DATEDIF($H$28,X141+1,"m"),IF(X141&lt;$H$27,0,DATEDIF($H$27,X141+1,"m")))))</f>
        <v>0</v>
      </c>
      <c r="Y142" s="412">
        <f>IF(IF(W142+X142+V142+U142+T142+S142+R142+Q142=12,0,IF(Y141&gt;$H$28,12-DATEDIF($H$28,Y141+1,"m"),IF(Y141&lt;$H$27,0,DATEDIF($H$27,Y141+1,"m"))))&lt;0,0,IF(W142+X142+V142+U142+T142+S142+R142+Q142=12,0,IF(Y141&gt;$H$28,12-DATEDIF($H$28,Y141+1,"m"),IF(Y141&lt;$H$27,0,DATEDIF($H$27,Y141+1,"m")))))</f>
        <v>0</v>
      </c>
      <c r="Z142" s="412">
        <f>IF(IF(X142+Y142+W142+V142+U142+T142+S142+R142+Q142=12,0,IF(Z141&gt;$H$28,12-DATEDIF($H$28,Z141+1,"m"),IF(Z141&lt;$H$27,0,DATEDIF($H$27,Z141+1,"m"))))&lt;0,0,IF(X142+Y142+W142+V142+U142+T142+S142+R142+Q142=12,0,IF(Z141&gt;$H$28,12-DATEDIF($H$28,Z141+1,"m"),IF(Z141&lt;$H$27,0,DATEDIF($H$27,Z141+1,"m")))))</f>
        <v>0</v>
      </c>
      <c r="AA142" s="412">
        <f>IF(IF(Q142+R142+S142+Y142+Z142+X142+W142+V142+U142+T142=12,0,IF(AA141&gt;$H$28,12-DATEDIF($H$28,AA141+1,"m"),IF(AA141&lt;$H$27,0,DATEDIF($H$27,AA141+1,"m"))))&lt;0,0,IF(Q142+R142+S142+Y142+Z142+X142+W142+V142+U142+T142=12,0,IF(AA141&gt;$H$28,12-DATEDIF($H$28,AA141+1,"m"),IF(AA141&lt;$H$27,0,DATEDIF($H$27,AA141+1,"m")))))</f>
        <v>0</v>
      </c>
      <c r="AB142" s="412">
        <f>IF(IF(Q142+R142+S142+T142+Z142+AA142+Y142+X142+W142+V142+U142=12,0,IF(AB141&gt;$H$28,12-DATEDIF($H$28,AB141+1,"m"),IF(AB141&lt;$H$27,0,DATEDIF($H$27,AB141+1,"m"))))&lt;0,0,IF(Q142+R142+S142+T142+Z142+AA142+Y142+X142+W142+V142+U142=12,0,IF(AB141&gt;$H$28,12-DATEDIF($H$28,AB141+1,"m"),IF(AB141&lt;$H$27,0,DATEDIF($H$27,AB141+1,"m")))))</f>
        <v>0</v>
      </c>
      <c r="AC142" s="412">
        <f>IF(IF(Q142+R142+S142+T142+U142+AA142+AB142+Z142+Y142+X142+W142+V142=12,0,IF(AC141&gt;$H$28,12-DATEDIF($H$28,AC141+1,"m"),IF(AC141&lt;$H$27,0,DATEDIF($H$27,AC141+1,"m"))))&lt;0,0,IF(Q142+R142+S142+T142+U142+AA142+AB142+Z142+Y142+X142+W142+V142=12,0,IF(AC141&gt;$H$28,12-DATEDIF($H$28,AC141+1,"m"),IF(AC141&lt;$H$27,0,DATEDIF($H$27,AC141+1,"m")))))</f>
        <v>0</v>
      </c>
      <c r="AD142" s="412">
        <f>IF(IF(Q142+R142+S142+T142+U142+V142+AB142+AC142+AA142+Z142+Y142+X142+W142=12,0,IF(AD141&gt;$H$28,12-DATEDIF($H$28,AD141+1,"m"),IF(AD141&lt;$H$27,0,DATEDIF($H$27,AD141+1,"m"))))&lt;0,0,IF(Q142+R142+S142+T142+U142+V142+AB142+AC142+AA142+Z142+Y142+X142+W142=12,0,IF(AD141&gt;$H$28,12-DATEDIF($H$28,AD141+1,"m"),IF(AD141&lt;$H$27,0,DATEDIF($H$27,AD141+1,"m")))))</f>
        <v>0</v>
      </c>
      <c r="AE142" s="412">
        <f>IF(IF(Q142+R142+S142+T142+U142+V142+W142+AC142+AD142+AB142+AA142+Z142+Y142+X142=12,0,IF(AE141&gt;$H$28,12-DATEDIF($H$28,AE141+1,"m"),IF(AE141&lt;$H$27,0,DATEDIF($H$27,AE141+1,"m"))))&lt;0,0,IF(Q142+R142+S142+T142+U142+V142+W142+AC142+AD142+AB142+AA142+Z142+Y142+X142=12,0,IF(AE141&gt;$H$28,12-DATEDIF($H$28,AE141+1,"m"),IF(AE141&lt;$H$27,0,DATEDIF($H$27,AE141+1,"m")))))</f>
        <v>0</v>
      </c>
      <c r="AF142" s="412">
        <f>IF(IF(Q142+R142+S142+T142+U142+V142+W142+X142+AD142+AE142+AC142+AB142+AA142+Z142+Y142=12,0,IF(AF141&gt;$H$28,12-DATEDIF($H$28,AF141+1,"m"),IF(AF141&lt;$H$27,0,DATEDIF($H$27,AF141+1,"m"))))&lt;0,0,IF(Q142+R142+S142+T142+U142+V142+W142+X142+AD142+AE142+AC142+AB142+AA142+Z142+Y142=12,0,IF(AF141&gt;$H$28,12-DATEDIF($H$28,AF141+1,"m"),IF(AF141&lt;$H$27,0,DATEDIF($H$27,AF141+1,"m")))))</f>
        <v>0</v>
      </c>
      <c r="AG142" s="412">
        <f>IF(IF(Q142+R142+S142+T142+U142+V142+W142+X142+Y142+AE142+AF142+AD142+AC142+AB142+AA142+Z142=12,0,IF(AG141&gt;$H$28,12-DATEDIF($H$28,AG141+1,"m"),IF(AG141&lt;$H$27,0,DATEDIF($H$27,AG141+1,"m"))))&lt;0,0,IF(Q142+R142+S142+T142+U142+V142+W142+X142+Y142+AE142+AF142+AD142+AC142+AB142+AA142+Z142=12,0,IF(AG141&gt;$H$28,12-DATEDIF($H$28,AG141+1,"m"),IF(AG141&lt;$H$27,0,DATEDIF($H$27,AG141+1,"m")))))</f>
        <v>0</v>
      </c>
      <c r="AH142" s="423">
        <f>SUM(Q142:AG142)</f>
        <v>0</v>
      </c>
      <c r="AI142" s="412">
        <f t="shared" si="65"/>
        <v>0</v>
      </c>
      <c r="AJ142" s="412">
        <f t="shared" si="65"/>
        <v>0</v>
      </c>
      <c r="AK142" s="412">
        <f t="shared" si="65"/>
        <v>0</v>
      </c>
      <c r="AL142" s="412">
        <f t="shared" si="65"/>
        <v>0</v>
      </c>
      <c r="AM142" s="412">
        <f t="shared" si="65"/>
        <v>0</v>
      </c>
      <c r="AN142" s="412">
        <f t="shared" si="65"/>
        <v>0</v>
      </c>
      <c r="AO142" s="412">
        <f t="shared" si="65"/>
        <v>0</v>
      </c>
      <c r="AP142" s="412">
        <f t="shared" si="65"/>
        <v>0</v>
      </c>
      <c r="AQ142" s="412">
        <f t="shared" si="65"/>
        <v>0</v>
      </c>
      <c r="AR142" s="412">
        <f t="shared" si="65"/>
        <v>0</v>
      </c>
      <c r="AS142" s="412">
        <f t="shared" si="66"/>
        <v>0</v>
      </c>
      <c r="AT142" s="412">
        <f t="shared" si="66"/>
        <v>0</v>
      </c>
      <c r="AU142" s="412">
        <f t="shared" si="66"/>
        <v>0</v>
      </c>
      <c r="AV142" s="412">
        <f t="shared" si="66"/>
        <v>0</v>
      </c>
      <c r="AW142" s="412">
        <f t="shared" si="66"/>
        <v>0</v>
      </c>
      <c r="AX142" s="412">
        <f t="shared" si="66"/>
        <v>0</v>
      </c>
      <c r="AY142" s="412">
        <f t="shared" si="66"/>
        <v>0</v>
      </c>
      <c r="AZ142" s="219">
        <f>SUM(AI142:AY142)</f>
        <v>0</v>
      </c>
    </row>
    <row r="143" spans="1:52" ht="23.25" customHeight="1">
      <c r="A143" s="215" t="s">
        <v>149</v>
      </c>
      <c r="B143" s="575"/>
      <c r="C143" s="575"/>
      <c r="D143" s="575"/>
      <c r="E143" s="575"/>
      <c r="F143" s="575"/>
      <c r="G143" s="575"/>
      <c r="H143" s="575"/>
      <c r="I143" s="575"/>
      <c r="J143" s="575"/>
      <c r="K143" s="575"/>
      <c r="L143" s="576"/>
      <c r="P143" s="207">
        <f t="shared" si="62"/>
        <v>1</v>
      </c>
      <c r="Q143" s="412">
        <f>IF(Q142=0,0,(IF(($B$50+$C$50+$D$50+$E$50+$F$50+$G$50+$H$50)&lt;=25000,(($H$50/+$AH142)*Q142)*VLOOKUP('1. SUMMARY'!$C$20,rate,Sheet1!T$21,0),((IF(($F$50+$B$50+$C$50+$D$50+$E$50+$G$50)&gt;=25000,0,(((25000-($B$50+$C$50+$D$50+$E$50+$F$50+$G$50))/+$AH142)*Q142)*(VLOOKUP('1. SUMMARY'!$C$20,rate,Sheet1!T$21,0))))))))</f>
        <v>0</v>
      </c>
      <c r="R143" s="412">
        <f>IF(R142=0,0,(IF(($B$50+$C$50+$D$50+$E$50+$F$50+$G$50+$H$50)&lt;=25000,(($H$50/+$AH142)*R142)*VLOOKUP('1. SUMMARY'!$C$20,rate,Sheet1!U$21,0),((IF(($F$50+$B$50+$C$50+$D$50+$E$50+$G$50)&gt;=25000,0,(((25000-($B$50+$C$50+$D$50+$E$50+$F$50+$G$50))/+$AH142)*R142)*(VLOOKUP('1. SUMMARY'!$C$20,rate,Sheet1!U$21,0))))))))</f>
        <v>0</v>
      </c>
      <c r="S143" s="412">
        <f>IF(S142=0,0,(IF(($B$50+$C$50+$D$50+$E$50+$F$50+$G$50+$H$50)&lt;=25000,(($H$50/+$AH142)*S142)*VLOOKUP('1. SUMMARY'!$C$20,rate,Sheet1!V$21,0),((IF(($F$50+$B$50+$C$50+$D$50+$E$50+$G$50)&gt;=25000,0,(((25000-($B$50+$C$50+$D$50+$E$50+$F$50+$G$50))/+$AH142)*S142)*(VLOOKUP('1. SUMMARY'!$C$20,rate,Sheet1!V$21,0))))))))</f>
        <v>0</v>
      </c>
      <c r="T143" s="412">
        <f>IF(T142=0,0,(IF(($B$50+$C$50+$D$50+$E$50+$F$50+$G$50+$H$50)&lt;=25000,(($H$50/+$AH142)*T142)*VLOOKUP('1. SUMMARY'!$C$20,rate,Sheet1!W$21,0),((IF(($F$50+$B$50+$C$50+$D$50+$E$50+$G$50)&gt;=25000,0,(((25000-($B$50+$C$50+$D$50+$E$50+$F$50+$G$50))/+$AH142)*T142)*(VLOOKUP('1. SUMMARY'!$C$20,rate,Sheet1!W$21,0))))))))</f>
        <v>0</v>
      </c>
      <c r="U143" s="412">
        <f>IF(U142=0,0,(IF(($B$50+$C$50+$D$50+$E$50+$F$50+$G$50+$H$50)&lt;=25000,(($H$50/+$AH142)*U142)*VLOOKUP('1. SUMMARY'!$C$20,rate,Sheet1!X$21,0),((IF(($F$50+$B$50+$C$50+$D$50+$E$50+$G$50)&gt;=25000,0,(((25000-($B$50+$C$50+$D$50+$E$50+$F$50+$G$50))/+$AH142)*U142)*(VLOOKUP('1. SUMMARY'!$C$20,rate,Sheet1!X$21,0))))))))</f>
        <v>0</v>
      </c>
      <c r="V143" s="412">
        <f>IF(V142=0,0,(IF(($B$50+$C$50+$D$50+$E$50+$F$50+$G$50+$H$50)&lt;=25000,(($H$50/+$AH142)*V142)*VLOOKUP('1. SUMMARY'!$C$20,rate,Sheet1!Y$21,0),((IF(($F$50+$B$50+$C$50+$D$50+$E$50+$G$50)&gt;=25000,0,(((25000-($B$50+$C$50+$D$50+$E$50+$F$50+$G$50))/+$AH142)*V142)*(VLOOKUP('1. SUMMARY'!$C$20,rate,Sheet1!Y$21,0))))))))</f>
        <v>0</v>
      </c>
      <c r="W143" s="412">
        <f>IF(W142=0,0,(IF(($B$50+$C$50+$D$50+$E$50+$F$50+$G$50+$H$50)&lt;=25000,(($H$50/+$AH142)*W142)*VLOOKUP('1. SUMMARY'!$C$20,rate,Sheet1!Z$21,0),((IF(($F$50+$B$50+$C$50+$D$50+$E$50+$G$50)&gt;=25000,0,(((25000-($B$50+$C$50+$D$50+$E$50+$F$50+$G$50))/+$AH142)*W142)*(VLOOKUP('1. SUMMARY'!$C$20,rate,Sheet1!Z$21,0))))))))</f>
        <v>0</v>
      </c>
      <c r="X143" s="412">
        <f>IF(X142=0,0,(IF(($B$50+$C$50+$D$50+$E$50+$F$50+$G$50+$H$50)&lt;=25000,(($H$50/+$AH142)*X142)*VLOOKUP('1. SUMMARY'!$C$20,rate,Sheet1!AA$21,0),((IF(($F$50+$B$50+$C$50+$D$50+$E$50+$G$50)&gt;=25000,0,(((25000-($B$50+$C$50+$D$50+$E$50+$F$50+$G$50))/+$AH142)*X142)*(VLOOKUP('1. SUMMARY'!$C$20,rate,Sheet1!AA$21,0))))))))</f>
        <v>0</v>
      </c>
      <c r="Y143" s="412">
        <f>IF(Y142=0,0,(IF(($B$50+$C$50+$D$50+$E$50+$F$50+$G$50+$H$50)&lt;=25000,(($H$50/+$AH142)*Y142)*VLOOKUP('1. SUMMARY'!$C$20,rate,Sheet1!AB$21,0),((IF(($F$50+$B$50+$C$50+$D$50+$E$50+$G$50)&gt;=25000,0,(((25000-($B$50+$C$50+$D$50+$E$50+$F$50+$G$50))/+$AH142)*Y142)*(VLOOKUP('1. SUMMARY'!$C$20,rate,Sheet1!AB$21,0))))))))</f>
        <v>0</v>
      </c>
      <c r="Z143" s="412">
        <f>IF(Z142=0,0,(IF(($B$50+$C$50+$D$50+$E$50+$F$50+$G$50+$H$50)&lt;=25000,(($H$50/+$AH142)*Z142)*VLOOKUP('1. SUMMARY'!$C$20,rate,Sheet1!AC$21,0),((IF(($F$50+$B$50+$C$50+$D$50+$E$50+$G$50)&gt;=25000,0,(((25000-($B$50+$C$50+$D$50+$E$50+$F$50+$G$50))/+$AH142)*Z142)*(VLOOKUP('1. SUMMARY'!$C$20,rate,Sheet1!AC$21,0))))))))</f>
        <v>0</v>
      </c>
      <c r="AA143" s="412">
        <f>IF(AA142=0,0,(IF(($B$50+$C$50+$D$50+$E$50+$F$50+$G$50+$H$50)&lt;=25000,(($H$50/+$AH142)*AA142)*VLOOKUP('1. SUMMARY'!$C$20,rate,Sheet1!AD$21,0),((IF(($F$50+$B$50+$C$50+$D$50+$E$50+$G$50)&gt;=25000,0,(((25000-($B$50+$C$50+$D$50+$E$50+$F$50+$G$50))/+$AH142)*AA142)*(VLOOKUP('1. SUMMARY'!$C$20,rate,Sheet1!AD$21,0))))))))</f>
        <v>0</v>
      </c>
      <c r="AB143" s="412">
        <f>IF(AB142=0,0,(IF(($B$50+$C$50+$D$50+$E$50+$F$50+$G$50+$H$50)&lt;=25000,(($H$50/+$AH142)*AB142)*VLOOKUP('1. SUMMARY'!$C$20,rate,Sheet1!AE$21,0),((IF(($F$50+$B$50+$C$50+$D$50+$E$50+$G$50)&gt;=25000,0,(((25000-($B$50+$C$50+$D$50+$E$50+$F$50+$G$50))/+$AH142)*AB142)*(VLOOKUP('1. SUMMARY'!$C$20,rate,Sheet1!AE$21,0))))))))</f>
        <v>0</v>
      </c>
      <c r="AC143" s="412">
        <f>IF(AC142=0,0,(IF(($B$50+$C$50+$D$50+$E$50+$F$50+$G$50+$H$50)&lt;=25000,(($H$50/+$AH142)*AC142)*VLOOKUP('1. SUMMARY'!$C$20,rate,Sheet1!AF$21,0),((IF(($F$50+$B$50+$C$50+$D$50+$E$50+$G$50)&gt;=25000,0,(((25000-($B$50+$C$50+$D$50+$E$50+$F$50+$G$50))/+$AH142)*AC142)*(VLOOKUP('1. SUMMARY'!$C$20,rate,Sheet1!AF$21,0))))))))</f>
        <v>0</v>
      </c>
      <c r="AD143" s="412">
        <f>IF(AD142=0,0,(IF(($B$50+$C$50+$D$50+$E$50+$F$50+$G$50+$H$50)&lt;=25000,(($H$50/+$AH142)*AD142)*VLOOKUP('1. SUMMARY'!$C$20,rate,Sheet1!AG$21,0),((IF(($F$50+$B$50+$C$50+$D$50+$E$50+$G$50)&gt;=25000,0,(((25000-($B$50+$C$50+$D$50+$E$50+$F$50+$G$50))/+$AH142)*AD142)*(VLOOKUP('1. SUMMARY'!$C$20,rate,Sheet1!AG$21,0))))))))</f>
        <v>0</v>
      </c>
      <c r="AE143" s="412">
        <f>IF(AE142=0,0,(IF(($B$50+$C$50+$D$50+$E$50+$F$50+$G$50+$H$50)&lt;=25000,(($H$50/+$AH142)*AE142)*VLOOKUP('1. SUMMARY'!$C$20,rate,Sheet1!AH$21,0),((IF(($F$50+$B$50+$C$50+$D$50+$E$50+$G$50)&gt;=25000,0,(((25000-($B$50+$C$50+$D$50+$E$50+$F$50+$G$50))/+$AH142)*AE142)*(VLOOKUP('1. SUMMARY'!$C$20,rate,Sheet1!AH$21,0))))))))</f>
        <v>0</v>
      </c>
      <c r="AF143" s="412">
        <f>IF(AF142=0,0,(IF(($B$50+$C$50+$D$50+$E$50+$F$50+$G$50+$H$50)&lt;=25000,(($H$50/+$AH142)*AF142)*VLOOKUP('1. SUMMARY'!$C$20,rate,Sheet1!AI$21,0),((IF(($F$50+$B$50+$C$50+$D$50+$E$50+$G$50)&gt;=25000,0,(((25000-($B$50+$C$50+$D$50+$E$50+$F$50+$G$50))/+$AH142)*AF142)*(VLOOKUP('1. SUMMARY'!$C$20,rate,Sheet1!AI$21,0))))))))</f>
        <v>0</v>
      </c>
      <c r="AG143" s="412">
        <f>IF(AG142=0,0,(IF(($B$50+$C$50+$D$50+$E$50+$F$50+$G$50+$H$50)&lt;=25000,(($H$50/+$AH142)*AG142)*VLOOKUP('1. SUMMARY'!$C$20,rate,Sheet1!AJ$21,0),((IF(($F$50+$B$50+$C$50+$D$50+$E$50+$G$50)&gt;=25000,0,(((25000-($B$50+$C$50+$D$50+$E$50+$F$50+$G$50))/+$AH142)*AG142)*(VLOOKUP('1. SUMMARY'!$C$20,rate,Sheet1!AJ$21,0))))))))</f>
        <v>0</v>
      </c>
      <c r="AH143" s="219">
        <f>SUM(Q143:AG143)</f>
        <v>0</v>
      </c>
      <c r="AI143" s="412">
        <f>IF(AI142=0,0,((+$H50/$AZ142)*AI142)*VLOOKUP('1. SUMMARY'!$C$20,rate,Sheet1!T$21,0))</f>
        <v>0</v>
      </c>
      <c r="AJ143" s="412">
        <f>IF(AJ142=0,0,((+$H50/$AZ142)*AJ142)*VLOOKUP('1. SUMMARY'!$C$20,rate,Sheet1!U$21,0))</f>
        <v>0</v>
      </c>
      <c r="AK143" s="412">
        <f>IF(AK142=0,0,((+$H50/$AZ142)*AK142)*VLOOKUP('1. SUMMARY'!$C$20,rate,Sheet1!V$21,0))</f>
        <v>0</v>
      </c>
      <c r="AL143" s="412">
        <f>IF(AL142=0,0,((+$H50/$AZ142)*AL142)*VLOOKUP('1. SUMMARY'!$C$20,rate,Sheet1!W$21,0))</f>
        <v>0</v>
      </c>
      <c r="AM143" s="412">
        <f>IF(AM142=0,0,((+$H50/$AZ142)*AM142)*VLOOKUP('1. SUMMARY'!$C$20,rate,Sheet1!X$21,0))</f>
        <v>0</v>
      </c>
      <c r="AN143" s="412">
        <f>IF(AN142=0,0,((+$H50/$AZ142)*AN142)*VLOOKUP('1. SUMMARY'!$C$20,rate,Sheet1!Y$21,0))</f>
        <v>0</v>
      </c>
      <c r="AO143" s="412">
        <f>IF(AO142=0,0,((+$H50/$AZ142)*AO142)*VLOOKUP('1. SUMMARY'!$C$20,rate,Sheet1!Z$21,0))</f>
        <v>0</v>
      </c>
      <c r="AP143" s="412">
        <f>IF(AP142=0,0,((+$H50/$AZ142)*AP142)*VLOOKUP('1. SUMMARY'!$C$20,rate,Sheet1!AA$21,0))</f>
        <v>0</v>
      </c>
      <c r="AQ143" s="412">
        <f>IF(AQ142=0,0,((+$H50/$AZ142)*AQ142)*VLOOKUP('1. SUMMARY'!$C$20,rate,Sheet1!AB$21,0))</f>
        <v>0</v>
      </c>
      <c r="AR143" s="412">
        <f>IF(AR142=0,0,((+$H50/$AZ142)*AR142)*VLOOKUP('1. SUMMARY'!$C$20,rate,Sheet1!AC$21,0))</f>
        <v>0</v>
      </c>
      <c r="AS143" s="412">
        <f>IF(AS142=0,0,((+$H50/$AZ142)*AS142)*VLOOKUP('1. SUMMARY'!$C$20,rate,Sheet1!AD$21,0))</f>
        <v>0</v>
      </c>
      <c r="AT143" s="412">
        <f>IF(AT142=0,0,((+$H50/$AZ142)*AT142)*VLOOKUP('1. SUMMARY'!$C$20,rate,Sheet1!AE$21,0))</f>
        <v>0</v>
      </c>
      <c r="AU143" s="412">
        <f>IF(AU142=0,0,((+$H50/$AZ142)*AU142)*VLOOKUP('1. SUMMARY'!$C$20,rate,Sheet1!AF$21,0))</f>
        <v>0</v>
      </c>
      <c r="AV143" s="412">
        <f>IF(AV142=0,0,((+$H50/$AZ142)*AV142)*VLOOKUP('1. SUMMARY'!$C$20,rate,Sheet1!AG$21,0))</f>
        <v>0</v>
      </c>
      <c r="AW143" s="412">
        <f>IF(AW142=0,0,((+$H50/$AZ142)*AW142)*VLOOKUP('1. SUMMARY'!$C$20,rate,Sheet1!AH$21,0))</f>
        <v>0</v>
      </c>
      <c r="AX143" s="412">
        <f>IF(AX142=0,0,((+$H50/$AZ142)*AX142)*VLOOKUP('1. SUMMARY'!$C$20,rate,Sheet1!AI$21,0))</f>
        <v>0</v>
      </c>
      <c r="AY143" s="412">
        <f>IF(AY142=0,0,((+$H50/$AZ142)*AY142)*VLOOKUP('1. SUMMARY'!$C$20,rate,Sheet1!AJ$21,0))</f>
        <v>0</v>
      </c>
      <c r="AZ143" s="219">
        <f>SUM(AI143:AY143)</f>
        <v>0</v>
      </c>
    </row>
    <row r="144" spans="1:52" ht="12.75" customHeight="1">
      <c r="A144" s="216"/>
      <c r="B144" s="217"/>
      <c r="C144" s="217"/>
      <c r="D144" s="217"/>
      <c r="E144" s="217"/>
      <c r="F144" s="217"/>
      <c r="G144" s="217"/>
      <c r="H144" s="217"/>
      <c r="I144" s="217"/>
      <c r="J144" s="217"/>
      <c r="K144" s="217"/>
      <c r="L144" s="218"/>
      <c r="P144" s="207">
        <f t="shared" si="62"/>
        <v>1</v>
      </c>
      <c r="Q144" s="412">
        <f>+Q143/VLOOKUP('1. SUMMARY'!$C$20,rate,Sheet1!T$21,0)</f>
        <v>0</v>
      </c>
      <c r="R144" s="412">
        <f>+R143/VLOOKUP('1. SUMMARY'!$C$20,rate,Sheet1!U$21,0)</f>
        <v>0</v>
      </c>
      <c r="S144" s="412">
        <f>+S143/VLOOKUP('1. SUMMARY'!$C$20,rate,Sheet1!V$21,0)</f>
        <v>0</v>
      </c>
      <c r="T144" s="412">
        <f>+T143/VLOOKUP('1. SUMMARY'!$C$20,rate,Sheet1!W$21,0)</f>
        <v>0</v>
      </c>
      <c r="U144" s="412">
        <f>+U143/VLOOKUP('1. SUMMARY'!$C$20,rate,Sheet1!X$21,0)</f>
        <v>0</v>
      </c>
      <c r="V144" s="412">
        <f>+V143/VLOOKUP('1. SUMMARY'!$C$20,rate,Sheet1!Y$21,0)</f>
        <v>0</v>
      </c>
      <c r="W144" s="412">
        <f>+W143/VLOOKUP('1. SUMMARY'!$C$20,rate,Sheet1!Z$21,0)</f>
        <v>0</v>
      </c>
      <c r="X144" s="412">
        <f>+X143/VLOOKUP('1. SUMMARY'!$C$20,rate,Sheet1!AA$21,0)</f>
        <v>0</v>
      </c>
      <c r="Y144" s="412">
        <f>+Y143/VLOOKUP('1. SUMMARY'!$C$20,rate,Sheet1!AB$21,0)</f>
        <v>0</v>
      </c>
      <c r="Z144" s="412">
        <f>+Z143/VLOOKUP('1. SUMMARY'!$C$20,rate,Sheet1!AC$21,0)</f>
        <v>0</v>
      </c>
      <c r="AA144" s="412">
        <f>+AA143/VLOOKUP('1. SUMMARY'!$C$20,rate,Sheet1!AD$21,0)</f>
        <v>0</v>
      </c>
      <c r="AB144" s="412">
        <f>+AB143/VLOOKUP('1. SUMMARY'!$C$20,rate,Sheet1!AE$21,0)</f>
        <v>0</v>
      </c>
      <c r="AC144" s="412">
        <f>+AC143/VLOOKUP('1. SUMMARY'!$C$20,rate,Sheet1!AF$21,0)</f>
        <v>0</v>
      </c>
      <c r="AD144" s="412">
        <f>+AD143/VLOOKUP('1. SUMMARY'!$C$20,rate,Sheet1!AG$21,0)</f>
        <v>0</v>
      </c>
      <c r="AE144" s="412">
        <f>+AE143/VLOOKUP('1. SUMMARY'!$C$20,rate,Sheet1!AH$21,0)</f>
        <v>0</v>
      </c>
      <c r="AF144" s="412">
        <f>+AF143/VLOOKUP('1. SUMMARY'!$C$20,rate,Sheet1!AI$21,0)</f>
        <v>0</v>
      </c>
      <c r="AG144" s="412">
        <f>+AG143/VLOOKUP('1. SUMMARY'!$C$20,rate,Sheet1!AJ$21,0)</f>
        <v>0</v>
      </c>
      <c r="AH144" s="219"/>
      <c r="AI144" s="412"/>
      <c r="AJ144" s="412"/>
      <c r="AK144" s="412"/>
      <c r="AL144" s="412"/>
      <c r="AM144" s="412"/>
      <c r="AN144" s="412"/>
      <c r="AO144" s="412"/>
      <c r="AP144" s="412"/>
      <c r="AQ144" s="412"/>
      <c r="AR144" s="412"/>
      <c r="AS144" s="412"/>
      <c r="AT144" s="412"/>
      <c r="AU144" s="412"/>
      <c r="AV144" s="412"/>
      <c r="AW144" s="412"/>
      <c r="AX144" s="412"/>
      <c r="AY144" s="412"/>
      <c r="AZ144" s="219"/>
    </row>
    <row r="145" spans="1:52" ht="12.75" customHeight="1">
      <c r="A145" s="216"/>
      <c r="B145" s="175" t="s">
        <v>81</v>
      </c>
      <c r="C145" s="175" t="s">
        <v>82</v>
      </c>
      <c r="D145" s="175" t="s">
        <v>83</v>
      </c>
      <c r="E145" s="175" t="s">
        <v>84</v>
      </c>
      <c r="F145" s="175" t="s">
        <v>85</v>
      </c>
      <c r="G145" s="175" t="s">
        <v>86</v>
      </c>
      <c r="H145" s="175" t="s">
        <v>87</v>
      </c>
      <c r="I145" s="175" t="s">
        <v>224</v>
      </c>
      <c r="J145" s="175" t="s">
        <v>225</v>
      </c>
      <c r="K145" s="175" t="s">
        <v>226</v>
      </c>
      <c r="L145" s="220" t="s">
        <v>47</v>
      </c>
      <c r="P145" s="207">
        <f t="shared" si="62"/>
        <v>1</v>
      </c>
      <c r="Q145" s="418">
        <f>Sheet1!$T$8</f>
        <v>44105</v>
      </c>
      <c r="R145" s="418">
        <f>Sheet1!$U$8</f>
        <v>44470</v>
      </c>
      <c r="S145" s="418">
        <f>Sheet1!$V$8</f>
        <v>44835</v>
      </c>
      <c r="T145" s="418">
        <f>Sheet1!$W$8</f>
        <v>45200</v>
      </c>
      <c r="U145" s="418">
        <f>Sheet1!$X$8</f>
        <v>45566</v>
      </c>
      <c r="V145" s="418">
        <f>Sheet1!$Y$8</f>
        <v>45931</v>
      </c>
      <c r="W145" s="418">
        <f>Sheet1!$Z$8</f>
        <v>46296</v>
      </c>
      <c r="X145" s="418">
        <f>Sheet1!$AA$8</f>
        <v>46661</v>
      </c>
      <c r="Y145" s="418">
        <f>Sheet1!$AB$8</f>
        <v>47027</v>
      </c>
      <c r="Z145" s="418">
        <f>Sheet1!$AC$8</f>
        <v>47392</v>
      </c>
      <c r="AA145" s="418">
        <f>$AA$5</f>
        <v>47757</v>
      </c>
      <c r="AB145" s="418">
        <f>$AB$5</f>
        <v>48122</v>
      </c>
      <c r="AC145" s="418">
        <f>$AC$5</f>
        <v>48488</v>
      </c>
      <c r="AD145" s="418">
        <f>$AD$5</f>
        <v>48853</v>
      </c>
      <c r="AE145" s="418">
        <f>$AE$5</f>
        <v>49218</v>
      </c>
      <c r="AF145" s="418">
        <f>$AF$5</f>
        <v>49583</v>
      </c>
      <c r="AG145" s="418">
        <f>$AG$5</f>
        <v>49949</v>
      </c>
      <c r="AH145" s="211"/>
      <c r="AI145" s="418">
        <f t="shared" ref="AI145:AR147" si="67">+Q145</f>
        <v>44105</v>
      </c>
      <c r="AJ145" s="418">
        <f t="shared" si="67"/>
        <v>44470</v>
      </c>
      <c r="AK145" s="418">
        <f t="shared" si="67"/>
        <v>44835</v>
      </c>
      <c r="AL145" s="418">
        <f t="shared" si="67"/>
        <v>45200</v>
      </c>
      <c r="AM145" s="418">
        <f t="shared" si="67"/>
        <v>45566</v>
      </c>
      <c r="AN145" s="418">
        <f t="shared" si="67"/>
        <v>45931</v>
      </c>
      <c r="AO145" s="418">
        <f t="shared" si="67"/>
        <v>46296</v>
      </c>
      <c r="AP145" s="418">
        <f t="shared" si="67"/>
        <v>46661</v>
      </c>
      <c r="AQ145" s="418">
        <f t="shared" si="67"/>
        <v>47027</v>
      </c>
      <c r="AR145" s="418">
        <f t="shared" si="67"/>
        <v>47392</v>
      </c>
      <c r="AS145" s="418">
        <f t="shared" ref="AS145:AY147" si="68">+AA145</f>
        <v>47757</v>
      </c>
      <c r="AT145" s="418">
        <f t="shared" si="68"/>
        <v>48122</v>
      </c>
      <c r="AU145" s="418">
        <f t="shared" si="68"/>
        <v>48488</v>
      </c>
      <c r="AV145" s="418">
        <f t="shared" si="68"/>
        <v>48853</v>
      </c>
      <c r="AW145" s="418">
        <f t="shared" si="68"/>
        <v>49218</v>
      </c>
      <c r="AX145" s="418">
        <f t="shared" si="68"/>
        <v>49583</v>
      </c>
      <c r="AY145" s="418">
        <f t="shared" si="68"/>
        <v>49949</v>
      </c>
      <c r="AZ145" s="211"/>
    </row>
    <row r="146" spans="1:52" ht="12.75" customHeight="1">
      <c r="A146" s="221"/>
      <c r="B146" s="222">
        <f>'1. SUMMARY'!C17</f>
        <v>0</v>
      </c>
      <c r="C146" s="222" t="str">
        <f>IF(+B147+1&gt;'1. SUMMARY'!$C$18,"No "&amp;C145,+B147+1)</f>
        <v>No Year 2</v>
      </c>
      <c r="D146" s="222" t="str">
        <f>IF(C146="No "&amp;C145,"No "&amp;D145,IF(+C147+1&gt;'1. SUMMARY'!$C$18,"No "&amp;D145,+C147+1))</f>
        <v>No Year 3</v>
      </c>
      <c r="E146" s="222" t="str">
        <f>IF(D146="No "&amp;D145,"No "&amp;E145,IF(+D147+1&gt;'1. SUMMARY'!$C$18,"No "&amp;E145,+D147+1))</f>
        <v>No Year 4</v>
      </c>
      <c r="F146" s="222" t="str">
        <f>IF(E146="No "&amp;E145,"No "&amp;F145,IF(+E147+1&gt;'1. SUMMARY'!$C$18,"No "&amp;F145,+E147+1))</f>
        <v>No Year 5</v>
      </c>
      <c r="G146" s="222" t="str">
        <f>IF(F146="No "&amp;F145,"No "&amp;G145,IF(+F147+1&gt;'1. SUMMARY'!$C$18,"No "&amp;G145,+F147+1))</f>
        <v>No Year 6</v>
      </c>
      <c r="H146" s="222" t="str">
        <f>IF(G146="No "&amp;G145,"No "&amp;H145,IF(+G147+1&gt;'1. SUMMARY'!$C$18,"No "&amp;H145,+G147+1))</f>
        <v>No Year 7</v>
      </c>
      <c r="I146" s="222" t="str">
        <f>IF(H146="No "&amp;H145,"No "&amp;I145,IF(+H147+1&gt;'1. SUMMARY'!$C$18,"No "&amp;I145,+H147+1))</f>
        <v>No Year 8</v>
      </c>
      <c r="J146" s="222" t="str">
        <f>IF(I146="No "&amp;I145,"No "&amp;J145,IF(+I147+1&gt;'1. SUMMARY'!$C$18,"No "&amp;J145,+I147+1))</f>
        <v>No Year 9</v>
      </c>
      <c r="K146" s="222" t="str">
        <f>IF(J146="No "&amp;J145,"No "&amp;K145,IF(+J147+1&gt;'1. SUMMARY'!$C$18,"No "&amp;K145,+J147+1))</f>
        <v>No Year 10</v>
      </c>
      <c r="L146" s="223"/>
      <c r="P146" s="207">
        <f t="shared" si="62"/>
        <v>1</v>
      </c>
      <c r="Q146" s="418">
        <f>Sheet1!$T$9</f>
        <v>44469</v>
      </c>
      <c r="R146" s="418">
        <f>Sheet1!$U$9</f>
        <v>44834</v>
      </c>
      <c r="S146" s="418">
        <f>Sheet1!$V$9</f>
        <v>45199</v>
      </c>
      <c r="T146" s="418">
        <f>Sheet1!$W$9</f>
        <v>45565</v>
      </c>
      <c r="U146" s="418">
        <f>Sheet1!$X$9</f>
        <v>45930</v>
      </c>
      <c r="V146" s="418">
        <f>Sheet1!$Y$9</f>
        <v>46295</v>
      </c>
      <c r="W146" s="418">
        <f>Sheet1!$Z$9</f>
        <v>46660</v>
      </c>
      <c r="X146" s="418">
        <f>Sheet1!$AA$9</f>
        <v>47026</v>
      </c>
      <c r="Y146" s="418">
        <f>Sheet1!$AB$9</f>
        <v>47391</v>
      </c>
      <c r="Z146" s="418">
        <f>Sheet1!$AC$9</f>
        <v>47756</v>
      </c>
      <c r="AA146" s="418">
        <f>$AA$6</f>
        <v>48121</v>
      </c>
      <c r="AB146" s="418">
        <f>$AB$6</f>
        <v>48487</v>
      </c>
      <c r="AC146" s="418">
        <f>$AC$6</f>
        <v>48852</v>
      </c>
      <c r="AD146" s="418">
        <f>$AD$6</f>
        <v>49217</v>
      </c>
      <c r="AE146" s="418">
        <f>$AE$6</f>
        <v>49582</v>
      </c>
      <c r="AF146" s="418">
        <f>$AF$6</f>
        <v>49948</v>
      </c>
      <c r="AG146" s="418">
        <f>$AG$6</f>
        <v>50313</v>
      </c>
      <c r="AH146" s="211"/>
      <c r="AI146" s="418">
        <f t="shared" si="67"/>
        <v>44469</v>
      </c>
      <c r="AJ146" s="418">
        <f t="shared" si="67"/>
        <v>44834</v>
      </c>
      <c r="AK146" s="418">
        <f t="shared" si="67"/>
        <v>45199</v>
      </c>
      <c r="AL146" s="418">
        <f t="shared" si="67"/>
        <v>45565</v>
      </c>
      <c r="AM146" s="418">
        <f t="shared" si="67"/>
        <v>45930</v>
      </c>
      <c r="AN146" s="418">
        <f t="shared" si="67"/>
        <v>46295</v>
      </c>
      <c r="AO146" s="418">
        <f t="shared" si="67"/>
        <v>46660</v>
      </c>
      <c r="AP146" s="418">
        <f t="shared" si="67"/>
        <v>47026</v>
      </c>
      <c r="AQ146" s="418">
        <f t="shared" si="67"/>
        <v>47391</v>
      </c>
      <c r="AR146" s="418">
        <f t="shared" si="67"/>
        <v>47756</v>
      </c>
      <c r="AS146" s="418">
        <f t="shared" si="68"/>
        <v>48121</v>
      </c>
      <c r="AT146" s="418">
        <f t="shared" si="68"/>
        <v>48487</v>
      </c>
      <c r="AU146" s="418">
        <f t="shared" si="68"/>
        <v>48852</v>
      </c>
      <c r="AV146" s="418">
        <f t="shared" si="68"/>
        <v>49217</v>
      </c>
      <c r="AW146" s="418">
        <f t="shared" si="68"/>
        <v>49582</v>
      </c>
      <c r="AX146" s="418">
        <f t="shared" si="68"/>
        <v>49948</v>
      </c>
      <c r="AY146" s="418">
        <f t="shared" si="68"/>
        <v>50313</v>
      </c>
      <c r="AZ146" s="211"/>
    </row>
    <row r="147" spans="1:52" ht="12.75" customHeight="1">
      <c r="A147" s="221"/>
      <c r="B147" s="224">
        <f>IF((DATE(YEAR(B146), MONTH(B146)+12, DAY(B146)-1))&lt;=('1. SUMMARY'!$C$18),DATE(YEAR(B146), MONTH(B146)+12, DAY(B146)-1),'1. SUMMARY'!$C$18)</f>
        <v>0</v>
      </c>
      <c r="C147" s="224" t="str">
        <f>IF(C146="No "&amp;C145,"No "&amp;C145,IF(B147='1. SUMMARY'!B144,"a",IF((DATE(YEAR(C146),MONTH(C146)+12,DAY(C146)-1))&lt;=('1. SUMMARY'!$C$18),DATE(YEAR(C146),MONTH(C146)+12,DAY(C146)-1),'1. SUMMARY'!$C$18)))</f>
        <v>No Year 2</v>
      </c>
      <c r="D147" s="224" t="str">
        <f>IF(D146="No "&amp;D145,"No "&amp;D145,IF(C147='1. SUMMARY'!C144,"a",IF((DATE(YEAR(D146),MONTH(D146)+12,DAY(D146)-1))&lt;=('1. SUMMARY'!$C$18),DATE(YEAR(D146),MONTH(D146)+12,DAY(D146)-1),'1. SUMMARY'!$C$18)))</f>
        <v>No Year 3</v>
      </c>
      <c r="E147" s="224" t="str">
        <f>IF(E146="No "&amp;E145,"No "&amp;E145,IF(D147='1. SUMMARY'!E144,"a",IF((DATE(YEAR(E146),MONTH(E146)+12,DAY(E146)-1))&lt;=('1. SUMMARY'!$C$18),DATE(YEAR(E146),MONTH(E146)+12,DAY(E146)-1),'1. SUMMARY'!$C$18)))</f>
        <v>No Year 4</v>
      </c>
      <c r="F147" s="224" t="str">
        <f>IF(F146="No "&amp;F145,"No "&amp;F145,IF(E147='1. SUMMARY'!F144,"a",IF((DATE(YEAR(F146),MONTH(F146)+12,DAY(F146)-1))&lt;=('1. SUMMARY'!$C$18),DATE(YEAR(F146),MONTH(F146)+12,DAY(F146)-1),'1. SUMMARY'!$C$18)))</f>
        <v>No Year 5</v>
      </c>
      <c r="G147" s="224" t="str">
        <f>IF(G146="No "&amp;G145,"No "&amp;G145,IF(F147='1. SUMMARY'!G144,"a",IF((DATE(YEAR(G146),MONTH(G146)+12,DAY(G146)-1))&lt;=('1. SUMMARY'!$C$18),DATE(YEAR(G146),MONTH(G146)+12,DAY(G146)-1),'1. SUMMARY'!$C$18)))</f>
        <v>No Year 6</v>
      </c>
      <c r="H147" s="224" t="str">
        <f>IF(H146="No "&amp;H145,"No "&amp;H145,IF(G147='1. SUMMARY'!H144,"a",IF((DATE(YEAR(H146),MONTH(H146)+12,DAY(H146)-1))&lt;=('1. SUMMARY'!$C$18),DATE(YEAR(H146),MONTH(H146)+12,DAY(H146)-1),'1. SUMMARY'!$C$18)))</f>
        <v>No Year 7</v>
      </c>
      <c r="I147" s="224" t="str">
        <f>IF(I146="No "&amp;I145,"No "&amp;I145,IF(H147='1. SUMMARY'!N144,"a",IF((DATE(YEAR(I146),MONTH(I146)+12,DAY(I146)-1))&lt;=('1. SUMMARY'!$C$18),DATE(YEAR(I146),MONTH(I146)+12,DAY(I146)-1),'1. SUMMARY'!$C$18)))</f>
        <v>No Year 8</v>
      </c>
      <c r="J147" s="224" t="str">
        <f>IF(J146="No "&amp;J145,"No "&amp;J145,IF(I147='1. SUMMARY'!O144,"a",IF((DATE(YEAR(J146),MONTH(J146)+12,DAY(J146)-1))&lt;=('1. SUMMARY'!$C$18),DATE(YEAR(J146),MONTH(J146)+12,DAY(J146)-1),'1. SUMMARY'!$C$18)))</f>
        <v>No Year 9</v>
      </c>
      <c r="K147" s="224" t="str">
        <f>IF(K146="No "&amp;K145,"No "&amp;K145,IF(J147='1. SUMMARY'!P142,"a",IF((DATE(YEAR(K146),MONTH(K146)+12,DAY(K146)-1))&lt;=('1. SUMMARY'!$C$18),DATE(YEAR(K146),MONTH(K146)+12,DAY(K146)-1),'1. SUMMARY'!$C$18)))</f>
        <v>No Year 10</v>
      </c>
      <c r="L147" s="218"/>
      <c r="O147" s="207">
        <v>8</v>
      </c>
      <c r="P147" s="207">
        <f t="shared" si="62"/>
        <v>1</v>
      </c>
      <c r="Q147" s="419">
        <f>IF(IF(Q146&lt;$I$27,0,DATEDIF($I$27,Q146+1,"m"))&lt;0,0,IF(Q146&lt;$I$27,0,DATEDIF($I$27,Q146+1,"m")))</f>
        <v>0</v>
      </c>
      <c r="R147" s="419">
        <f>IF(IF(Q147=12,0,IF(R146&gt;$I$28,12-DATEDIF($I$28,R146+1,"m"),IF(R146&lt;$I$27,0,DATEDIF($I$27,R146+1,"m"))))&lt;0,0,IF(Q147=12,0,IF(R146&gt;$I$28,12-DATEDIF($I$28,R146+1,"m"),IF(R146&lt;$I$27,0,DATEDIF($I$27,R146+1,"m")))))</f>
        <v>0</v>
      </c>
      <c r="S147" s="419">
        <f>IF(IF(Q147+R147=12,0,IF(S146&gt;$I$28,12-DATEDIF($I$28,S146+1,"m"),IF(S146&lt;$I$27,0,DATEDIF($I$27,S146+1,"m"))))&lt;0,0,IF(Q147+R147=12,0,IF(S146&gt;$I$28,12-DATEDIF($I$28,S146+1,"m"),IF(S146&lt;$I$27,0,DATEDIF($I$27,S146+1,"m")))))</f>
        <v>0</v>
      </c>
      <c r="T147" s="419">
        <f>IF(IF(R147+S147+Q147=12,0,IF(T146&gt;$I$28,12-DATEDIF($I$28,T146+1,"m"),IF(T146&lt;$I$27,0,DATEDIF($I$27,T146+1,"m"))))&lt;0,0,IF(R147+S147+Q147=12,0,IF(T146&gt;$I$28,12-DATEDIF($I$28,T146+1,"m"),IF(T146&lt;$I$27,0,DATEDIF($I$27,T146+1,"m")))))</f>
        <v>0</v>
      </c>
      <c r="U147" s="419">
        <f>IF(IF(S147+T147+R147+Q147=12,0,IF(U146&gt;$I$28,12-DATEDIF($I$28,U146+1,"m"),IF(U146&lt;$I$27,0,DATEDIF($I$27,U146+1,"m"))))&lt;0,0,IF(S147+T147+R147+Q147=12,0,IF(U146&gt;$I$28,12-DATEDIF($I$28,U146+1,"m"),IF(U146&lt;$I$27,0,DATEDIF($I$27,U146+1,"m")))))</f>
        <v>0</v>
      </c>
      <c r="V147" s="419">
        <f>IF(IF(T147+U147+S147+R147+Q147=12,0,IF(V146&gt;$I$28,12-DATEDIF($I$28,V146+1,"m"),IF(V146&lt;$I$27,0,DATEDIF($I$27,V146+1,"m"))))&lt;0,0,IF(T147+U147+S147+R147+Q147=12,0,IF(V146&gt;$I$28,12-DATEDIF($I$28,V146+1,"m"),IF(V146&lt;$I$27,0,DATEDIF($I$27,V146+1,"m")))))</f>
        <v>0</v>
      </c>
      <c r="W147" s="419">
        <f>IF(IF(U147+V147+T147+S147+R147+Q147=12,0,IF(W146&gt;$I$28,12-DATEDIF($I$28,W146+1,"m"),IF(W146&lt;$I$27,0,DATEDIF($I$27,W146+1,"m"))))&lt;0,0,IF(U147+V147+T147+S147+R147+Q147=12,0,IF(W146&gt;$I$28,12-DATEDIF($I$28,W146+1,"m"),IF(W146&lt;$I$27,0,DATEDIF($I$27,W146+1,"m")))))</f>
        <v>0</v>
      </c>
      <c r="X147" s="419">
        <f>IF(IF(V147+W147+U147+T147+S147+R147+Q147=12,0,IF(X146&gt;$I$28,12-DATEDIF($I$28,X146+1,"m"),IF(X146&lt;$I$27,0,DATEDIF($I$27,X146+1,"m"))))&lt;0,0,IF(V147+W147+U147+T147+S147+R147+Q147=12,0,IF(X146&gt;$I$28,12-DATEDIF($I$28,X146+1,"m"),IF(X146&lt;$I$27,0,DATEDIF($I$27,X146+1,"m")))))</f>
        <v>0</v>
      </c>
      <c r="Y147" s="419">
        <f>IF(IF(W147+X147+V147+U147+T147+S147+R147+Q147=12,0,IF(Y146&gt;$I$28,12-DATEDIF($I$28,Y146+1,"m"),IF(Y146&lt;$I$27,0,DATEDIF($I$27,Y146+1,"m"))))&lt;0,0,IF(W147+X147+V147+U147+T147+S147+R147+Q147=12,0,IF(Y146&gt;$I$28,12-DATEDIF($I$28,Y146+1,"m"),IF(Y146&lt;$I$27,0,DATEDIF($I$27,Y146+1,"m")))))</f>
        <v>0</v>
      </c>
      <c r="Z147" s="419">
        <f>IF(IF(X147+Y147+W147+V147+U147+T147+S147+R147+Q147=12,0,IF(Z146&gt;$I$28,12-DATEDIF($I$28,Z146+1,"m"),IF(Z146&lt;$I$27,0,DATEDIF($I$27,Z146+1,"m"))))&lt;0,0,IF(X147+Y147+W147+V147+U147+T147+S147+R147+Q147=12,0,IF(Z146&gt;$I$28,12-DATEDIF($I$28,Z146+1,"m"),IF(Z146&lt;$I$27,0,DATEDIF($I$27,Z146+1,"m")))))</f>
        <v>0</v>
      </c>
      <c r="AA147" s="419">
        <f>IF(IF(Q147+R147+S147+Y147+Z147+X147+W147+V147+U147+T147=12,0,IF(AA146&gt;$I$28,12-DATEDIF($I$28,AA146+1,"m"),IF(AA146&lt;$I$27,0,DATEDIF($I$27,AA146+1,"m"))))&lt;0,0,IF(Q147+R147+S147+Y147+Z147+X147+W147+V147+U147+T147=12,0,IF(AA146&gt;$I$28,12-DATEDIF($I$28,AA146+1,"m"),IF(AA146&lt;$I$27,0,DATEDIF($I$27,AA146+1,"m")))))</f>
        <v>0</v>
      </c>
      <c r="AB147" s="419">
        <f>IF(IF(Q147+R147+S147+T147+Z147+AA147+Y147+X147+W147+V147+U147=12,0,IF(AB146&gt;$I$28,12-DATEDIF($I$28,AB146+1,"m"),IF(AB146&lt;$I$27,0,DATEDIF($I$27,AB146+1,"m"))))&lt;0,0,IF(Q147+R147+S147+T147+Z147+AA147+Y147+X147+W147+V147+U147=12,0,IF(AB146&gt;$I$28,12-DATEDIF($I$28,AB146+1,"m"),IF(AB146&lt;$I$27,0,DATEDIF($I$27,AB146+1,"m")))))</f>
        <v>0</v>
      </c>
      <c r="AC147" s="419">
        <f>IF(IF(Q147+R147+S147+T147+U147+AA147+AB147+Z147+Y147+X147+W147+V147=12,0,IF(AC146&gt;$I$28,12-DATEDIF($I$28,AC146+1,"m"),IF(AC146&lt;$I$27,0,DATEDIF($I$27,AC146+1,"m"))))&lt;0,0,IF(Q147+R147+S147+T147+U147+AA147+AB147+Z147+Y147+X147+W147+V147=12,0,IF(AC146&gt;$I$28,12-DATEDIF($I$28,AC146+1,"m"),IF(AC146&lt;$I$27,0,DATEDIF($I$27,AC146+1,"m")))))</f>
        <v>0</v>
      </c>
      <c r="AD147" s="419">
        <f>IF(IF(Q147+R147+S147+T147+U147+V147+AB147+AC147+AA147+Z147+Y147+X147+W147=12,0,IF(AD146&gt;$I$28,12-DATEDIF($I$28,AD146+1,"m"),IF(AD146&lt;$I$27,0,DATEDIF($I$27,AD146+1,"m"))))&lt;0,0,IF(Q147+R147+S147+T147+U147+V147+AB147+AC147+AA147+Z147+Y147+X147+W147=12,0,IF(AD146&gt;$I$28,12-DATEDIF($I$28,AD146+1,"m"),IF(AD146&lt;$I$27,0,DATEDIF($I$27,AD146+1,"m")))))</f>
        <v>0</v>
      </c>
      <c r="AE147" s="419">
        <f>IF(IF(Q147+R147+S147+T147+U147+V147+W147+AC147+AD147+AB147+AA147+Z147+Y147+X147=12,0,IF(AE146&gt;$I$28,12-DATEDIF($I$28,AE146+1,"m"),IF(AE146&lt;$I$27,0,DATEDIF($I$27,AE146+1,"m"))))&lt;0,0,IF(Q147+R147+S147+T147+U147+V147+W147+AC147+AD147+AB147+AA147+Z147+Y147+X147=12,0,IF(AE146&gt;$I$28,12-DATEDIF($I$28,AE146+1,"m"),IF(AE146&lt;$I$27,0,DATEDIF($I$27,AE146+1,"m")))))</f>
        <v>0</v>
      </c>
      <c r="AF147" s="419">
        <f>IF(IF(Q147+R147+S147+T147+U147+V147+W147+X147+AD147+AE147+AC147+AB147+AA147+Z147+Y147=12,0,IF(AF146&gt;$I$28,12-DATEDIF($I$28,AF146+1,"m"),IF(AF146&lt;$I$27,0,DATEDIF($I$27,AF146+1,"m"))))&lt;0,0,IF(Q147+R147+S147+T147+U147+V147+W147+X147+AD147+AE147+AC147+AB147+AA147+Z147+Y147=12,0,IF(AF146&gt;$I$28,12-DATEDIF($I$28,AF146+1,"m"),IF(AF146&lt;$I$27,0,DATEDIF($I$27,AF146+1,"m")))))</f>
        <v>0</v>
      </c>
      <c r="AG147" s="419">
        <f>IF(IF(Q147+R147+S147+T147+U147+V147+W147+X147+Y147+AE147+AF147+AD147+AC147+AB147+AA147+Z147=12,0,IF(AG146&gt;$I$28,12-DATEDIF($I$28,AG146+1,"m"),IF(AG146&lt;$I$27,0,DATEDIF($I$27,AG146+1,"m"))))&lt;0,0,IF(Q147+R147+S147+T147+U147+V147+W147+X147+Y147+AE147+AF147+AD147+AC147+AB147+AA147+Z147=12,0,IF(AG146&gt;$I$28,12-DATEDIF($I$28,AG146+1,"m"),IF(AG146&lt;$I$27,0,DATEDIF($I$27,AG146+1,"m")))))</f>
        <v>0</v>
      </c>
      <c r="AH147" s="423">
        <f>SUM(Q147:AG147)</f>
        <v>0</v>
      </c>
      <c r="AI147" s="419">
        <f t="shared" si="67"/>
        <v>0</v>
      </c>
      <c r="AJ147" s="419">
        <f t="shared" si="67"/>
        <v>0</v>
      </c>
      <c r="AK147" s="419">
        <f t="shared" si="67"/>
        <v>0</v>
      </c>
      <c r="AL147" s="419">
        <f t="shared" si="67"/>
        <v>0</v>
      </c>
      <c r="AM147" s="419">
        <f t="shared" si="67"/>
        <v>0</v>
      </c>
      <c r="AN147" s="419">
        <f t="shared" si="67"/>
        <v>0</v>
      </c>
      <c r="AO147" s="419">
        <f t="shared" si="67"/>
        <v>0</v>
      </c>
      <c r="AP147" s="419">
        <f t="shared" si="67"/>
        <v>0</v>
      </c>
      <c r="AQ147" s="419">
        <f t="shared" si="67"/>
        <v>0</v>
      </c>
      <c r="AR147" s="419">
        <f t="shared" si="67"/>
        <v>0</v>
      </c>
      <c r="AS147" s="419">
        <f t="shared" si="68"/>
        <v>0</v>
      </c>
      <c r="AT147" s="419">
        <f t="shared" si="68"/>
        <v>0</v>
      </c>
      <c r="AU147" s="419">
        <f t="shared" si="68"/>
        <v>0</v>
      </c>
      <c r="AV147" s="419">
        <f t="shared" si="68"/>
        <v>0</v>
      </c>
      <c r="AW147" s="419">
        <f t="shared" si="68"/>
        <v>0</v>
      </c>
      <c r="AX147" s="419">
        <f t="shared" si="68"/>
        <v>0</v>
      </c>
      <c r="AY147" s="419">
        <f t="shared" si="68"/>
        <v>0</v>
      </c>
      <c r="AZ147" s="219">
        <f>SUM(AI147:AY147)</f>
        <v>0</v>
      </c>
    </row>
    <row r="148" spans="1:52" ht="12.75" customHeight="1">
      <c r="A148" s="216"/>
      <c r="B148" s="225"/>
      <c r="C148" s="225"/>
      <c r="D148" s="225"/>
      <c r="E148" s="225"/>
      <c r="F148" s="225"/>
      <c r="G148" s="225"/>
      <c r="H148" s="225"/>
      <c r="I148" s="225"/>
      <c r="J148" s="225"/>
      <c r="K148" s="225"/>
      <c r="L148" s="223"/>
      <c r="P148" s="207">
        <f t="shared" si="62"/>
        <v>1</v>
      </c>
      <c r="Q148" s="419">
        <f>IF(Q147=0,0,(IF(($B$50+$C$50+$D$50+$E$50+$F$50+$G$50+$H$50+$I$50)&lt;=25000,(($I$50/+$AH147)*Q147)*VLOOKUP('1. SUMMARY'!$C$20,rate,Sheet1!T$21,0),((IF(($F$50+$B$50+$C$50+$D$50+$E$50+$G$50+$H$50)&gt;=25000,0,(((25000-($B$50+$C$50+$D$50+$E$50+$F$50+$G$50+$H$50))/+$AH147)*Q147)*(VLOOKUP('1. SUMMARY'!$C$20,rate,Sheet1!T$21,0))))))))</f>
        <v>0</v>
      </c>
      <c r="R148" s="419">
        <f>IF(R147=0,0,(IF(($B$50+$C$50+$D$50+$E$50+$F$50+$G$50+$H$50+$I$50)&lt;=25000,(($I$50/+$AH147)*R147)*VLOOKUP('1. SUMMARY'!$C$20,rate,Sheet1!U$21,0),((IF(($F$50+$B$50+$C$50+$D$50+$E$50+$G$50+$H$50)&gt;=25000,0,(((25000-($B$50+$C$50+$D$50+$E$50+$F$50+$G$50+$H$50))/+$AH147)*R147)*(VLOOKUP('1. SUMMARY'!$C$20,rate,Sheet1!U$21,0))))))))</f>
        <v>0</v>
      </c>
      <c r="S148" s="419">
        <f>IF(S147=0,0,(IF(($B$50+$C$50+$D$50+$E$50+$F$50+$G$50+$H$50+$I$50)&lt;=25000,(($I$50/+$AH147)*S147)*VLOOKUP('1. SUMMARY'!$C$20,rate,Sheet1!V$21,0),((IF(($F$50+$B$50+$C$50+$D$50+$E$50+$G$50+$H$50)&gt;=25000,0,(((25000-($B$50+$C$50+$D$50+$E$50+$F$50+$G$50+$H$50))/+$AH147)*S147)*(VLOOKUP('1. SUMMARY'!$C$20,rate,Sheet1!V$21,0))))))))</f>
        <v>0</v>
      </c>
      <c r="T148" s="419">
        <f>IF(T147=0,0,(IF(($B$50+$C$50+$D$50+$E$50+$F$50+$G$50+$H$50+$I$50)&lt;=25000,(($I$50/+$AH147)*T147)*VLOOKUP('1. SUMMARY'!$C$20,rate,Sheet1!W$21,0),((IF(($F$50+$B$50+$C$50+$D$50+$E$50+$G$50+$H$50)&gt;=25000,0,(((25000-($B$50+$C$50+$D$50+$E$50+$F$50+$G$50+$H$50))/+$AH147)*T147)*(VLOOKUP('1. SUMMARY'!$C$20,rate,Sheet1!W$21,0))))))))</f>
        <v>0</v>
      </c>
      <c r="U148" s="419">
        <f>IF(U147=0,0,(IF(($B$50+$C$50+$D$50+$E$50+$F$50+$G$50+$H$50+$I$50)&lt;=25000,(($I$50/+$AH147)*U147)*VLOOKUP('1. SUMMARY'!$C$20,rate,Sheet1!X$21,0),((IF(($F$50+$B$50+$C$50+$D$50+$E$50+$G$50+$H$50)&gt;=25000,0,(((25000-($B$50+$C$50+$D$50+$E$50+$F$50+$G$50+$H$50))/+$AH147)*U147)*(VLOOKUP('1. SUMMARY'!$C$20,rate,Sheet1!X$21,0))))))))</f>
        <v>0</v>
      </c>
      <c r="V148" s="419">
        <f>IF(V147=0,0,(IF(($B$50+$C$50+$D$50+$E$50+$F$50+$G$50+$H$50+$I$50)&lt;=25000,(($I$50/+$AH147)*V147)*VLOOKUP('1. SUMMARY'!$C$20,rate,Sheet1!Y$21,0),((IF(($F$50+$B$50+$C$50+$D$50+$E$50+$G$50+$H$50)&gt;=25000,0,(((25000-($B$50+$C$50+$D$50+$E$50+$F$50+$G$50+$H$50))/+$AH147)*V147)*(VLOOKUP('1. SUMMARY'!$C$20,rate,Sheet1!Y$21,0))))))))</f>
        <v>0</v>
      </c>
      <c r="W148" s="419">
        <f>IF(W147=0,0,(IF(($B$50+$C$50+$D$50+$E$50+$F$50+$G$50+$H$50+$I$50)&lt;=25000,(($I$50/+$AH147)*W147)*VLOOKUP('1. SUMMARY'!$C$20,rate,Sheet1!Z$21,0),((IF(($F$50+$B$50+$C$50+$D$50+$E$50+$G$50+$H$50)&gt;=25000,0,(((25000-($B$50+$C$50+$D$50+$E$50+$F$50+$G$50+$H$50))/+$AH147)*W147)*(VLOOKUP('1. SUMMARY'!$C$20,rate,Sheet1!Z$21,0))))))))</f>
        <v>0</v>
      </c>
      <c r="X148" s="419">
        <f>IF(X147=0,0,(IF(($B$50+$C$50+$D$50+$E$50+$F$50+$G$50+$H$50+$I$50)&lt;=25000,(($I$50/+$AH147)*X147)*VLOOKUP('1. SUMMARY'!$C$20,rate,Sheet1!AA$21,0),((IF(($F$50+$B$50+$C$50+$D$50+$E$50+$G$50+$H$50)&gt;=25000,0,(((25000-($B$50+$C$50+$D$50+$E$50+$F$50+$G$50+$H$50))/+$AH147)*X147)*(VLOOKUP('1. SUMMARY'!$C$20,rate,Sheet1!AA$21,0))))))))</f>
        <v>0</v>
      </c>
      <c r="Y148" s="419">
        <f>IF(Y147=0,0,(IF(($B$50+$C$50+$D$50+$E$50+$F$50+$G$50+$H$50+$I$50)&lt;=25000,(($I$50/+$AH147)*Y147)*VLOOKUP('1. SUMMARY'!$C$20,rate,Sheet1!AB$21,0),((IF(($F$50+$B$50+$C$50+$D$50+$E$50+$G$50+$H$50)&gt;=25000,0,(((25000-($B$50+$C$50+$D$50+$E$50+$F$50+$G$50+$H$50))/+$AH147)*Y147)*(VLOOKUP('1. SUMMARY'!$C$20,rate,Sheet1!AB$21,0))))))))</f>
        <v>0</v>
      </c>
      <c r="Z148" s="419">
        <f>IF(Z147=0,0,(IF(($B$50+$C$50+$D$50+$E$50+$F$50+$G$50+$H$50+$I$50)&lt;=25000,(($I$50/+$AH147)*Z147)*VLOOKUP('1. SUMMARY'!$C$20,rate,Sheet1!AC$21,0),((IF(($F$50+$B$50+$C$50+$D$50+$E$50+$G$50+$H$50)&gt;=25000,0,(((25000-($B$50+$C$50+$D$50+$E$50+$F$50+$G$50+$H$50))/+$AH147)*Z147)*(VLOOKUP('1. SUMMARY'!$C$20,rate,Sheet1!AC$21,0))))))))</f>
        <v>0</v>
      </c>
      <c r="AA148" s="419">
        <f>IF(AA147=0,0,(IF(($B$50+$C$50+$D$50+$E$50+$F$50+$G$50+$H$50+$I$50)&lt;=25000,(($I$50/+$AH147)*AA147)*VLOOKUP('1. SUMMARY'!$C$20,rate,Sheet1!AD$21,0),((IF(($F$50+$B$50+$C$50+$D$50+$E$50+$G$50+$H$50)&gt;=25000,0,(((25000-($B$50+$C$50+$D$50+$E$50+$F$50+$G$50+$H$50))/+$AH147)*AA147)*(VLOOKUP('1. SUMMARY'!$C$20,rate,Sheet1!AD$21,0))))))))</f>
        <v>0</v>
      </c>
      <c r="AB148" s="419">
        <f>IF(AB147=0,0,(IF(($B$50+$C$50+$D$50+$E$50+$F$50+$G$50+$H$50+$I$50)&lt;=25000,(($I$50/+$AH147)*AB147)*VLOOKUP('1. SUMMARY'!$C$20,rate,Sheet1!AE$21,0),((IF(($F$50+$B$50+$C$50+$D$50+$E$50+$G$50+$H$50)&gt;=25000,0,(((25000-($B$50+$C$50+$D$50+$E$50+$F$50+$G$50+$H$50))/+$AH147)*AB147)*(VLOOKUP('1. SUMMARY'!$C$20,rate,Sheet1!AE$21,0))))))))</f>
        <v>0</v>
      </c>
      <c r="AC148" s="419">
        <f>IF(AC147=0,0,(IF(($B$50+$C$50+$D$50+$E$50+$F$50+$G$50+$H$50+$I$50)&lt;=25000,(($I$50/+$AH147)*AC147)*VLOOKUP('1. SUMMARY'!$C$20,rate,Sheet1!AF$21,0),((IF(($F$50+$B$50+$C$50+$D$50+$E$50+$G$50+$H$50)&gt;=25000,0,(((25000-($B$50+$C$50+$D$50+$E$50+$F$50+$G$50+$H$50))/+$AH147)*AC147)*(VLOOKUP('1. SUMMARY'!$C$20,rate,Sheet1!AF$21,0))))))))</f>
        <v>0</v>
      </c>
      <c r="AD148" s="419">
        <f>IF(AD147=0,0,(IF(($B$50+$C$50+$D$50+$E$50+$F$50+$G$50+$H$50+$I$50)&lt;=25000,(($I$50/+$AH147)*AD147)*VLOOKUP('1. SUMMARY'!$C$20,rate,Sheet1!AG$21,0),((IF(($F$50+$B$50+$C$50+$D$50+$E$50+$G$50+$H$50)&gt;=25000,0,(((25000-($B$50+$C$50+$D$50+$E$50+$F$50+$G$50+$H$50))/+$AH147)*AD147)*(VLOOKUP('1. SUMMARY'!$C$20,rate,Sheet1!AG$21,0))))))))</f>
        <v>0</v>
      </c>
      <c r="AE148" s="419">
        <f>IF(AE147=0,0,(IF(($B$50+$C$50+$D$50+$E$50+$F$50+$G$50+$H$50+$I$50)&lt;=25000,(($I$50/+$AH147)*AE147)*VLOOKUP('1. SUMMARY'!$C$20,rate,Sheet1!AH$21,0),((IF(($F$50+$B$50+$C$50+$D$50+$E$50+$G$50+$H$50)&gt;=25000,0,(((25000-($B$50+$C$50+$D$50+$E$50+$F$50+$G$50+$H$50))/+$AH147)*AE147)*(VLOOKUP('1. SUMMARY'!$C$20,rate,Sheet1!AH$21,0))))))))</f>
        <v>0</v>
      </c>
      <c r="AF148" s="419">
        <f>IF(AF147=0,0,(IF(($B$50+$C$50+$D$50+$E$50+$F$50+$G$50+$H$50+$I$50)&lt;=25000,(($I$50/+$AH147)*AF147)*VLOOKUP('1. SUMMARY'!$C$20,rate,Sheet1!AI$21,0),((IF(($F$50+$B$50+$C$50+$D$50+$E$50+$G$50+$H$50)&gt;=25000,0,(((25000-($B$50+$C$50+$D$50+$E$50+$F$50+$G$50+$H$50))/+$AH147)*AF147)*(VLOOKUP('1. SUMMARY'!$C$20,rate,Sheet1!AI$21,0))))))))</f>
        <v>0</v>
      </c>
      <c r="AG148" s="419">
        <f>IF(AG147=0,0,(IF(($B$50+$C$50+$D$50+$E$50+$F$50+$G$50+$H$50+$I$50)&lt;=25000,(($I$50/+$AH147)*AG147)*VLOOKUP('1. SUMMARY'!$C$20,rate,Sheet1!AJ$21,0),((IF(($F$50+$B$50+$C$50+$D$50+$E$50+$G$50+$H$50)&gt;=25000,0,(((25000-($B$50+$C$50+$D$50+$E$50+$F$50+$G$50+$H$50))/+$AH147)*AG147)*(VLOOKUP('1. SUMMARY'!$C$20,rate,Sheet1!AJ$21,0))))))))</f>
        <v>0</v>
      </c>
      <c r="AH148" s="219">
        <f>SUM(Q148:AG148)</f>
        <v>0</v>
      </c>
      <c r="AI148" s="419">
        <f>IF(AI147=0,0,((+$I50/$AZ147)*AI147)*VLOOKUP('1. SUMMARY'!$C$20,rate,Sheet1!T$21,0))</f>
        <v>0</v>
      </c>
      <c r="AJ148" s="419">
        <f>IF(AJ147=0,0,((+$I50/$AZ147)*AJ147)*VLOOKUP('1. SUMMARY'!$C$20,rate,Sheet1!U$21,0))</f>
        <v>0</v>
      </c>
      <c r="AK148" s="419">
        <f>IF(AK147=0,0,((+$I50/$AZ147)*AK147)*VLOOKUP('1. SUMMARY'!$C$20,rate,Sheet1!V$21,0))</f>
        <v>0</v>
      </c>
      <c r="AL148" s="419">
        <f>IF(AL147=0,0,((+$I50/$AZ147)*AL147)*VLOOKUP('1. SUMMARY'!$C$20,rate,Sheet1!W$21,0))</f>
        <v>0</v>
      </c>
      <c r="AM148" s="419">
        <f>IF(AM147=0,0,((+$I50/$AZ147)*AM147)*VLOOKUP('1. SUMMARY'!$C$20,rate,Sheet1!X$21,0))</f>
        <v>0</v>
      </c>
      <c r="AN148" s="419">
        <f>IF(AN147=0,0,((+$I50/$AZ147)*AN147)*VLOOKUP('1. SUMMARY'!$C$20,rate,Sheet1!Y$21,0))</f>
        <v>0</v>
      </c>
      <c r="AO148" s="419">
        <f>IF(AO147=0,0,((+$I50/$AZ147)*AO147)*VLOOKUP('1. SUMMARY'!$C$20,rate,Sheet1!Z$21,0))</f>
        <v>0</v>
      </c>
      <c r="AP148" s="419">
        <f>IF(AP147=0,0,((+$I50/$AZ147)*AP147)*VLOOKUP('1. SUMMARY'!$C$20,rate,Sheet1!AA$21,0))</f>
        <v>0</v>
      </c>
      <c r="AQ148" s="419">
        <f>IF(AQ147=0,0,((+$I50/$AZ147)*AQ147)*VLOOKUP('1. SUMMARY'!$C$20,rate,Sheet1!AB$21,0))</f>
        <v>0</v>
      </c>
      <c r="AR148" s="419">
        <f>IF(AR147=0,0,((+$I50/$AZ147)*AR147)*VLOOKUP('1. SUMMARY'!$C$20,rate,Sheet1!AC$21,0))</f>
        <v>0</v>
      </c>
      <c r="AS148" s="419">
        <f>IF(AS147=0,0,((+$I50/$AZ147)*AS147)*VLOOKUP('1. SUMMARY'!$C$20,rate,Sheet1!AD$21,0))</f>
        <v>0</v>
      </c>
      <c r="AT148" s="419">
        <f>IF(AT147=0,0,((+$I50/$AZ147)*AT147)*VLOOKUP('1. SUMMARY'!$C$20,rate,Sheet1!AE$21,0))</f>
        <v>0</v>
      </c>
      <c r="AU148" s="419">
        <f>IF(AU147=0,0,((+$I50/$AZ147)*AU147)*VLOOKUP('1. SUMMARY'!$C$20,rate,Sheet1!AF$21,0))</f>
        <v>0</v>
      </c>
      <c r="AV148" s="419">
        <f>IF(AV147=0,0,((+$I50/$AZ147)*AV147)*VLOOKUP('1. SUMMARY'!$C$20,rate,Sheet1!AG$21,0))</f>
        <v>0</v>
      </c>
      <c r="AW148" s="419">
        <f>IF(AW147=0,0,((+$I50/$AZ147)*AW147)*VLOOKUP('1. SUMMARY'!$C$20,rate,Sheet1!AH$21,0))</f>
        <v>0</v>
      </c>
      <c r="AX148" s="419">
        <f>IF(AX147=0,0,((+$I50/$AZ147)*AX147)*VLOOKUP('1. SUMMARY'!$C$20,rate,Sheet1!AI$21,0))</f>
        <v>0</v>
      </c>
      <c r="AY148" s="419">
        <f>IF(AY147=0,0,((+$I50/$AZ147)*AY147)*VLOOKUP('1. SUMMARY'!$C$20,rate,Sheet1!AJ$21,0))</f>
        <v>0</v>
      </c>
      <c r="AZ148" s="219">
        <f>SUM(AI148:AY148)</f>
        <v>0</v>
      </c>
    </row>
    <row r="149" spans="1:52" ht="12.75" customHeight="1">
      <c r="A149" s="226" t="s">
        <v>150</v>
      </c>
      <c r="B149" s="227"/>
      <c r="C149" s="227"/>
      <c r="D149" s="227"/>
      <c r="E149" s="227"/>
      <c r="F149" s="227"/>
      <c r="G149" s="228"/>
      <c r="H149" s="228"/>
      <c r="I149" s="228"/>
      <c r="J149" s="228"/>
      <c r="K149" s="228"/>
      <c r="L149" s="229">
        <f>SUM(B149:K149)</f>
        <v>0</v>
      </c>
      <c r="P149" s="207">
        <f t="shared" si="62"/>
        <v>1</v>
      </c>
      <c r="Q149" s="419">
        <f>+Q148/VLOOKUP('1. SUMMARY'!$C$20,rate,Sheet1!T$21,0)</f>
        <v>0</v>
      </c>
      <c r="R149" s="419">
        <f>+R148/VLOOKUP('1. SUMMARY'!$C$20,rate,Sheet1!U$21,0)</f>
        <v>0</v>
      </c>
      <c r="S149" s="419">
        <f>+S148/VLOOKUP('1. SUMMARY'!$C$20,rate,Sheet1!V$21,0)</f>
        <v>0</v>
      </c>
      <c r="T149" s="419">
        <f>+T148/VLOOKUP('1. SUMMARY'!$C$20,rate,Sheet1!W$21,0)</f>
        <v>0</v>
      </c>
      <c r="U149" s="419">
        <f>+U148/VLOOKUP('1. SUMMARY'!$C$20,rate,Sheet1!X$21,0)</f>
        <v>0</v>
      </c>
      <c r="V149" s="419">
        <f>+V148/VLOOKUP('1. SUMMARY'!$C$20,rate,Sheet1!Y$21,0)</f>
        <v>0</v>
      </c>
      <c r="W149" s="419">
        <f>+W148/VLOOKUP('1. SUMMARY'!$C$20,rate,Sheet1!Z$21,0)</f>
        <v>0</v>
      </c>
      <c r="X149" s="419">
        <f>+X148/VLOOKUP('1. SUMMARY'!$C$20,rate,Sheet1!AA$21,0)</f>
        <v>0</v>
      </c>
      <c r="Y149" s="419">
        <f>+Y148/VLOOKUP('1. SUMMARY'!$C$20,rate,Sheet1!AB$21,0)</f>
        <v>0</v>
      </c>
      <c r="Z149" s="419">
        <f>+Z148/VLOOKUP('1. SUMMARY'!$C$20,rate,Sheet1!AC$21,0)</f>
        <v>0</v>
      </c>
      <c r="AA149" s="419">
        <f>+AA148/VLOOKUP('1. SUMMARY'!$C$20,rate,Sheet1!AD$21,0)</f>
        <v>0</v>
      </c>
      <c r="AB149" s="419">
        <f>+AB148/VLOOKUP('1. SUMMARY'!$C$20,rate,Sheet1!AE$21,0)</f>
        <v>0</v>
      </c>
      <c r="AC149" s="419">
        <f>+AC148/VLOOKUP('1. SUMMARY'!$C$20,rate,Sheet1!AF$21,0)</f>
        <v>0</v>
      </c>
      <c r="AD149" s="419">
        <f>+AD148/VLOOKUP('1. SUMMARY'!$C$20,rate,Sheet1!AG$21,0)</f>
        <v>0</v>
      </c>
      <c r="AE149" s="419">
        <f>+AE148/VLOOKUP('1. SUMMARY'!$C$20,rate,Sheet1!AH$21,0)</f>
        <v>0</v>
      </c>
      <c r="AF149" s="419">
        <f>+AF148/VLOOKUP('1. SUMMARY'!$C$20,rate,Sheet1!AI$21,0)</f>
        <v>0</v>
      </c>
      <c r="AG149" s="419">
        <f>+AG148/VLOOKUP('1. SUMMARY'!$C$20,rate,Sheet1!AJ$21,0)</f>
        <v>0</v>
      </c>
      <c r="AH149" s="219"/>
      <c r="AI149" s="419"/>
      <c r="AJ149" s="419"/>
      <c r="AK149" s="419"/>
      <c r="AL149" s="419"/>
      <c r="AM149" s="419"/>
      <c r="AN149" s="419"/>
      <c r="AO149" s="419"/>
      <c r="AP149" s="419"/>
      <c r="AQ149" s="419"/>
      <c r="AR149" s="419"/>
      <c r="AS149" s="419"/>
      <c r="AT149" s="419"/>
      <c r="AU149" s="419"/>
      <c r="AV149" s="419"/>
      <c r="AW149" s="419"/>
      <c r="AX149" s="419"/>
      <c r="AY149" s="419"/>
      <c r="AZ149" s="219"/>
    </row>
    <row r="150" spans="1:52" ht="12.75" customHeight="1">
      <c r="A150" s="221" t="s">
        <v>151</v>
      </c>
      <c r="B150" s="227"/>
      <c r="C150" s="227"/>
      <c r="D150" s="227"/>
      <c r="E150" s="227"/>
      <c r="F150" s="227"/>
      <c r="G150" s="228"/>
      <c r="H150" s="228"/>
      <c r="I150" s="228"/>
      <c r="J150" s="228"/>
      <c r="K150" s="228"/>
      <c r="L150" s="229">
        <f>SUM(B150:K150)</f>
        <v>0</v>
      </c>
      <c r="P150" s="207">
        <f t="shared" si="62"/>
        <v>1</v>
      </c>
      <c r="Q150" s="416">
        <f>Sheet1!$T$8</f>
        <v>44105</v>
      </c>
      <c r="R150" s="416">
        <f>Sheet1!$U$8</f>
        <v>44470</v>
      </c>
      <c r="S150" s="416">
        <f>Sheet1!$V$8</f>
        <v>44835</v>
      </c>
      <c r="T150" s="416">
        <f>Sheet1!$W$8</f>
        <v>45200</v>
      </c>
      <c r="U150" s="416">
        <f>Sheet1!$X$8</f>
        <v>45566</v>
      </c>
      <c r="V150" s="416">
        <f>Sheet1!$Y$8</f>
        <v>45931</v>
      </c>
      <c r="W150" s="416">
        <f>Sheet1!$Z$8</f>
        <v>46296</v>
      </c>
      <c r="X150" s="416">
        <f>Sheet1!$AA$8</f>
        <v>46661</v>
      </c>
      <c r="Y150" s="416">
        <f>Sheet1!$AB$8</f>
        <v>47027</v>
      </c>
      <c r="Z150" s="416">
        <f>Sheet1!$AC$8</f>
        <v>47392</v>
      </c>
      <c r="AA150" s="416">
        <f>$AA$5</f>
        <v>47757</v>
      </c>
      <c r="AB150" s="416">
        <f>$AB$5</f>
        <v>48122</v>
      </c>
      <c r="AC150" s="416">
        <f>$AC$5</f>
        <v>48488</v>
      </c>
      <c r="AD150" s="416">
        <f>$AD$5</f>
        <v>48853</v>
      </c>
      <c r="AE150" s="416">
        <f>$AE$5</f>
        <v>49218</v>
      </c>
      <c r="AF150" s="416">
        <f>$AF$5</f>
        <v>49583</v>
      </c>
      <c r="AG150" s="416">
        <f>$AG$5</f>
        <v>49949</v>
      </c>
      <c r="AH150" s="211"/>
      <c r="AI150" s="416">
        <f t="shared" ref="AI150:AR152" si="69">+Q150</f>
        <v>44105</v>
      </c>
      <c r="AJ150" s="416">
        <f t="shared" si="69"/>
        <v>44470</v>
      </c>
      <c r="AK150" s="416">
        <f t="shared" si="69"/>
        <v>44835</v>
      </c>
      <c r="AL150" s="416">
        <f t="shared" si="69"/>
        <v>45200</v>
      </c>
      <c r="AM150" s="416">
        <f t="shared" si="69"/>
        <v>45566</v>
      </c>
      <c r="AN150" s="416">
        <f t="shared" si="69"/>
        <v>45931</v>
      </c>
      <c r="AO150" s="416">
        <f t="shared" si="69"/>
        <v>46296</v>
      </c>
      <c r="AP150" s="416">
        <f t="shared" si="69"/>
        <v>46661</v>
      </c>
      <c r="AQ150" s="416">
        <f t="shared" si="69"/>
        <v>47027</v>
      </c>
      <c r="AR150" s="416">
        <f t="shared" si="69"/>
        <v>47392</v>
      </c>
      <c r="AS150" s="416">
        <f t="shared" ref="AS150:AY152" si="70">+AA150</f>
        <v>47757</v>
      </c>
      <c r="AT150" s="416">
        <f t="shared" si="70"/>
        <v>48122</v>
      </c>
      <c r="AU150" s="416">
        <f t="shared" si="70"/>
        <v>48488</v>
      </c>
      <c r="AV150" s="416">
        <f t="shared" si="70"/>
        <v>48853</v>
      </c>
      <c r="AW150" s="416">
        <f t="shared" si="70"/>
        <v>49218</v>
      </c>
      <c r="AX150" s="416">
        <f t="shared" si="70"/>
        <v>49583</v>
      </c>
      <c r="AY150" s="416">
        <f t="shared" si="70"/>
        <v>49949</v>
      </c>
      <c r="AZ150" s="211"/>
    </row>
    <row r="151" spans="1:52" ht="12.75" customHeight="1">
      <c r="A151" s="216"/>
      <c r="B151" s="217"/>
      <c r="C151" s="217"/>
      <c r="D151" s="217"/>
      <c r="E151" s="217"/>
      <c r="F151" s="217"/>
      <c r="G151" s="217"/>
      <c r="H151" s="217"/>
      <c r="I151" s="217"/>
      <c r="J151" s="217"/>
      <c r="K151" s="217"/>
      <c r="L151" s="218"/>
      <c r="P151" s="207">
        <f t="shared" si="62"/>
        <v>1</v>
      </c>
      <c r="Q151" s="416">
        <f>Sheet1!$T$9</f>
        <v>44469</v>
      </c>
      <c r="R151" s="416">
        <f>Sheet1!$U$9</f>
        <v>44834</v>
      </c>
      <c r="S151" s="416">
        <f>Sheet1!$V$9</f>
        <v>45199</v>
      </c>
      <c r="T151" s="416">
        <f>Sheet1!$W$9</f>
        <v>45565</v>
      </c>
      <c r="U151" s="416">
        <f>Sheet1!$X$9</f>
        <v>45930</v>
      </c>
      <c r="V151" s="416">
        <f>Sheet1!$Y$9</f>
        <v>46295</v>
      </c>
      <c r="W151" s="416">
        <f>Sheet1!$Z$9</f>
        <v>46660</v>
      </c>
      <c r="X151" s="416">
        <f>Sheet1!$AA$9</f>
        <v>47026</v>
      </c>
      <c r="Y151" s="416">
        <f>Sheet1!$AB$9</f>
        <v>47391</v>
      </c>
      <c r="Z151" s="416">
        <f>Sheet1!$AC$9</f>
        <v>47756</v>
      </c>
      <c r="AA151" s="416">
        <f>$AA$6</f>
        <v>48121</v>
      </c>
      <c r="AB151" s="416">
        <f>$AB$6</f>
        <v>48487</v>
      </c>
      <c r="AC151" s="416">
        <f>$AC$6</f>
        <v>48852</v>
      </c>
      <c r="AD151" s="416">
        <f>$AD$6</f>
        <v>49217</v>
      </c>
      <c r="AE151" s="416">
        <f>$AE$6</f>
        <v>49582</v>
      </c>
      <c r="AF151" s="416">
        <f>$AF$6</f>
        <v>49948</v>
      </c>
      <c r="AG151" s="416">
        <f>$AG$6</f>
        <v>50313</v>
      </c>
      <c r="AH151" s="211"/>
      <c r="AI151" s="416">
        <f t="shared" si="69"/>
        <v>44469</v>
      </c>
      <c r="AJ151" s="416">
        <f t="shared" si="69"/>
        <v>44834</v>
      </c>
      <c r="AK151" s="416">
        <f t="shared" si="69"/>
        <v>45199</v>
      </c>
      <c r="AL151" s="416">
        <f t="shared" si="69"/>
        <v>45565</v>
      </c>
      <c r="AM151" s="416">
        <f t="shared" si="69"/>
        <v>45930</v>
      </c>
      <c r="AN151" s="416">
        <f t="shared" si="69"/>
        <v>46295</v>
      </c>
      <c r="AO151" s="416">
        <f t="shared" si="69"/>
        <v>46660</v>
      </c>
      <c r="AP151" s="416">
        <f t="shared" si="69"/>
        <v>47026</v>
      </c>
      <c r="AQ151" s="416">
        <f t="shared" si="69"/>
        <v>47391</v>
      </c>
      <c r="AR151" s="416">
        <f t="shared" si="69"/>
        <v>47756</v>
      </c>
      <c r="AS151" s="416">
        <f t="shared" si="70"/>
        <v>48121</v>
      </c>
      <c r="AT151" s="416">
        <f t="shared" si="70"/>
        <v>48487</v>
      </c>
      <c r="AU151" s="416">
        <f t="shared" si="70"/>
        <v>48852</v>
      </c>
      <c r="AV151" s="416">
        <f t="shared" si="70"/>
        <v>49217</v>
      </c>
      <c r="AW151" s="416">
        <f t="shared" si="70"/>
        <v>49582</v>
      </c>
      <c r="AX151" s="416">
        <f t="shared" si="70"/>
        <v>49948</v>
      </c>
      <c r="AY151" s="416">
        <f t="shared" si="70"/>
        <v>50313</v>
      </c>
      <c r="AZ151" s="211"/>
    </row>
    <row r="152" spans="1:52" ht="12.75" customHeight="1">
      <c r="A152" s="231" t="s">
        <v>152</v>
      </c>
      <c r="B152" s="146">
        <f t="shared" ref="B152:K152" si="71">SUM(B149:B150)</f>
        <v>0</v>
      </c>
      <c r="C152" s="146">
        <f t="shared" si="71"/>
        <v>0</v>
      </c>
      <c r="D152" s="146">
        <f t="shared" si="71"/>
        <v>0</v>
      </c>
      <c r="E152" s="146">
        <f t="shared" si="71"/>
        <v>0</v>
      </c>
      <c r="F152" s="146">
        <f t="shared" si="71"/>
        <v>0</v>
      </c>
      <c r="G152" s="146">
        <f t="shared" si="71"/>
        <v>0</v>
      </c>
      <c r="H152" s="146">
        <f t="shared" si="71"/>
        <v>0</v>
      </c>
      <c r="I152" s="146">
        <f t="shared" si="71"/>
        <v>0</v>
      </c>
      <c r="J152" s="146">
        <f t="shared" si="71"/>
        <v>0</v>
      </c>
      <c r="K152" s="146">
        <f t="shared" si="71"/>
        <v>0</v>
      </c>
      <c r="L152" s="229">
        <f>SUM(B152:K152)</f>
        <v>0</v>
      </c>
      <c r="O152" s="207">
        <v>9</v>
      </c>
      <c r="P152" s="207">
        <f t="shared" si="62"/>
        <v>1</v>
      </c>
      <c r="Q152" s="417">
        <f>IF(IF(Q151&lt;$J$27,0,DATEDIF($J$27,Q151+1,"m"))&lt;0,0,IF(Q151&lt;$J$27,0,DATEDIF($J$27,Q151+1,"m")))</f>
        <v>0</v>
      </c>
      <c r="R152" s="417">
        <f>IF(IF(Q152=12,0,IF(R151&gt;$J$28,12-DATEDIF($J$28,R151+1,"m"),IF(R151&lt;$J$27,0,DATEDIF($J$27,R151+1,"m"))))&lt;0,0,IF(Q152=12,0,IF(R151&gt;$J$28,12-DATEDIF($J$28,R151+1,"m"),IF(R151&lt;$J$27,0,DATEDIF($J$27,R151+1,"m")))))</f>
        <v>0</v>
      </c>
      <c r="S152" s="417">
        <f>IF(IF(Q152+R152=12,0,IF(S151&gt;$J$28,12-DATEDIF($J$28,S151+1,"m"),IF(S151&lt;$J$27,0,DATEDIF($J$27,S151+1,"m"))))&lt;0,0,IF(Q152+R152=12,0,IF(S151&gt;$J$28,12-DATEDIF($J$28,S151+1,"m"),IF(S151&lt;$J$27,0,DATEDIF($J$27,S151+1,"m")))))</f>
        <v>0</v>
      </c>
      <c r="T152" s="417">
        <f>IF(IF(R152+S152+Q152=12,0,IF(T151&gt;$J$28,12-DATEDIF($J$28,T151+1,"m"),IF(T151&lt;$J$27,0,DATEDIF($J$27,T151+1,"m"))))&lt;0,0,IF(R152+S152+Q152=12,0,IF(T151&gt;$J$28,12-DATEDIF($J$28,T151+1,"m"),IF(T151&lt;$J$27,0,DATEDIF($J$27,T151+1,"m")))))</f>
        <v>0</v>
      </c>
      <c r="U152" s="417">
        <f>IF(IF(S152+T152+R152+Q152=12,0,IF(U151&gt;$J$28,12-DATEDIF($J$28,U151+1,"m"),IF(U151&lt;$J$27,0,DATEDIF($J$27,U151+1,"m"))))&lt;0,0,IF(S152+T152+R152+Q152=12,0,IF(U151&gt;$J$28,12-DATEDIF($J$28,U151+1,"m"),IF(U151&lt;$J$27,0,DATEDIF($J$27,U151+1,"m")))))</f>
        <v>0</v>
      </c>
      <c r="V152" s="417">
        <f>IF(IF(T152+U152+S152+R152+Q152=12,0,IF(V151&gt;$J$28,12-DATEDIF($J$28,V151+1,"m"),IF(V151&lt;$J$27,0,DATEDIF($J$27,V151+1,"m"))))&lt;0,0,IF(T152+U152+S152+R152+Q152=12,0,IF(V151&gt;$J$28,12-DATEDIF($J$28,V151+1,"m"),IF(V151&lt;$J$27,0,DATEDIF($J$27,V151+1,"m")))))</f>
        <v>0</v>
      </c>
      <c r="W152" s="417">
        <f>IF(IF(U152+V152+T152+S152+R152+Q152=12,0,IF(W151&gt;$J$28,12-DATEDIF($J$28,W151+1,"m"),IF(W151&lt;$J$27,0,DATEDIF($J$27,W151+1,"m"))))&lt;0,0,IF(U152+V152+T152+S152+R152+Q152=12,0,IF(W151&gt;$J$28,12-DATEDIF($J$28,W151+1,"m"),IF(W151&lt;$J$27,0,DATEDIF($J$27,W151+1,"m")))))</f>
        <v>0</v>
      </c>
      <c r="X152" s="417">
        <f>IF(IF(V152+W152+U152+T152+S152+R152+Q152=12,0,IF(X151&gt;$J$28,12-DATEDIF($J$28,X151+1,"m"),IF(X151&lt;$J$27,0,DATEDIF($J$27,X151+1,"m"))))&lt;0,0,IF(V152+W152+U152+T152+S152+R152+Q152=12,0,IF(X151&gt;$J$28,12-DATEDIF($J$28,X151+1,"m"),IF(X151&lt;$J$27,0,DATEDIF($J$27,X151+1,"m")))))</f>
        <v>0</v>
      </c>
      <c r="Y152" s="417">
        <f>IF(IF(W152+X152+V152+U152+T152+S152+R152+Q152=12,0,IF(Y151&gt;$J$28,12-DATEDIF($J$28,Y151+1,"m"),IF(Y151&lt;$J$27,0,DATEDIF($J$27,Y151+1,"m"))))&lt;0,0,IF(W152+X152+V152+U152+T152+S152+R152+Q152=12,0,IF(Y151&gt;$J$28,12-DATEDIF($J$28,Y151+1,"m"),IF(Y151&lt;$J$27,0,DATEDIF($J$27,Y151+1,"m")))))</f>
        <v>0</v>
      </c>
      <c r="Z152" s="417">
        <f>IF(IF(X152+Y152+W152+V152+U152+T152+S152+R152+Q152=12,0,IF(Z151&gt;$J$28,12-DATEDIF($J$28,Z151+1,"m"),IF(Z151&lt;$J$27,0,DATEDIF($J$27,Z151+1,"m"))))&lt;0,0,IF(X152+Y152+W152+V152+U152+T152+S152+R152+Q152=12,0,IF(Z151&gt;$J$28,12-DATEDIF($J$28,Z151+1,"m"),IF(Z151&lt;$J$27,0,DATEDIF($J$27,Z151+1,"m")))))</f>
        <v>0</v>
      </c>
      <c r="AA152" s="417">
        <f>IF(IF(Q152+R152+S152+Y152+Z152+X152+W152+V152+U152+T152=12,0,IF(AA151&gt;$J$28,12-DATEDIF($J$28,AA151+1,"m"),IF(AA151&lt;$J$27,0,DATEDIF($J$27,AA151+1,"m"))))&lt;0,0,IF(Q152+R152+S152+Y152+Z152+X152+W152+V152+U152+T152=12,0,IF(AA151&gt;$J$28,12-DATEDIF($J$28,AA151+1,"m"),IF(AA151&lt;$J$27,0,DATEDIF($J$27,AA151+1,"m")))))</f>
        <v>0</v>
      </c>
      <c r="AB152" s="417">
        <f>IF(IF(Q152+R152+S152+T152+Z152+AA152+Y152+X152+W152+V152+U152=12,0,IF(AB151&gt;$J$28,12-DATEDIF($J$28,AB151+1,"m"),IF(AB151&lt;$J$27,0,DATEDIF($J$27,AB151+1,"m"))))&lt;0,0,IF(Q152+R152+S152+T152+Z152+AA152+Y152+X152+W152+V152+U152=12,0,IF(AB151&gt;$J$28,12-DATEDIF($J$28,AB151+1,"m"),IF(AB151&lt;$J$27,0,DATEDIF($J$27,AB151+1,"m")))))</f>
        <v>0</v>
      </c>
      <c r="AC152" s="417">
        <f>IF(IF(Q152+R152+S152+T152+U152+AA152+AB152+Z152+Y152+X152+W152+V152=12,0,IF(AC151&gt;$J$28,12-DATEDIF($J$28,AC151+1,"m"),IF(AC151&lt;$J$27,0,DATEDIF($J$27,AC151+1,"m"))))&lt;0,0,IF(Q152+R152+S152+T152+U152+AA152+AB152+Z152+Y152+X152+W152+V152=12,0,IF(AC151&gt;$J$28,12-DATEDIF($J$28,AC151+1,"m"),IF(AC151&lt;$J$27,0,DATEDIF($J$27,AC151+1,"m")))))</f>
        <v>0</v>
      </c>
      <c r="AD152" s="417">
        <f>IF(IF(Q152+R152+S152+T152+U152+V152+AB152+AC152+AA152+Z152+Y152+X152+W152=12,0,IF(AD151&gt;$J$28,12-DATEDIF($J$28,AD151+1,"m"),IF(AD151&lt;$J$27,0,DATEDIF($J$27,AD151+1,"m"))))&lt;0,0,IF(Q152+R152+S152+T152+U152+V152+AB152+AC152+AA152+Z152+Y152+X152+W152=12,0,IF(AD151&gt;$J$28,12-DATEDIF($J$28,AD151+1,"m"),IF(AD151&lt;$J$27,0,DATEDIF($J$27,AD151+1,"m")))))</f>
        <v>0</v>
      </c>
      <c r="AE152" s="417">
        <f>IF(IF(Q152+R152+S152+T152+U152+V152+W152+AC152+AD152+AB152+AA152+Z152+Y152+X152=12,0,IF(AE151&gt;$J$28,12-DATEDIF($J$28,AE151+1,"m"),IF(AE151&lt;$J$27,0,DATEDIF($J$27,AE151+1,"m"))))&lt;0,0,IF(Q152+R152+S152+T152+U152+V152+W152+AC152+AD152+AB152+AA152+Z152+Y152+X152=12,0,IF(AE151&gt;$J$28,12-DATEDIF($J$28,AE151+1,"m"),IF(AE151&lt;$J$27,0,DATEDIF($J$27,AE151+1,"m")))))</f>
        <v>0</v>
      </c>
      <c r="AF152" s="417">
        <f>IF(IF(Q152+R152+S152+T152+U152+V152+W152+X152+AD152+AE152+AC152+AB152+AA152+Z152+Y152=12,0,IF(AF151&gt;$J$28,12-DATEDIF($J$28,AF151+1,"m"),IF(AF151&lt;$J$27,0,DATEDIF($J$27,AF151+1,"m"))))&lt;0,0,IF(Q152+R152+S152+T152+U152+V152+W152+X152+AD152+AE152+AC152+AB152+AA152+Z152+Y152=12,0,IF(AF151&gt;$J$28,12-DATEDIF($J$28,AF151+1,"m"),IF(AF151&lt;$J$27,0,DATEDIF($J$27,AF151+1,"m")))))</f>
        <v>0</v>
      </c>
      <c r="AG152" s="417">
        <f>IF(IF(Q152+R152+S152+T152+U152+V152+W152+X152+Y152+AE152+AF152+AD152+AC152+AB152+AA152+Z152=12,0,IF(AG151&gt;$J$28,12-DATEDIF($J$28,AG151+1,"m"),IF(AG151&lt;$J$27,0,DATEDIF($J$27,AG151+1,"m"))))&lt;0,0,IF(Q152+R152+S152+T152+U152+V152+W152+X152+Y152+AE152+AF152+AD152+AC152+AB152+AA152+Z152=12,0,IF(AG151&gt;$J$28,12-DATEDIF($J$28,AG151+1,"m"),IF(AG151&lt;$J$27,0,DATEDIF($J$27,AG151+1,"m")))))</f>
        <v>0</v>
      </c>
      <c r="AH152" s="423">
        <f>SUM(Q152:AG152)</f>
        <v>0</v>
      </c>
      <c r="AI152" s="417">
        <f t="shared" si="69"/>
        <v>0</v>
      </c>
      <c r="AJ152" s="417">
        <f t="shared" si="69"/>
        <v>0</v>
      </c>
      <c r="AK152" s="417">
        <f t="shared" si="69"/>
        <v>0</v>
      </c>
      <c r="AL152" s="417">
        <f t="shared" si="69"/>
        <v>0</v>
      </c>
      <c r="AM152" s="417">
        <f t="shared" si="69"/>
        <v>0</v>
      </c>
      <c r="AN152" s="417">
        <f t="shared" si="69"/>
        <v>0</v>
      </c>
      <c r="AO152" s="417">
        <f t="shared" si="69"/>
        <v>0</v>
      </c>
      <c r="AP152" s="417">
        <f t="shared" si="69"/>
        <v>0</v>
      </c>
      <c r="AQ152" s="417">
        <f t="shared" si="69"/>
        <v>0</v>
      </c>
      <c r="AR152" s="417">
        <f t="shared" si="69"/>
        <v>0</v>
      </c>
      <c r="AS152" s="417">
        <f t="shared" si="70"/>
        <v>0</v>
      </c>
      <c r="AT152" s="417">
        <f t="shared" si="70"/>
        <v>0</v>
      </c>
      <c r="AU152" s="417">
        <f t="shared" si="70"/>
        <v>0</v>
      </c>
      <c r="AV152" s="417">
        <f t="shared" si="70"/>
        <v>0</v>
      </c>
      <c r="AW152" s="417">
        <f t="shared" si="70"/>
        <v>0</v>
      </c>
      <c r="AX152" s="417">
        <f t="shared" si="70"/>
        <v>0</v>
      </c>
      <c r="AY152" s="417">
        <f t="shared" si="70"/>
        <v>0</v>
      </c>
      <c r="AZ152" s="219">
        <f>SUM(AI152:AY152)</f>
        <v>0</v>
      </c>
    </row>
    <row r="153" spans="1:52" ht="12.75" customHeight="1">
      <c r="A153" s="216"/>
      <c r="B153" s="217"/>
      <c r="C153" s="217"/>
      <c r="D153" s="217"/>
      <c r="E153" s="217"/>
      <c r="F153" s="217"/>
      <c r="G153" s="217"/>
      <c r="H153" s="217"/>
      <c r="I153" s="217"/>
      <c r="J153" s="217"/>
      <c r="K153" s="217"/>
      <c r="L153" s="218"/>
      <c r="P153" s="207">
        <f t="shared" si="62"/>
        <v>1</v>
      </c>
      <c r="Q153" s="417">
        <f>IF(Q152=0,0,(IF(($B$50+$C$50+$D$50+$E$50+$F$50+$G$50+$H$50+$I$50+$J$50)&lt;=25000,(($J$50/+$AH152)*Q152)*VLOOKUP('1. SUMMARY'!$C$20,rate,Sheet1!T$21,0),((IF(($F$50+$B$50+$C$50+$D$50+$E$50+$G$50+$H$50+$I$50)&gt;=25000,0,(((25000-($B$50+$C$50+$D$50+$E$50+$F$50+$G$50+$H$50+$I$50))/+$AH152)*Q152)*(VLOOKUP('1. SUMMARY'!$C$20,rate,Sheet1!T$21,0))))))))</f>
        <v>0</v>
      </c>
      <c r="R153" s="417">
        <f>IF(R152=0,0,(IF(($B$50+$C$50+$D$50+$E$50+$F$50+$G$50+$H$50+$I$50+$J$50)&lt;=25000,(($J$50/+$AH152)*R152)*VLOOKUP('1. SUMMARY'!$C$20,rate,Sheet1!U$21,0),((IF(($F$50+$B$50+$C$50+$D$50+$E$50+$G$50+$H$50+$I$50)&gt;=25000,0,(((25000-($B$50+$C$50+$D$50+$E$50+$F$50+$G$50+$H$50+$I$50))/+$AH152)*R152)*(VLOOKUP('1. SUMMARY'!$C$20,rate,Sheet1!U$21,0))))))))</f>
        <v>0</v>
      </c>
      <c r="S153" s="417">
        <f>IF(S152=0,0,(IF(($B$50+$C$50+$D$50+$E$50+$F$50+$G$50+$H$50+$I$50+$J$50)&lt;=25000,(($J$50/+$AH152)*S152)*VLOOKUP('1. SUMMARY'!$C$20,rate,Sheet1!V$21,0),((IF(($F$50+$B$50+$C$50+$D$50+$E$50+$G$50+$H$50+$I$50)&gt;=25000,0,(((25000-($B$50+$C$50+$D$50+$E$50+$F$50+$G$50+$H$50+$I$50))/+$AH152)*S152)*(VLOOKUP('1. SUMMARY'!$C$20,rate,Sheet1!V$21,0))))))))</f>
        <v>0</v>
      </c>
      <c r="T153" s="417">
        <f>IF(T152=0,0,(IF(($B$50+$C$50+$D$50+$E$50+$F$50+$G$50+$H$50+$I$50+$J$50)&lt;=25000,(($J$50/+$AH152)*T152)*VLOOKUP('1. SUMMARY'!$C$20,rate,Sheet1!W$21,0),((IF(($F$50+$B$50+$C$50+$D$50+$E$50+$G$50+$H$50+$I$50)&gt;=25000,0,(((25000-($B$50+$C$50+$D$50+$E$50+$F$50+$G$50+$H$50+$I$50))/+$AH152)*T152)*(VLOOKUP('1. SUMMARY'!$C$20,rate,Sheet1!W$21,0))))))))</f>
        <v>0</v>
      </c>
      <c r="U153" s="417">
        <f>IF(U152=0,0,(IF(($B$50+$C$50+$D$50+$E$50+$F$50+$G$50+$H$50+$I$50+$J$50)&lt;=25000,(($J$50/+$AH152)*U152)*VLOOKUP('1. SUMMARY'!$C$20,rate,Sheet1!X$21,0),((IF(($F$50+$B$50+$C$50+$D$50+$E$50+$G$50+$H$50+$I$50)&gt;=25000,0,(((25000-($B$50+$C$50+$D$50+$E$50+$F$50+$G$50+$H$50+$I$50))/+$AH152)*U152)*(VLOOKUP('1. SUMMARY'!$C$20,rate,Sheet1!X$21,0))))))))</f>
        <v>0</v>
      </c>
      <c r="V153" s="417">
        <f>IF(V152=0,0,(IF(($B$50+$C$50+$D$50+$E$50+$F$50+$G$50+$H$50+$I$50+$J$50)&lt;=25000,(($J$50/+$AH152)*V152)*VLOOKUP('1. SUMMARY'!$C$20,rate,Sheet1!Y$21,0),((IF(($F$50+$B$50+$C$50+$D$50+$E$50+$G$50+$H$50+$I$50)&gt;=25000,0,(((25000-($B$50+$C$50+$D$50+$E$50+$F$50+$G$50+$H$50+$I$50))/+$AH152)*V152)*(VLOOKUP('1. SUMMARY'!$C$20,rate,Sheet1!Y$21,0))))))))</f>
        <v>0</v>
      </c>
      <c r="W153" s="417">
        <f>IF(W152=0,0,(IF(($B$50+$C$50+$D$50+$E$50+$F$50+$G$50+$H$50+$I$50+$J$50)&lt;=25000,(($J$50/+$AH152)*W152)*VLOOKUP('1. SUMMARY'!$C$20,rate,Sheet1!Z$21,0),((IF(($F$50+$B$50+$C$50+$D$50+$E$50+$G$50+$H$50+$I$50)&gt;=25000,0,(((25000-($B$50+$C$50+$D$50+$E$50+$F$50+$G$50+$H$50+$I$50))/+$AH152)*W152)*(VLOOKUP('1. SUMMARY'!$C$20,rate,Sheet1!Z$21,0))))))))</f>
        <v>0</v>
      </c>
      <c r="X153" s="417">
        <f>IF(X152=0,0,(IF(($B$50+$C$50+$D$50+$E$50+$F$50+$G$50+$H$50+$I$50+$J$50)&lt;=25000,(($J$50/+$AH152)*X152)*VLOOKUP('1. SUMMARY'!$C$20,rate,Sheet1!AA$21,0),((IF(($F$50+$B$50+$C$50+$D$50+$E$50+$G$50+$H$50+$I$50)&gt;=25000,0,(((25000-($B$50+$C$50+$D$50+$E$50+$F$50+$G$50+$H$50+$I$50))/+$AH152)*X152)*(VLOOKUP('1. SUMMARY'!$C$20,rate,Sheet1!AA$21,0))))))))</f>
        <v>0</v>
      </c>
      <c r="Y153" s="417">
        <f>IF(Y152=0,0,(IF(($B$50+$C$50+$D$50+$E$50+$F$50+$G$50+$H$50+$I$50+$J$50)&lt;=25000,(($J$50/+$AH152)*Y152)*VLOOKUP('1. SUMMARY'!$C$20,rate,Sheet1!AB$21,0),((IF(($F$50+$B$50+$C$50+$D$50+$E$50+$G$50+$H$50+$I$50)&gt;=25000,0,(((25000-($B$50+$C$50+$D$50+$E$50+$F$50+$G$50+$H$50+$I$50))/+$AH152)*Y152)*(VLOOKUP('1. SUMMARY'!$C$20,rate,Sheet1!AB$21,0))))))))</f>
        <v>0</v>
      </c>
      <c r="Z153" s="417">
        <f>IF(Z152=0,0,(IF(($B$50+$C$50+$D$50+$E$50+$F$50+$G$50+$H$50+$I$50+$J$50)&lt;=25000,(($J$50/+$AH152)*Z152)*VLOOKUP('1. SUMMARY'!$C$20,rate,Sheet1!AC$21,0),((IF(($F$50+$B$50+$C$50+$D$50+$E$50+$G$50+$H$50+$I$50)&gt;=25000,0,(((25000-($B$50+$C$50+$D$50+$E$50+$F$50+$G$50+$H$50+$I$50))/+$AH152)*Z152)*(VLOOKUP('1. SUMMARY'!$C$20,rate,Sheet1!AC$21,0))))))))</f>
        <v>0</v>
      </c>
      <c r="AA153" s="417">
        <f>IF(AA152=0,0,(IF(($B$50+$C$50+$D$50+$E$50+$F$50+$G$50+$H$50+$I$50+$J$50)&lt;=25000,(($J$50/+$AH152)*AA152)*VLOOKUP('1. SUMMARY'!$C$20,rate,Sheet1!AD$21,0),((IF(($F$50+$B$50+$C$50+$D$50+$E$50+$G$50+$H$50+$I$50)&gt;=25000,0,(((25000-($B$50+$C$50+$D$50+$E$50+$F$50+$G$50+$H$50+$I$50))/+$AH152)*AA152)*(VLOOKUP('1. SUMMARY'!$C$20,rate,Sheet1!AD$21,0))))))))</f>
        <v>0</v>
      </c>
      <c r="AB153" s="417">
        <f>IF(AB152=0,0,(IF(($B$50+$C$50+$D$50+$E$50+$F$50+$G$50+$H$50+$I$50+$J$50)&lt;=25000,(($J$50/+$AH152)*AB152)*VLOOKUP('1. SUMMARY'!$C$20,rate,Sheet1!AE$21,0),((IF(($F$50+$B$50+$C$50+$D$50+$E$50+$G$50+$H$50+$I$50)&gt;=25000,0,(((25000-($B$50+$C$50+$D$50+$E$50+$F$50+$G$50+$H$50+$I$50))/+$AH152)*AB152)*(VLOOKUP('1. SUMMARY'!$C$20,rate,Sheet1!AE$21,0))))))))</f>
        <v>0</v>
      </c>
      <c r="AC153" s="417">
        <f>IF(AC152=0,0,(IF(($B$50+$C$50+$D$50+$E$50+$F$50+$G$50+$H$50+$I$50+$J$50)&lt;=25000,(($J$50/+$AH152)*AC152)*VLOOKUP('1. SUMMARY'!$C$20,rate,Sheet1!AF$21,0),((IF(($F$50+$B$50+$C$50+$D$50+$E$50+$G$50+$H$50+$I$50)&gt;=25000,0,(((25000-($B$50+$C$50+$D$50+$E$50+$F$50+$G$50+$H$50+$I$50))/+$AH152)*AC152)*(VLOOKUP('1. SUMMARY'!$C$20,rate,Sheet1!AF$21,0))))))))</f>
        <v>0</v>
      </c>
      <c r="AD153" s="417">
        <f>IF(AD152=0,0,(IF(($B$50+$C$50+$D$50+$E$50+$F$50+$G$50+$H$50+$I$50+$J$50)&lt;=25000,(($J$50/+$AH152)*AD152)*VLOOKUP('1. SUMMARY'!$C$20,rate,Sheet1!AG$21,0),((IF(($F$50+$B$50+$C$50+$D$50+$E$50+$G$50+$H$50+$I$50)&gt;=25000,0,(((25000-($B$50+$C$50+$D$50+$E$50+$F$50+$G$50+$H$50+$I$50))/+$AH152)*AD152)*(VLOOKUP('1. SUMMARY'!$C$20,rate,Sheet1!AG$21,0))))))))</f>
        <v>0</v>
      </c>
      <c r="AE153" s="417">
        <f>IF(AE152=0,0,(IF(($B$50+$C$50+$D$50+$E$50+$F$50+$G$50+$H$50+$I$50+$J$50)&lt;=25000,(($J$50/+$AH152)*AE152)*VLOOKUP('1. SUMMARY'!$C$20,rate,Sheet1!AH$21,0),((IF(($F$50+$B$50+$C$50+$D$50+$E$50+$G$50+$H$50+$I$50)&gt;=25000,0,(((25000-($B$50+$C$50+$D$50+$E$50+$F$50+$G$50+$H$50+$I$50))/+$AH152)*AE152)*(VLOOKUP('1. SUMMARY'!$C$20,rate,Sheet1!AH$21,0))))))))</f>
        <v>0</v>
      </c>
      <c r="AF153" s="417">
        <f>IF(AF152=0,0,(IF(($B$50+$C$50+$D$50+$E$50+$F$50+$G$50+$H$50+$I$50+$J$50)&lt;=25000,(($J$50/+$AH152)*AF152)*VLOOKUP('1. SUMMARY'!$C$20,rate,Sheet1!AI$21,0),((IF(($F$50+$B$50+$C$50+$D$50+$E$50+$G$50+$H$50+$I$50)&gt;=25000,0,(((25000-($B$50+$C$50+$D$50+$E$50+$F$50+$G$50+$H$50+$I$50))/+$AH152)*AF152)*(VLOOKUP('1. SUMMARY'!$C$20,rate,Sheet1!AI$21,0))))))))</f>
        <v>0</v>
      </c>
      <c r="AG153" s="417">
        <f>IF(AG152=0,0,(IF(($B$50+$C$50+$D$50+$E$50+$F$50+$G$50+$H$50+$I$50+$J$50)&lt;=25000,(($J$50/+$AH152)*AG152)*VLOOKUP('1. SUMMARY'!$C$20,rate,Sheet1!AJ$21,0),((IF(($F$50+$B$50+$C$50+$D$50+$E$50+$G$50+$H$50+$I$50)&gt;=25000,0,(((25000-($B$50+$C$50+$D$50+$E$50+$F$50+$G$50+$H$50+$I$50))/+$AH152)*AG152)*(VLOOKUP('1. SUMMARY'!$C$20,rate,Sheet1!AJ$21,0))))))))</f>
        <v>0</v>
      </c>
      <c r="AH153" s="219">
        <f>SUM(Q153:AG153)</f>
        <v>0</v>
      </c>
      <c r="AI153" s="417">
        <f>IF(AI152=0,0,((+$J50/$AZ152)*AI152)*VLOOKUP('1. SUMMARY'!$C$20,rate,Sheet1!T$21,0))</f>
        <v>0</v>
      </c>
      <c r="AJ153" s="417">
        <f>IF(AJ152=0,0,((+$J50/$AZ152)*AJ152)*VLOOKUP('1. SUMMARY'!$C$20,rate,Sheet1!U$21,0))</f>
        <v>0</v>
      </c>
      <c r="AK153" s="417">
        <f>IF(AK152=0,0,((+$J50/$AZ152)*AK152)*VLOOKUP('1. SUMMARY'!$C$20,rate,Sheet1!V$21,0))</f>
        <v>0</v>
      </c>
      <c r="AL153" s="417">
        <f>IF(AL152=0,0,((+$J50/$AZ152)*AL152)*VLOOKUP('1. SUMMARY'!$C$20,rate,Sheet1!W$21,0))</f>
        <v>0</v>
      </c>
      <c r="AM153" s="417">
        <f>IF(AM152=0,0,((+$J50/$AZ152)*AM152)*VLOOKUP('1. SUMMARY'!$C$20,rate,Sheet1!X$21,0))</f>
        <v>0</v>
      </c>
      <c r="AN153" s="417">
        <f>IF(AN152=0,0,((+$J50/$AZ152)*AN152)*VLOOKUP('1. SUMMARY'!$C$20,rate,Sheet1!Y$21,0))</f>
        <v>0</v>
      </c>
      <c r="AO153" s="417">
        <f>IF(AO152=0,0,((+$J50/$AZ152)*AO152)*VLOOKUP('1. SUMMARY'!$C$20,rate,Sheet1!Z$21,0))</f>
        <v>0</v>
      </c>
      <c r="AP153" s="417">
        <f>IF(AP152=0,0,((+$J50/$AZ152)*AP152)*VLOOKUP('1. SUMMARY'!$C$20,rate,Sheet1!AA$21,0))</f>
        <v>0</v>
      </c>
      <c r="AQ153" s="417">
        <f>IF(AQ152=0,0,((+$J50/$AZ152)*AQ152)*VLOOKUP('1. SUMMARY'!$C$20,rate,Sheet1!AB$21,0))</f>
        <v>0</v>
      </c>
      <c r="AR153" s="417">
        <f>IF(AR152=0,0,((+$J50/$AZ152)*AR152)*VLOOKUP('1. SUMMARY'!$C$20,rate,Sheet1!AC$21,0))</f>
        <v>0</v>
      </c>
      <c r="AS153" s="417">
        <f>IF(AS152=0,0,((+$J50/$AZ152)*AS152)*VLOOKUP('1. SUMMARY'!$C$20,rate,Sheet1!AD$21,0))</f>
        <v>0</v>
      </c>
      <c r="AT153" s="417">
        <f>IF(AT152=0,0,((+$J50/$AZ152)*AT152)*VLOOKUP('1. SUMMARY'!$C$20,rate,Sheet1!AE$21,0))</f>
        <v>0</v>
      </c>
      <c r="AU153" s="417">
        <f>IF(AU152=0,0,((+$J50/$AZ152)*AU152)*VLOOKUP('1. SUMMARY'!$C$20,rate,Sheet1!AF$21,0))</f>
        <v>0</v>
      </c>
      <c r="AV153" s="417">
        <f>IF(AV152=0,0,((+$J50/$AZ152)*AV152)*VLOOKUP('1. SUMMARY'!$C$20,rate,Sheet1!AG$21,0))</f>
        <v>0</v>
      </c>
      <c r="AW153" s="417">
        <f>IF(AW152=0,0,((+$J50/$AZ152)*AW152)*VLOOKUP('1. SUMMARY'!$C$20,rate,Sheet1!AH$21,0))</f>
        <v>0</v>
      </c>
      <c r="AX153" s="417">
        <f>IF(AX152=0,0,((+$J50/$AZ152)*AX152)*VLOOKUP('1. SUMMARY'!$C$20,rate,Sheet1!AI$21,0))</f>
        <v>0</v>
      </c>
      <c r="AY153" s="417">
        <f>IF(AY152=0,0,((+$J50/$AZ152)*AY152)*VLOOKUP('1. SUMMARY'!$C$20,rate,Sheet1!AJ$21,0))</f>
        <v>0</v>
      </c>
      <c r="AZ153" s="219">
        <f>SUM(AI153:AY153)</f>
        <v>0</v>
      </c>
    </row>
    <row r="154" spans="1:52" ht="12.75" customHeight="1">
      <c r="A154" s="226" t="s">
        <v>153</v>
      </c>
      <c r="B154" s="233">
        <f>IF(B146="No "&amp;B145,0,IF('1. SUMMARY'!$Q$20=1,+$AH413,$AZ413))</f>
        <v>0</v>
      </c>
      <c r="C154" s="233">
        <f>IF(C146="No "&amp;C145,0,IF('1. SUMMARY'!$Q$20=1,+$AH418,$AZ418))</f>
        <v>0</v>
      </c>
      <c r="D154" s="233">
        <f>IF(D146="No "&amp;D145,0,IF('1. SUMMARY'!$Q$20=1,+$AH423,$AZ423))</f>
        <v>0</v>
      </c>
      <c r="E154" s="233">
        <f>IF(E146="No "&amp;E145,0,IF('1. SUMMARY'!$Q$20=1,+$AH428,$AZ428))</f>
        <v>0</v>
      </c>
      <c r="F154" s="233">
        <f>IF(F146="No "&amp;F145,0,IF('1. SUMMARY'!$Q$20=1,+$AH433,$AZ433))</f>
        <v>0</v>
      </c>
      <c r="G154" s="233">
        <f>IF(G146="No "&amp;G145,0,IF('1. SUMMARY'!$Q$20=1,+$AH438,$AZ438))</f>
        <v>0</v>
      </c>
      <c r="H154" s="233">
        <f>IF(H146="No "&amp;H145,0,IF('1. SUMMARY'!$Q$20=1,+$AH443,$AZ443))</f>
        <v>0</v>
      </c>
      <c r="I154" s="233">
        <f>IF(I146="No "&amp;I145,0,IF('1. SUMMARY'!$Q$20=1,+$AH448,$AZ448))</f>
        <v>0</v>
      </c>
      <c r="J154" s="233">
        <f>IF(J146="No "&amp;J145,0,IF('1. SUMMARY'!$Q$20=1,+$AH453,$AZ453))</f>
        <v>0</v>
      </c>
      <c r="K154" s="233">
        <f>IF(K146="No "&amp;K145,0,IF('1. SUMMARY'!$Q$20=1,+$AH458,$AZ458))</f>
        <v>0</v>
      </c>
      <c r="L154" s="229">
        <f>SUM(B154:K154)</f>
        <v>0</v>
      </c>
      <c r="P154" s="207">
        <f t="shared" si="62"/>
        <v>1</v>
      </c>
      <c r="Q154" s="417">
        <f>+Q153/VLOOKUP('1. SUMMARY'!$C$20,rate,Sheet1!T$21,0)</f>
        <v>0</v>
      </c>
      <c r="R154" s="417">
        <f>+R153/VLOOKUP('1. SUMMARY'!$C$20,rate,Sheet1!U$21,0)</f>
        <v>0</v>
      </c>
      <c r="S154" s="417">
        <f>+S153/VLOOKUP('1. SUMMARY'!$C$20,rate,Sheet1!V$21,0)</f>
        <v>0</v>
      </c>
      <c r="T154" s="417">
        <f>+T153/VLOOKUP('1. SUMMARY'!$C$20,rate,Sheet1!W$21,0)</f>
        <v>0</v>
      </c>
      <c r="U154" s="417">
        <f>+U153/VLOOKUP('1. SUMMARY'!$C$20,rate,Sheet1!X$21,0)</f>
        <v>0</v>
      </c>
      <c r="V154" s="417">
        <f>+V153/VLOOKUP('1. SUMMARY'!$C$20,rate,Sheet1!Y$21,0)</f>
        <v>0</v>
      </c>
      <c r="W154" s="417">
        <f>+W153/VLOOKUP('1. SUMMARY'!$C$20,rate,Sheet1!Z$21,0)</f>
        <v>0</v>
      </c>
      <c r="X154" s="417">
        <f>+X153/VLOOKUP('1. SUMMARY'!$C$20,rate,Sheet1!AA$21,0)</f>
        <v>0</v>
      </c>
      <c r="Y154" s="417">
        <f>+Y153/VLOOKUP('1. SUMMARY'!$C$20,rate,Sheet1!AB$21,0)</f>
        <v>0</v>
      </c>
      <c r="Z154" s="417">
        <f>+Z153/VLOOKUP('1. SUMMARY'!$C$20,rate,Sheet1!AC$21,0)</f>
        <v>0</v>
      </c>
      <c r="AA154" s="417">
        <f>+AA153/VLOOKUP('1. SUMMARY'!$C$20,rate,Sheet1!AD$21,0)</f>
        <v>0</v>
      </c>
      <c r="AB154" s="417">
        <f>+AB153/VLOOKUP('1. SUMMARY'!$C$20,rate,Sheet1!AE$21,0)</f>
        <v>0</v>
      </c>
      <c r="AC154" s="417">
        <f>+AC153/VLOOKUP('1. SUMMARY'!$C$20,rate,Sheet1!AF$21,0)</f>
        <v>0</v>
      </c>
      <c r="AD154" s="417">
        <f>+AD153/VLOOKUP('1. SUMMARY'!$C$20,rate,Sheet1!AG$21,0)</f>
        <v>0</v>
      </c>
      <c r="AE154" s="417">
        <f>+AE153/VLOOKUP('1. SUMMARY'!$C$20,rate,Sheet1!AH$21,0)</f>
        <v>0</v>
      </c>
      <c r="AF154" s="417">
        <f>+AF153/VLOOKUP('1. SUMMARY'!$C$20,rate,Sheet1!AI$21,0)</f>
        <v>0</v>
      </c>
      <c r="AG154" s="417">
        <f>+AG153/VLOOKUP('1. SUMMARY'!$C$20,rate,Sheet1!AJ$21,0)</f>
        <v>0</v>
      </c>
      <c r="AH154" s="219"/>
      <c r="AI154" s="417"/>
      <c r="AJ154" s="417"/>
      <c r="AK154" s="417"/>
      <c r="AL154" s="417"/>
      <c r="AM154" s="417"/>
      <c r="AN154" s="417"/>
      <c r="AO154" s="417"/>
      <c r="AP154" s="417"/>
      <c r="AQ154" s="417"/>
      <c r="AR154" s="417"/>
      <c r="AS154" s="417"/>
      <c r="AT154" s="417"/>
      <c r="AU154" s="417"/>
      <c r="AV154" s="417"/>
      <c r="AW154" s="417"/>
      <c r="AX154" s="417"/>
      <c r="AY154" s="417"/>
      <c r="AZ154" s="219"/>
    </row>
    <row r="155" spans="1:52" ht="12.75" customHeight="1">
      <c r="A155" s="216"/>
      <c r="B155" s="234"/>
      <c r="C155" s="234"/>
      <c r="D155" s="234"/>
      <c r="E155" s="234"/>
      <c r="F155" s="234"/>
      <c r="G155" s="234"/>
      <c r="H155" s="234"/>
      <c r="I155" s="234"/>
      <c r="J155" s="234"/>
      <c r="K155" s="234"/>
      <c r="L155" s="235"/>
      <c r="P155" s="207">
        <f t="shared" si="62"/>
        <v>1</v>
      </c>
      <c r="Q155" s="420">
        <f>Sheet1!$T$8</f>
        <v>44105</v>
      </c>
      <c r="R155" s="420">
        <f>Sheet1!$U$8</f>
        <v>44470</v>
      </c>
      <c r="S155" s="420">
        <f>Sheet1!$V$8</f>
        <v>44835</v>
      </c>
      <c r="T155" s="420">
        <f>Sheet1!$W$8</f>
        <v>45200</v>
      </c>
      <c r="U155" s="420">
        <f>Sheet1!$X$8</f>
        <v>45566</v>
      </c>
      <c r="V155" s="420">
        <f>Sheet1!$Y$8</f>
        <v>45931</v>
      </c>
      <c r="W155" s="420">
        <f>Sheet1!$Z$8</f>
        <v>46296</v>
      </c>
      <c r="X155" s="420">
        <f>Sheet1!$AA$8</f>
        <v>46661</v>
      </c>
      <c r="Y155" s="420">
        <f>Sheet1!$AB$8</f>
        <v>47027</v>
      </c>
      <c r="Z155" s="420">
        <f>Sheet1!$AC$8</f>
        <v>47392</v>
      </c>
      <c r="AA155" s="420">
        <f>$AA$5</f>
        <v>47757</v>
      </c>
      <c r="AB155" s="420">
        <f>$AB$5</f>
        <v>48122</v>
      </c>
      <c r="AC155" s="420">
        <f>$AC$5</f>
        <v>48488</v>
      </c>
      <c r="AD155" s="420">
        <f>$AD$5</f>
        <v>48853</v>
      </c>
      <c r="AE155" s="420">
        <f>$AE$5</f>
        <v>49218</v>
      </c>
      <c r="AF155" s="420">
        <f>$AF$5</f>
        <v>49583</v>
      </c>
      <c r="AG155" s="420">
        <f>$AG$5</f>
        <v>49949</v>
      </c>
      <c r="AH155" s="211"/>
      <c r="AI155" s="420">
        <f t="shared" ref="AI155:AR157" si="72">+Q155</f>
        <v>44105</v>
      </c>
      <c r="AJ155" s="420">
        <f t="shared" si="72"/>
        <v>44470</v>
      </c>
      <c r="AK155" s="420">
        <f t="shared" si="72"/>
        <v>44835</v>
      </c>
      <c r="AL155" s="420">
        <f t="shared" si="72"/>
        <v>45200</v>
      </c>
      <c r="AM155" s="420">
        <f t="shared" si="72"/>
        <v>45566</v>
      </c>
      <c r="AN155" s="420">
        <f t="shared" si="72"/>
        <v>45931</v>
      </c>
      <c r="AO155" s="420">
        <f t="shared" si="72"/>
        <v>46296</v>
      </c>
      <c r="AP155" s="420">
        <f t="shared" si="72"/>
        <v>46661</v>
      </c>
      <c r="AQ155" s="420">
        <f t="shared" si="72"/>
        <v>47027</v>
      </c>
      <c r="AR155" s="420">
        <f t="shared" si="72"/>
        <v>47392</v>
      </c>
      <c r="AS155" s="420">
        <f t="shared" ref="AS155:AY157" si="73">+AA155</f>
        <v>47757</v>
      </c>
      <c r="AT155" s="420">
        <f t="shared" si="73"/>
        <v>48122</v>
      </c>
      <c r="AU155" s="420">
        <f t="shared" si="73"/>
        <v>48488</v>
      </c>
      <c r="AV155" s="420">
        <f t="shared" si="73"/>
        <v>48853</v>
      </c>
      <c r="AW155" s="420">
        <f t="shared" si="73"/>
        <v>49218</v>
      </c>
      <c r="AX155" s="420">
        <f t="shared" si="73"/>
        <v>49583</v>
      </c>
      <c r="AY155" s="420">
        <f t="shared" si="73"/>
        <v>49949</v>
      </c>
      <c r="AZ155" s="211"/>
    </row>
    <row r="156" spans="1:52" ht="12.75" customHeight="1" thickBot="1">
      <c r="A156" s="236" t="s">
        <v>154</v>
      </c>
      <c r="B156" s="237">
        <f>SUM(B152:B154)</f>
        <v>0</v>
      </c>
      <c r="C156" s="237" t="str">
        <f>IF(C146="No Year 2","",SUM(C152:C154))</f>
        <v/>
      </c>
      <c r="D156" s="237" t="str">
        <f>IF(D146="No Year 3","",SUM(D152:D154))</f>
        <v/>
      </c>
      <c r="E156" s="237" t="str">
        <f>IF(E146="No Year 4","",SUM(E152:E154))</f>
        <v/>
      </c>
      <c r="F156" s="237" t="str">
        <f>IF(F146="No Year 5","",SUM(F152:F154))</f>
        <v/>
      </c>
      <c r="G156" s="237" t="str">
        <f>IF(G146="No Year 6","",SUM(G152:G154))</f>
        <v/>
      </c>
      <c r="H156" s="237" t="str">
        <f>IF(H146="No Year 7","",SUM(H152:H154))</f>
        <v/>
      </c>
      <c r="I156" s="237" t="str">
        <f>IF(I146="No Year 8","",SUM(I152:I154))</f>
        <v/>
      </c>
      <c r="J156" s="237" t="str">
        <f>IF(J146="No Year 9","",SUM(J152:J154))</f>
        <v/>
      </c>
      <c r="K156" s="237" t="str">
        <f>IF(K146="No Year 10","",SUM(K152:K154))</f>
        <v/>
      </c>
      <c r="L156" s="238">
        <f>SUM(B156:K156)</f>
        <v>0</v>
      </c>
      <c r="N156" s="86">
        <f>IF(L156&gt;0,1,0)</f>
        <v>0</v>
      </c>
      <c r="P156" s="207">
        <f t="shared" si="62"/>
        <v>1</v>
      </c>
      <c r="Q156" s="420">
        <f>Sheet1!$T$9</f>
        <v>44469</v>
      </c>
      <c r="R156" s="420">
        <f>Sheet1!$U$9</f>
        <v>44834</v>
      </c>
      <c r="S156" s="420">
        <f>Sheet1!$V$9</f>
        <v>45199</v>
      </c>
      <c r="T156" s="420">
        <f>Sheet1!$W$9</f>
        <v>45565</v>
      </c>
      <c r="U156" s="420">
        <f>Sheet1!$X$9</f>
        <v>45930</v>
      </c>
      <c r="V156" s="420">
        <f>Sheet1!$Y$9</f>
        <v>46295</v>
      </c>
      <c r="W156" s="420">
        <f>Sheet1!$Z$9</f>
        <v>46660</v>
      </c>
      <c r="X156" s="420">
        <f>Sheet1!$AA$9</f>
        <v>47026</v>
      </c>
      <c r="Y156" s="420">
        <f>Sheet1!$AB$9</f>
        <v>47391</v>
      </c>
      <c r="Z156" s="420">
        <f>Sheet1!$AC$9</f>
        <v>47756</v>
      </c>
      <c r="AA156" s="420">
        <f>$AA$6</f>
        <v>48121</v>
      </c>
      <c r="AB156" s="420">
        <f>$AB$6</f>
        <v>48487</v>
      </c>
      <c r="AC156" s="420">
        <f>$AC$6</f>
        <v>48852</v>
      </c>
      <c r="AD156" s="420">
        <f>$AD$6</f>
        <v>49217</v>
      </c>
      <c r="AE156" s="420">
        <f>$AE$6</f>
        <v>49582</v>
      </c>
      <c r="AF156" s="420">
        <f>$AF$6</f>
        <v>49948</v>
      </c>
      <c r="AG156" s="420">
        <f>$AG$6</f>
        <v>50313</v>
      </c>
      <c r="AH156" s="211"/>
      <c r="AI156" s="420">
        <f t="shared" si="72"/>
        <v>44469</v>
      </c>
      <c r="AJ156" s="420">
        <f t="shared" si="72"/>
        <v>44834</v>
      </c>
      <c r="AK156" s="420">
        <f t="shared" si="72"/>
        <v>45199</v>
      </c>
      <c r="AL156" s="420">
        <f t="shared" si="72"/>
        <v>45565</v>
      </c>
      <c r="AM156" s="420">
        <f t="shared" si="72"/>
        <v>45930</v>
      </c>
      <c r="AN156" s="420">
        <f t="shared" si="72"/>
        <v>46295</v>
      </c>
      <c r="AO156" s="420">
        <f t="shared" si="72"/>
        <v>46660</v>
      </c>
      <c r="AP156" s="420">
        <f t="shared" si="72"/>
        <v>47026</v>
      </c>
      <c r="AQ156" s="420">
        <f t="shared" si="72"/>
        <v>47391</v>
      </c>
      <c r="AR156" s="420">
        <f t="shared" si="72"/>
        <v>47756</v>
      </c>
      <c r="AS156" s="420">
        <f t="shared" si="73"/>
        <v>48121</v>
      </c>
      <c r="AT156" s="420">
        <f t="shared" si="73"/>
        <v>48487</v>
      </c>
      <c r="AU156" s="420">
        <f t="shared" si="73"/>
        <v>48852</v>
      </c>
      <c r="AV156" s="420">
        <f t="shared" si="73"/>
        <v>49217</v>
      </c>
      <c r="AW156" s="420">
        <f t="shared" si="73"/>
        <v>49582</v>
      </c>
      <c r="AX156" s="420">
        <f t="shared" si="73"/>
        <v>49948</v>
      </c>
      <c r="AY156" s="420">
        <f t="shared" si="73"/>
        <v>50313</v>
      </c>
      <c r="AZ156" s="211"/>
    </row>
    <row r="157" spans="1:52" ht="12.75" customHeight="1" thickTop="1">
      <c r="O157" s="207">
        <v>10</v>
      </c>
      <c r="P157" s="207">
        <f t="shared" si="62"/>
        <v>1</v>
      </c>
      <c r="Q157" s="421">
        <f>IF(IF(Q156&lt;$K$27,0,DATEDIF($K$27,Q156+1,"m"))&lt;0,0,IF(Q156&lt;$K$27,0,DATEDIF($K$27,Q156+1,"m")))</f>
        <v>0</v>
      </c>
      <c r="R157" s="421">
        <f>IF(IF(Q157=12,0,IF(R156&gt;$K$28,12-DATEDIF($K$28,R156+1,"m"),IF(R156&lt;$K$27,0,DATEDIF($K$27,R156+1,"m"))))&lt;0,0,IF(Q157=12,0,IF(R156&gt;$K$28,12-DATEDIF($K$28,R156+1,"m"),IF(R156&lt;$K$27,0,DATEDIF($K$27,R156+1,"m")))))</f>
        <v>0</v>
      </c>
      <c r="S157" s="421">
        <f>IF(IF(Q157+R157=12,0,IF(S156&gt;$K$28,12-DATEDIF($K$28,S156+1,"m"),IF(S156&lt;$K$27,0,DATEDIF($K$27,S156+1,"m"))))&lt;0,0,IF(Q157+R157=12,0,IF(S156&gt;$K$28,12-DATEDIF($K$28,S156+1,"m"),IF(S156&lt;$K$27,0,DATEDIF($K$27,S156+1,"m")))))</f>
        <v>0</v>
      </c>
      <c r="T157" s="421">
        <f>IF(IF(R157+S157+Q157=12,0,IF(T156&gt;$K$28,12-DATEDIF($K$28,T156+1,"m"),IF(T156&lt;$K$27,0,DATEDIF($K$27,T156+1,"m"))))&lt;0,0,IF(R157+S157+Q157=12,0,IF(T156&gt;$K$28,12-DATEDIF($K$28,T156+1,"m"),IF(T156&lt;$K$27,0,DATEDIF($K$27,T156+1,"m")))))</f>
        <v>0</v>
      </c>
      <c r="U157" s="421">
        <f>IF(IF(S157+T157+R157+Q157=12,0,IF(U156&gt;$K$28,12-DATEDIF($K$28,U156+1,"m"),IF(U156&lt;$K$27,0,DATEDIF($K$27,U156+1,"m"))))&lt;0,0,IF(S157+T157+R157+Q157=12,0,IF(U156&gt;$K$28,12-DATEDIF($K$28,U156+1,"m"),IF(U156&lt;$K$27,0,DATEDIF($K$27,U156+1,"m")))))</f>
        <v>0</v>
      </c>
      <c r="V157" s="421">
        <f>IF(IF(T157+U157+S157+R157+Q157=12,0,IF(V156&gt;$K$28,12-DATEDIF($K$28,V156+1,"m"),IF(V156&lt;$K$27,0,DATEDIF($K$27,V156+1,"m"))))&lt;0,0,IF(T157+U157+S157+R157+Q157=12,0,IF(V156&gt;$K$28,12-DATEDIF($K$28,V156+1,"m"),IF(V156&lt;$K$27,0,DATEDIF($K$27,V156+1,"m")))))</f>
        <v>0</v>
      </c>
      <c r="W157" s="421">
        <f>IF(IF(U157+V157+T157+S157+R157+Q157=12,0,IF(W156&gt;$K$28,12-DATEDIF($K$28,W156+1,"m"),IF(W156&lt;$K$27,0,DATEDIF($K$27,W156+1,"m"))))&lt;0,0,IF(U157+V157+T157+S157+R157+Q157=12,0,IF(W156&gt;$K$28,12-DATEDIF($K$28,W156+1,"m"),IF(W156&lt;$K$27,0,DATEDIF($K$27,W156+1,"m")))))</f>
        <v>0</v>
      </c>
      <c r="X157" s="421">
        <f>IF(IF(V157+W157+U157+T157+S157+R157+Q157=12,0,IF(X156&gt;$K$28,12-DATEDIF($K$28,X156+1,"m"),IF(X156&lt;$K$27,0,DATEDIF($K$27,X156+1,"m"))))&lt;0,0,IF(V157+W157+U157+T157+S157+R157+Q157=12,0,IF(X156&gt;$K$28,12-DATEDIF($K$28,X156+1,"m"),IF(X156&lt;$K$27,0,DATEDIF($K$27,X156+1,"m")))))</f>
        <v>0</v>
      </c>
      <c r="Y157" s="421">
        <f>IF(IF(W157+X157+V157+U157+T157+S157+R157+Q157=12,0,IF(Y156&gt;$K$28,12-DATEDIF($K$28,Y156+1,"m"),IF(Y156&lt;$K$27,0,DATEDIF($K$27,Y156+1,"m"))))&lt;0,0,IF(W157+X157+V157+U157+T157+S157+R157+Q157=12,0,IF(Y156&gt;$K$28,12-DATEDIF($K$28,Y156+1,"m"),IF(Y156&lt;$K$27,0,DATEDIF($K$27,Y156+1,"m")))))</f>
        <v>0</v>
      </c>
      <c r="Z157" s="421">
        <f>IF(IF(X157+Y157+W157+V157+U157+T157+S157+R157+Q157=12,0,IF(Z156&gt;$K$28,12-DATEDIF($K$28,Z156+1,"m"),IF(Z156&lt;$K$27,0,DATEDIF($K$27,Z156+1,"m"))))&lt;0,0,IF(X157+Y157+W157+V157+U157+T157+S157+R157+Q157=12,0,IF(Z156&gt;$K$28,12-DATEDIF($K$28,Z156+1,"m"),IF(Z156&lt;$K$27,0,DATEDIF($K$27,Z156+1,"m")))))</f>
        <v>0</v>
      </c>
      <c r="AA157" s="421">
        <f>IF(IF(Q157+R157+S157+Y157+Z157+X157+W157+V157+U157+T157=12,0,IF(AA156&gt;$K$28,12-DATEDIF($K$28,AA156+1,"m"),IF(AA156&lt;$K$27,0,DATEDIF($K$27,AA156+1,"m"))))&lt;0,0,IF(Q157+R157+S157+Y157+Z157+X157+W157+V157+U157+T157=12,0,IF(AA156&gt;$K$28,12-DATEDIF($K$28,AA156+1,"m"),IF(AA156&lt;$K$27,0,DATEDIF($K$27,AA156+1,"m")))))</f>
        <v>0</v>
      </c>
      <c r="AB157" s="421">
        <f>IF(IF(Q157+R157+S157+T157+Z157+AA157+Y157+X157+W157+V157+U157=12,0,IF(AB156&gt;$K$28,12-DATEDIF($K$28,AB156+1,"m"),IF(AB156&lt;$K$27,0,DATEDIF($K$27,AB156+1,"m"))))&lt;0,0,IF(Q157+R157+S157+T157+Z157+AA157+Y157+X157+W157+V157+U157=12,0,IF(AB156&gt;$K$28,12-DATEDIF($K$28,AB156+1,"m"),IF(AB156&lt;$K$27,0,DATEDIF($K$27,AB156+1,"m")))))</f>
        <v>0</v>
      </c>
      <c r="AC157" s="421">
        <f>IF(IF(Q157+R157+S157+T157+U157+AA157+AB157+Z157+Y157+X157+W157+V157=12,0,IF(AC156&gt;$K$28,12-DATEDIF($K$28,AC156+1,"m"),IF(AC156&lt;$K$27,0,DATEDIF($K$27,AC156+1,"m"))))&lt;0,0,IF(Q157+R157+S157+T157+U157+AA157+AB157+Z157+Y157+X157+W157+V157=12,0,IF(AC156&gt;$K$28,12-DATEDIF($K$28,AC156+1,"m"),IF(AC156&lt;$K$27,0,DATEDIF($K$27,AC156+1,"m")))))</f>
        <v>0</v>
      </c>
      <c r="AD157" s="421">
        <f>IF(IF(Q157+R157+S157+T157+U157+V157+AB157+AC157+AA157+Z157+Y157+X157+W157=12,0,IF(AD156&gt;$K$28,12-DATEDIF($K$28,AD156+1,"m"),IF(AD156&lt;$K$27,0,DATEDIF($K$27,AD156+1,"m"))))&lt;0,0,IF(Q157+R157+S157+T157+U157+V157+AB157+AC157+AA157+Z157+Y157+X157+W157=12,0,IF(AD156&gt;$K$28,12-DATEDIF($K$28,AD156+1,"m"),IF(AD156&lt;$K$27,0,DATEDIF($K$27,AD156+1,"m")))))</f>
        <v>0</v>
      </c>
      <c r="AE157" s="421">
        <f>IF(IF(Q157+R157+S157+T157+U157+V157+W157+AC157+AD157+AB157+AA157+Z157+Y157+X157=12,0,IF(AE156&gt;$K$28,12-DATEDIF($K$28,AE156+1,"m"),IF(AE156&lt;$K$27,0,DATEDIF($K$27,AE156+1,"m"))))&lt;0,0,IF(Q157+R157+S157+T157+U157+V157+W157+AC157+AD157+AB157+AA157+Z157+Y157+X157=12,0,IF(AE156&gt;$K$28,12-DATEDIF($K$28,AE156+1,"m"),IF(AE156&lt;$K$27,0,DATEDIF($K$27,AE156+1,"m")))))</f>
        <v>0</v>
      </c>
      <c r="AF157" s="421">
        <f>IF(IF(Q157+R157+S157+T157+U157+V157+W157+X157+AD157+AE157+AC157+AB157+AA157+Z157+Y157=12,0,IF(AF156&gt;$K$28,12-DATEDIF($K$28,AF156+1,"m"),IF(AF156&lt;$K$27,0,DATEDIF($K$27,AF156+1,"m"))))&lt;0,0,IF(Q157+R157+S157+T157+U157+V157+W157+X157+AD157+AE157+AC157+AB157+AA157+Z157+Y157=12,0,IF(AF156&gt;$K$28,12-DATEDIF($K$28,AF156+1,"m"),IF(AF156&lt;$K$27,0,DATEDIF($K$27,AF156+1,"m")))))</f>
        <v>0</v>
      </c>
      <c r="AG157" s="421">
        <f>IF(IF(Q157+R157+S157+T157+U157+V157+W157+X157+Y157+AE157+AF157+AD157+AC157+AB157+AA157+Z157=12,0,IF(AG156&gt;$K$28,12-DATEDIF($K$28,AG156+1,"m"),IF(AG156&lt;$K$27,0,DATEDIF($K$27,AG156+1,"m"))))&lt;0,0,IF(Q157+R157+S157+T157+U157+V157+W157+X157+Y157+AE157+AF157+AD157+AC157+AB157+AA157+Z157=12,0,IF(AG156&gt;$K$28,12-DATEDIF($K$28,AG156+1,"m"),IF(AG156&lt;$K$27,0,DATEDIF($K$27,AG156+1,"m")))))</f>
        <v>0</v>
      </c>
      <c r="AH157" s="423">
        <f>SUM(Q157:AG157)</f>
        <v>0</v>
      </c>
      <c r="AI157" s="421">
        <f t="shared" si="72"/>
        <v>0</v>
      </c>
      <c r="AJ157" s="421">
        <f t="shared" si="72"/>
        <v>0</v>
      </c>
      <c r="AK157" s="421">
        <f t="shared" si="72"/>
        <v>0</v>
      </c>
      <c r="AL157" s="421">
        <f t="shared" si="72"/>
        <v>0</v>
      </c>
      <c r="AM157" s="421">
        <f t="shared" si="72"/>
        <v>0</v>
      </c>
      <c r="AN157" s="421">
        <f t="shared" si="72"/>
        <v>0</v>
      </c>
      <c r="AO157" s="421">
        <f t="shared" si="72"/>
        <v>0</v>
      </c>
      <c r="AP157" s="421">
        <f t="shared" si="72"/>
        <v>0</v>
      </c>
      <c r="AQ157" s="421">
        <f t="shared" si="72"/>
        <v>0</v>
      </c>
      <c r="AR157" s="421">
        <f t="shared" si="72"/>
        <v>0</v>
      </c>
      <c r="AS157" s="421">
        <f t="shared" si="73"/>
        <v>0</v>
      </c>
      <c r="AT157" s="421">
        <f t="shared" si="73"/>
        <v>0</v>
      </c>
      <c r="AU157" s="421">
        <f t="shared" si="73"/>
        <v>0</v>
      </c>
      <c r="AV157" s="421">
        <f t="shared" si="73"/>
        <v>0</v>
      </c>
      <c r="AW157" s="421">
        <f t="shared" si="73"/>
        <v>0</v>
      </c>
      <c r="AX157" s="421">
        <f t="shared" si="73"/>
        <v>0</v>
      </c>
      <c r="AY157" s="421">
        <f t="shared" si="73"/>
        <v>0</v>
      </c>
      <c r="AZ157" s="219">
        <f>SUM(AI157:AY157)</f>
        <v>0</v>
      </c>
    </row>
    <row r="158" spans="1:52" ht="12.75" customHeight="1" thickBot="1">
      <c r="P158" s="207">
        <f t="shared" si="62"/>
        <v>1</v>
      </c>
      <c r="Q158" s="421">
        <f>IF(Q157=0,0,(IF(($B$50+$C$50+$D$50+$E$50+$F$50+$G$50+$H$50+$I$50+$J$50+$K$50)&lt;=25000,(($K$50/+$AH157)*Q157)*VLOOKUP('1. SUMMARY'!$C$20,rate,Sheet1!T$21,0),((IF(($F$50+$B$50+$C$50+$D$50+$E$50+$G$50+$H$50+$I$50+$J$50)&gt;=25000,0,(((25000-($B$50+$C$50+$D$50+$E$50+$F$50+$G$50+$H$50+$I$50+$J$50))/+$AH157)*Q157)*(VLOOKUP('1. SUMMARY'!$C$20,rate,Sheet1!T$21,0))))))))</f>
        <v>0</v>
      </c>
      <c r="R158" s="421">
        <f>IF(R157=0,0,(IF(($B$50+$C$50+$D$50+$E$50+$F$50+$G$50+$H$50+$I$50+$J$50+$K$50)&lt;=25000,(($K$50/+$AH157)*R157)*VLOOKUP('1. SUMMARY'!$C$20,rate,Sheet1!U$21,0),((IF(($F$50+$B$50+$C$50+$D$50+$E$50+$G$50+$H$50+$I$50+$J$50)&gt;=25000,0,(((25000-($B$50+$C$50+$D$50+$E$50+$F$50+$G$50+$H$50+$I$50+$J$50))/+$AH157)*R157)*(VLOOKUP('1. SUMMARY'!$C$20,rate,Sheet1!U$21,0))))))))</f>
        <v>0</v>
      </c>
      <c r="S158" s="421">
        <f>IF(S157=0,0,(IF(($B$50+$C$50+$D$50+$E$50+$F$50+$G$50+$H$50+$I$50+$J$50+$K$50)&lt;=25000,(($K$50/+$AH157)*S157)*VLOOKUP('1. SUMMARY'!$C$20,rate,Sheet1!V$21,0),((IF(($F$50+$B$50+$C$50+$D$50+$E$50+$G$50+$H$50+$I$50+$J$50)&gt;=25000,0,(((25000-($B$50+$C$50+$D$50+$E$50+$F$50+$G$50+$H$50+$I$50+$J$50))/+$AH157)*S157)*(VLOOKUP('1. SUMMARY'!$C$20,rate,Sheet1!V$21,0))))))))</f>
        <v>0</v>
      </c>
      <c r="T158" s="421">
        <f>IF(T157=0,0,(IF(($B$50+$C$50+$D$50+$E$50+$F$50+$G$50+$H$50+$I$50+$J$50+$K$50)&lt;=25000,(($K$50/+$AH157)*T157)*VLOOKUP('1. SUMMARY'!$C$20,rate,Sheet1!W$21,0),((IF(($F$50+$B$50+$C$50+$D$50+$E$50+$G$50+$H$50+$I$50+$J$50)&gt;=25000,0,(((25000-($B$50+$C$50+$D$50+$E$50+$F$50+$G$50+$H$50+$I$50+$J$50))/+$AH157)*T157)*(VLOOKUP('1. SUMMARY'!$C$20,rate,Sheet1!W$21,0))))))))</f>
        <v>0</v>
      </c>
      <c r="U158" s="421">
        <f>IF(U157=0,0,(IF(($B$50+$C$50+$D$50+$E$50+$F$50+$G$50+$H$50+$I$50+$J$50+$K$50)&lt;=25000,(($K$50/+$AH157)*U157)*VLOOKUP('1. SUMMARY'!$C$20,rate,Sheet1!X$21,0),((IF(($F$50+$B$50+$C$50+$D$50+$E$50+$G$50+$H$50+$I$50+$J$50)&gt;=25000,0,(((25000-($B$50+$C$50+$D$50+$E$50+$F$50+$G$50+$H$50+$I$50+$J$50))/+$AH157)*U157)*(VLOOKUP('1. SUMMARY'!$C$20,rate,Sheet1!X$21,0))))))))</f>
        <v>0</v>
      </c>
      <c r="V158" s="421">
        <f>IF(V157=0,0,(IF(($B$50+$C$50+$D$50+$E$50+$F$50+$G$50+$H$50+$I$50+$J$50+$K$50)&lt;=25000,(($K$50/+$AH157)*V157)*VLOOKUP('1. SUMMARY'!$C$20,rate,Sheet1!Y$21,0),((IF(($F$50+$B$50+$C$50+$D$50+$E$50+$G$50+$H$50+$I$50+$J$50)&gt;=25000,0,(((25000-($B$50+$C$50+$D$50+$E$50+$F$50+$G$50+$H$50+$I$50+$J$50))/+$AH157)*V157)*(VLOOKUP('1. SUMMARY'!$C$20,rate,Sheet1!Y$21,0))))))))</f>
        <v>0</v>
      </c>
      <c r="W158" s="421">
        <f>IF(W157=0,0,(IF(($B$50+$C$50+$D$50+$E$50+$F$50+$G$50+$H$50+$I$50+$J$50+$K$50)&lt;=25000,(($K$50/+$AH157)*W157)*VLOOKUP('1. SUMMARY'!$C$20,rate,Sheet1!Z$21,0),((IF(($F$50+$B$50+$C$50+$D$50+$E$50+$G$50+$H$50+$I$50+$J$50)&gt;=25000,0,(((25000-($B$50+$C$50+$D$50+$E$50+$F$50+$G$50+$H$50+$I$50+$J$50))/+$AH157)*W157)*(VLOOKUP('1. SUMMARY'!$C$20,rate,Sheet1!Z$21,0))))))))</f>
        <v>0</v>
      </c>
      <c r="X158" s="421">
        <f>IF(X157=0,0,(IF(($B$50+$C$50+$D$50+$E$50+$F$50+$G$50+$H$50+$I$50+$J$50+$K$50)&lt;=25000,(($K$50/+$AH157)*X157)*VLOOKUP('1. SUMMARY'!$C$20,rate,Sheet1!AA$21,0),((IF(($F$50+$B$50+$C$50+$D$50+$E$50+$G$50+$H$50+$I$50+$J$50)&gt;=25000,0,(((25000-($B$50+$C$50+$D$50+$E$50+$F$50+$G$50+$H$50+$I$50+$J$50))/+$AH157)*X157)*(VLOOKUP('1. SUMMARY'!$C$20,rate,Sheet1!AA$21,0))))))))</f>
        <v>0</v>
      </c>
      <c r="Y158" s="421">
        <f>IF(Y157=0,0,(IF(($B$50+$C$50+$D$50+$E$50+$F$50+$G$50+$H$50+$I$50+$J$50+$K$50)&lt;=25000,(($K$50/+$AH157)*Y157)*VLOOKUP('1. SUMMARY'!$C$20,rate,Sheet1!AB$21,0),((IF(($F$50+$B$50+$C$50+$D$50+$E$50+$G$50+$H$50+$I$50+$J$50)&gt;=25000,0,(((25000-($B$50+$C$50+$D$50+$E$50+$F$50+$G$50+$H$50+$I$50+$J$50))/+$AH157)*Y157)*(VLOOKUP('1. SUMMARY'!$C$20,rate,Sheet1!AB$21,0))))))))</f>
        <v>0</v>
      </c>
      <c r="Z158" s="421">
        <f>IF(Z157=0,0,(IF(($B$50+$C$50+$D$50+$E$50+$F$50+$G$50+$H$50+$I$50+$J$50+$K$50)&lt;=25000,(($K$50/+$AH157)*Z157)*VLOOKUP('1. SUMMARY'!$C$20,rate,Sheet1!AC$21,0),((IF(($F$50+$B$50+$C$50+$D$50+$E$50+$G$50+$H$50+$I$50+$J$50)&gt;=25000,0,(((25000-($B$50+$C$50+$D$50+$E$50+$F$50+$G$50+$H$50+$I$50+$J$50))/+$AH157)*Z157)*(VLOOKUP('1. SUMMARY'!$C$20,rate,Sheet1!AC$21,0))))))))</f>
        <v>0</v>
      </c>
      <c r="AA158" s="421">
        <f>IF(AA157=0,0,(IF(($B$50+$C$50+$D$50+$E$50+$F$50+$G$50+$H$50+$I$50+$J$50+$K$50)&lt;=25000,(($K$50/+$AH157)*AA157)*VLOOKUP('1. SUMMARY'!$C$20,rate,Sheet1!AD$21,0),((IF(($F$50+$B$50+$C$50+$D$50+$E$50+$G$50+$H$50+$I$50+$J$50)&gt;=25000,0,(((25000-($B$50+$C$50+$D$50+$E$50+$F$50+$G$50+$H$50+$I$50+$J$50))/+$AH157)*AA157)*(VLOOKUP('1. SUMMARY'!$C$20,rate,Sheet1!AD$21,0))))))))</f>
        <v>0</v>
      </c>
      <c r="AB158" s="421">
        <f>IF(AB157=0,0,(IF(($B$50+$C$50+$D$50+$E$50+$F$50+$G$50+$H$50+$I$50+$J$50+$K$50)&lt;=25000,(($K$50/+$AH157)*AB157)*VLOOKUP('1. SUMMARY'!$C$20,rate,Sheet1!AE$21,0),((IF(($F$50+$B$50+$C$50+$D$50+$E$50+$G$50+$H$50+$I$50+$J$50)&gt;=25000,0,(((25000-($B$50+$C$50+$D$50+$E$50+$F$50+$G$50+$H$50+$I$50+$J$50))/+$AH157)*AB157)*(VLOOKUP('1. SUMMARY'!$C$20,rate,Sheet1!AE$21,0))))))))</f>
        <v>0</v>
      </c>
      <c r="AC158" s="421">
        <f>IF(AC157=0,0,(IF(($B$50+$C$50+$D$50+$E$50+$F$50+$G$50+$H$50+$I$50+$J$50+$K$50)&lt;=25000,(($K$50/+$AH157)*AC157)*VLOOKUP('1. SUMMARY'!$C$20,rate,Sheet1!AF$21,0),((IF(($F$50+$B$50+$C$50+$D$50+$E$50+$G$50+$H$50+$I$50+$J$50)&gt;=25000,0,(((25000-($B$50+$C$50+$D$50+$E$50+$F$50+$G$50+$H$50+$I$50+$J$50))/+$AH157)*AC157)*(VLOOKUP('1. SUMMARY'!$C$20,rate,Sheet1!AF$21,0))))))))</f>
        <v>0</v>
      </c>
      <c r="AD158" s="421">
        <f>IF(AD157=0,0,(IF(($B$50+$C$50+$D$50+$E$50+$F$50+$G$50+$H$50+$I$50+$J$50+$K$50)&lt;=25000,(($K$50/+$AH157)*AD157)*VLOOKUP('1. SUMMARY'!$C$20,rate,Sheet1!AG$21,0),((IF(($F$50+$B$50+$C$50+$D$50+$E$50+$G$50+$H$50+$I$50+$J$50)&gt;=25000,0,(((25000-($B$50+$C$50+$D$50+$E$50+$F$50+$G$50+$H$50+$I$50+$J$50))/+$AH157)*AD157)*(VLOOKUP('1. SUMMARY'!$C$20,rate,Sheet1!AG$21,0))))))))</f>
        <v>0</v>
      </c>
      <c r="AE158" s="421">
        <f>IF(AE157=0,0,(IF(($B$50+$C$50+$D$50+$E$50+$F$50+$G$50+$H$50+$I$50+$J$50+$K$50)&lt;=25000,(($K$50/+$AH157)*AE157)*VLOOKUP('1. SUMMARY'!$C$20,rate,Sheet1!AH$21,0),((IF(($F$50+$B$50+$C$50+$D$50+$E$50+$G$50+$H$50+$I$50+$J$50)&gt;=25000,0,(((25000-($B$50+$C$50+$D$50+$E$50+$F$50+$G$50+$H$50+$I$50+$J$50))/+$AH157)*AE157)*(VLOOKUP('1. SUMMARY'!$C$20,rate,Sheet1!AH$21,0))))))))</f>
        <v>0</v>
      </c>
      <c r="AF158" s="421">
        <f>IF(AF157=0,0,(IF(($B$50+$C$50+$D$50+$E$50+$F$50+$G$50+$H$50+$I$50+$J$50+$K$50)&lt;=25000,(($K$50/+$AH157)*AF157)*VLOOKUP('1. SUMMARY'!$C$20,rate,Sheet1!AI$21,0),((IF(($F$50+$B$50+$C$50+$D$50+$E$50+$G$50+$H$50+$I$50+$J$50)&gt;=25000,0,(((25000-($B$50+$C$50+$D$50+$E$50+$F$50+$G$50+$H$50+$I$50+$J$50))/+$AH157)*AF157)*(VLOOKUP('1. SUMMARY'!$C$20,rate,Sheet1!AI$21,0))))))))</f>
        <v>0</v>
      </c>
      <c r="AG158" s="421">
        <f>IF(AG157=0,0,(IF(($B$50+$C$50+$D$50+$E$50+$F$50+$G$50+$H$50+$I$50+$J$50+$K$50)&lt;=25000,(($K$50/+$AH157)*AG157)*VLOOKUP('1. SUMMARY'!$C$20,rate,Sheet1!AJ$21,0),((IF(($F$50+$B$50+$C$50+$D$50+$E$50+$G$50+$H$50+$I$50+$J$50)&gt;=25000,0,(((25000-($B$50+$C$50+$D$50+$E$50+$F$50+$G$50+$H$50+$I$50+$J$50))/+$AH157)*AG157)*(VLOOKUP('1. SUMMARY'!$C$20,rate,Sheet1!AJ$21,0))))))))</f>
        <v>0</v>
      </c>
      <c r="AH158" s="219">
        <f>SUM(Q158:AG158)</f>
        <v>0</v>
      </c>
      <c r="AI158" s="421">
        <f>IF(AI157=0,0,((+$K50/$AZ157)*AI157)*VLOOKUP('1. SUMMARY'!$C$20,rate,Sheet1!T$21,0))</f>
        <v>0</v>
      </c>
      <c r="AJ158" s="421">
        <f>IF(AJ157=0,0,((+$K50/$AZ157)*AJ157)*VLOOKUP('1. SUMMARY'!$C$20,rate,Sheet1!U$21,0))</f>
        <v>0</v>
      </c>
      <c r="AK158" s="421">
        <f>IF(AK157=0,0,((+$K50/$AZ157)*AK157)*VLOOKUP('1. SUMMARY'!$C$20,rate,Sheet1!V$21,0))</f>
        <v>0</v>
      </c>
      <c r="AL158" s="421">
        <f>IF(AL157=0,0,((+$K50/$AZ157)*AL157)*VLOOKUP('1. SUMMARY'!$C$20,rate,Sheet1!W$21,0))</f>
        <v>0</v>
      </c>
      <c r="AM158" s="421">
        <f>IF(AM157=0,0,((+$K50/$AZ157)*AM157)*VLOOKUP('1. SUMMARY'!$C$20,rate,Sheet1!X$21,0))</f>
        <v>0</v>
      </c>
      <c r="AN158" s="421">
        <f>IF(AN157=0,0,((+$K50/$AZ157)*AN157)*VLOOKUP('1. SUMMARY'!$C$20,rate,Sheet1!Y$21,0))</f>
        <v>0</v>
      </c>
      <c r="AO158" s="421">
        <f>IF(AO157=0,0,((+$K50/$AZ157)*AO157)*VLOOKUP('1. SUMMARY'!$C$20,rate,Sheet1!Z$21,0))</f>
        <v>0</v>
      </c>
      <c r="AP158" s="421">
        <f>IF(AP157=0,0,((+$K50/$AZ157)*AP157)*VLOOKUP('1. SUMMARY'!$C$20,rate,Sheet1!AA$21,0))</f>
        <v>0</v>
      </c>
      <c r="AQ158" s="421">
        <f>IF(AQ157=0,0,((+$K50/$AZ157)*AQ157)*VLOOKUP('1. SUMMARY'!$C$20,rate,Sheet1!AB$21,0))</f>
        <v>0</v>
      </c>
      <c r="AR158" s="421">
        <f>IF(AR157=0,0,((+$K50/$AZ157)*AR157)*VLOOKUP('1. SUMMARY'!$C$20,rate,Sheet1!AC$21,0))</f>
        <v>0</v>
      </c>
      <c r="AS158" s="421">
        <f>IF(AS157=0,0,((+$K50/$AZ157)*AS157)*VLOOKUP('1. SUMMARY'!$C$20,rate,Sheet1!AD$21,0))</f>
        <v>0</v>
      </c>
      <c r="AT158" s="421">
        <f>IF(AT157=0,0,((+$K50/$AZ157)*AT157)*VLOOKUP('1. SUMMARY'!$C$20,rate,Sheet1!AE$21,0))</f>
        <v>0</v>
      </c>
      <c r="AU158" s="421">
        <f>IF(AU157=0,0,((+$K50/$AZ157)*AU157)*VLOOKUP('1. SUMMARY'!$C$20,rate,Sheet1!AF$21,0))</f>
        <v>0</v>
      </c>
      <c r="AV158" s="421">
        <f>IF(AV157=0,0,((+$K50/$AZ157)*AV157)*VLOOKUP('1. SUMMARY'!$C$20,rate,Sheet1!AG$21,0))</f>
        <v>0</v>
      </c>
      <c r="AW158" s="421">
        <f>IF(AW157=0,0,((+$K50/$AZ157)*AW157)*VLOOKUP('1. SUMMARY'!$C$20,rate,Sheet1!AH$21,0))</f>
        <v>0</v>
      </c>
      <c r="AX158" s="421">
        <f>IF(AX157=0,0,((+$K50/$AZ157)*AX157)*VLOOKUP('1. SUMMARY'!$C$20,rate,Sheet1!AI$21,0))</f>
        <v>0</v>
      </c>
      <c r="AY158" s="421">
        <f>IF(AY157=0,0,((+$K50/$AZ157)*AY157)*VLOOKUP('1. SUMMARY'!$C$20,rate,Sheet1!AJ$21,0))</f>
        <v>0</v>
      </c>
      <c r="AZ158" s="219">
        <f>SUM(AI158:AY158)</f>
        <v>0</v>
      </c>
    </row>
    <row r="159" spans="1:52" ht="12.75" customHeight="1" thickTop="1">
      <c r="A159" s="212" t="s">
        <v>163</v>
      </c>
      <c r="B159" s="213"/>
      <c r="C159" s="213"/>
      <c r="D159" s="213"/>
      <c r="E159" s="213"/>
      <c r="F159" s="213"/>
      <c r="G159" s="213"/>
      <c r="H159" s="213"/>
      <c r="I159" s="213"/>
      <c r="J159" s="213"/>
      <c r="K159" s="213"/>
      <c r="L159" s="214"/>
      <c r="P159" s="207">
        <f t="shared" si="62"/>
        <v>1</v>
      </c>
      <c r="Q159" s="219">
        <f>+Q158/VLOOKUP('1. SUMMARY'!$C$20,rate,Sheet1!T$21,0)</f>
        <v>0</v>
      </c>
      <c r="R159" s="219">
        <f>+R158/VLOOKUP('1. SUMMARY'!$C$20,rate,Sheet1!U$21,0)</f>
        <v>0</v>
      </c>
      <c r="S159" s="219">
        <f>+S158/VLOOKUP('1. SUMMARY'!$C$20,rate,Sheet1!V$21,0)</f>
        <v>0</v>
      </c>
      <c r="T159" s="219">
        <f>+T158/VLOOKUP('1. SUMMARY'!$C$20,rate,Sheet1!W$21,0)</f>
        <v>0</v>
      </c>
      <c r="U159" s="219">
        <f>+U158/VLOOKUP('1. SUMMARY'!$C$20,rate,Sheet1!X$21,0)</f>
        <v>0</v>
      </c>
      <c r="V159" s="219">
        <f>+V158/VLOOKUP('1. SUMMARY'!$C$20,rate,Sheet1!Y$21,0)</f>
        <v>0</v>
      </c>
      <c r="W159" s="219">
        <f>+W158/VLOOKUP('1. SUMMARY'!$C$20,rate,Sheet1!Z$21,0)</f>
        <v>0</v>
      </c>
      <c r="X159" s="219">
        <f>+X158/VLOOKUP('1. SUMMARY'!$C$20,rate,Sheet1!AA$21,0)</f>
        <v>0</v>
      </c>
      <c r="Y159" s="219">
        <f>+Y158/VLOOKUP('1. SUMMARY'!$C$20,rate,Sheet1!AB$21,0)</f>
        <v>0</v>
      </c>
      <c r="Z159" s="219">
        <f>+Z158/VLOOKUP('1. SUMMARY'!$C$20,rate,Sheet1!AC$21,0)</f>
        <v>0</v>
      </c>
      <c r="AA159" s="219">
        <f>+AA158/VLOOKUP('1. SUMMARY'!$C$20,rate,Sheet1!AD$21,0)</f>
        <v>0</v>
      </c>
      <c r="AB159" s="219">
        <f>+AB158/VLOOKUP('1. SUMMARY'!$C$20,rate,Sheet1!AE$21,0)</f>
        <v>0</v>
      </c>
      <c r="AC159" s="219">
        <f>+AC158/VLOOKUP('1. SUMMARY'!$C$20,rate,Sheet1!AF$21,0)</f>
        <v>0</v>
      </c>
      <c r="AD159" s="219">
        <f>+AD158/VLOOKUP('1. SUMMARY'!$C$20,rate,Sheet1!AG$21,0)</f>
        <v>0</v>
      </c>
      <c r="AE159" s="219">
        <f>+AE158/VLOOKUP('1. SUMMARY'!$C$20,rate,Sheet1!AH$21,0)</f>
        <v>0</v>
      </c>
      <c r="AF159" s="219">
        <f>+AF158/VLOOKUP('1. SUMMARY'!$C$20,rate,Sheet1!AI$21,0)</f>
        <v>0</v>
      </c>
      <c r="AG159" s="219">
        <f>+AG158/VLOOKUP('1. SUMMARY'!$C$20,rate,Sheet1!AJ$21,0)</f>
        <v>0</v>
      </c>
      <c r="AH159" s="219"/>
      <c r="AI159" s="421"/>
      <c r="AJ159" s="421"/>
      <c r="AK159" s="421"/>
      <c r="AL159" s="421"/>
      <c r="AM159" s="421"/>
      <c r="AN159" s="421"/>
      <c r="AO159" s="421"/>
      <c r="AP159" s="421"/>
      <c r="AQ159" s="421"/>
      <c r="AR159" s="421"/>
      <c r="AS159" s="421"/>
      <c r="AT159" s="421"/>
      <c r="AU159" s="421"/>
      <c r="AV159" s="421"/>
      <c r="AW159" s="421"/>
      <c r="AX159" s="421"/>
      <c r="AY159" s="421"/>
      <c r="AZ159" s="219"/>
    </row>
    <row r="160" spans="1:52" ht="23.25" customHeight="1">
      <c r="A160" s="215" t="s">
        <v>149</v>
      </c>
      <c r="B160" s="575"/>
      <c r="C160" s="575"/>
      <c r="D160" s="575"/>
      <c r="E160" s="575"/>
      <c r="F160" s="575"/>
      <c r="G160" s="575"/>
      <c r="H160" s="575"/>
      <c r="I160" s="575"/>
      <c r="J160" s="575"/>
      <c r="K160" s="575"/>
      <c r="L160" s="576"/>
      <c r="P160" s="207">
        <f t="shared" si="62"/>
        <v>1</v>
      </c>
      <c r="Q160" s="396">
        <f>Sheet1!$T$8</f>
        <v>44105</v>
      </c>
      <c r="R160" s="396">
        <f>Sheet1!$U$8</f>
        <v>44470</v>
      </c>
      <c r="S160" s="396">
        <f>Sheet1!$V$8</f>
        <v>44835</v>
      </c>
      <c r="T160" s="396">
        <f>Sheet1!$W$8</f>
        <v>45200</v>
      </c>
      <c r="U160" s="396">
        <f>Sheet1!$X$8</f>
        <v>45566</v>
      </c>
      <c r="V160" s="396">
        <f>Sheet1!$Y$8</f>
        <v>45931</v>
      </c>
      <c r="W160" s="396">
        <f>Sheet1!$Z$8</f>
        <v>46296</v>
      </c>
      <c r="X160" s="396">
        <f>Sheet1!$AA$8</f>
        <v>46661</v>
      </c>
      <c r="Y160" s="396">
        <f>Sheet1!$AB$8</f>
        <v>47027</v>
      </c>
      <c r="Z160" s="396">
        <f>Sheet1!$AC$8</f>
        <v>47392</v>
      </c>
      <c r="AA160" s="396">
        <f>$AA$5</f>
        <v>47757</v>
      </c>
      <c r="AB160" s="396">
        <f>$AB$5</f>
        <v>48122</v>
      </c>
      <c r="AC160" s="396">
        <f>$AC$5</f>
        <v>48488</v>
      </c>
      <c r="AD160" s="396">
        <f>$AD$5</f>
        <v>48853</v>
      </c>
      <c r="AE160" s="396">
        <f>$AE$5</f>
        <v>49218</v>
      </c>
      <c r="AF160" s="396">
        <f>$AF$5</f>
        <v>49583</v>
      </c>
      <c r="AG160" s="396">
        <f>$AG$5</f>
        <v>49949</v>
      </c>
      <c r="AH160" s="219"/>
      <c r="AI160" s="396">
        <f t="shared" ref="AI160:AR162" si="74">+Q160</f>
        <v>44105</v>
      </c>
      <c r="AJ160" s="396">
        <f t="shared" si="74"/>
        <v>44470</v>
      </c>
      <c r="AK160" s="396">
        <f t="shared" si="74"/>
        <v>44835</v>
      </c>
      <c r="AL160" s="396">
        <f t="shared" si="74"/>
        <v>45200</v>
      </c>
      <c r="AM160" s="396">
        <f t="shared" si="74"/>
        <v>45566</v>
      </c>
      <c r="AN160" s="396">
        <f t="shared" si="74"/>
        <v>45931</v>
      </c>
      <c r="AO160" s="396">
        <f t="shared" si="74"/>
        <v>46296</v>
      </c>
      <c r="AP160" s="396">
        <f t="shared" si="74"/>
        <v>46661</v>
      </c>
      <c r="AQ160" s="396">
        <f t="shared" si="74"/>
        <v>47027</v>
      </c>
      <c r="AR160" s="396">
        <f t="shared" si="74"/>
        <v>47392</v>
      </c>
      <c r="AS160" s="396">
        <f t="shared" ref="AS160:AY162" si="75">+AA160</f>
        <v>47757</v>
      </c>
      <c r="AT160" s="396">
        <f t="shared" si="75"/>
        <v>48122</v>
      </c>
      <c r="AU160" s="396">
        <f t="shared" si="75"/>
        <v>48488</v>
      </c>
      <c r="AV160" s="396">
        <f t="shared" si="75"/>
        <v>48853</v>
      </c>
      <c r="AW160" s="396">
        <f t="shared" si="75"/>
        <v>49218</v>
      </c>
      <c r="AX160" s="396">
        <f t="shared" si="75"/>
        <v>49583</v>
      </c>
      <c r="AY160" s="396">
        <f t="shared" si="75"/>
        <v>49949</v>
      </c>
      <c r="AZ160" s="211"/>
    </row>
    <row r="161" spans="1:52" ht="12.75" customHeight="1">
      <c r="A161" s="216"/>
      <c r="B161" s="217"/>
      <c r="C161" s="217"/>
      <c r="D161" s="217"/>
      <c r="E161" s="217"/>
      <c r="F161" s="217"/>
      <c r="G161" s="217"/>
      <c r="H161" s="217"/>
      <c r="I161" s="217"/>
      <c r="J161" s="217"/>
      <c r="K161" s="217"/>
      <c r="L161" s="218"/>
      <c r="P161" s="207">
        <f t="shared" si="62"/>
        <v>1</v>
      </c>
      <c r="Q161" s="396">
        <f>Sheet1!$T$9</f>
        <v>44469</v>
      </c>
      <c r="R161" s="396">
        <f>Sheet1!$U$9</f>
        <v>44834</v>
      </c>
      <c r="S161" s="396">
        <f>Sheet1!$V$9</f>
        <v>45199</v>
      </c>
      <c r="T161" s="396">
        <f>Sheet1!$W$9</f>
        <v>45565</v>
      </c>
      <c r="U161" s="396">
        <f>Sheet1!$X$9</f>
        <v>45930</v>
      </c>
      <c r="V161" s="396">
        <f>Sheet1!$Y$9</f>
        <v>46295</v>
      </c>
      <c r="W161" s="396">
        <f>Sheet1!$Z$9</f>
        <v>46660</v>
      </c>
      <c r="X161" s="396">
        <f>Sheet1!$AA$9</f>
        <v>47026</v>
      </c>
      <c r="Y161" s="396">
        <f>Sheet1!$AB$9</f>
        <v>47391</v>
      </c>
      <c r="Z161" s="396">
        <f>Sheet1!$AC$9</f>
        <v>47756</v>
      </c>
      <c r="AA161" s="396">
        <f>$AA$6</f>
        <v>48121</v>
      </c>
      <c r="AB161" s="396">
        <f>$AB$6</f>
        <v>48487</v>
      </c>
      <c r="AC161" s="396">
        <f>$AC$6</f>
        <v>48852</v>
      </c>
      <c r="AD161" s="396">
        <f>$AD$6</f>
        <v>49217</v>
      </c>
      <c r="AE161" s="396">
        <f>$AE$6</f>
        <v>49582</v>
      </c>
      <c r="AF161" s="396">
        <f>$AF$6</f>
        <v>49948</v>
      </c>
      <c r="AG161" s="396">
        <f>$AG$6</f>
        <v>50313</v>
      </c>
      <c r="AH161" s="219"/>
      <c r="AI161" s="396">
        <f t="shared" si="74"/>
        <v>44469</v>
      </c>
      <c r="AJ161" s="396">
        <f t="shared" si="74"/>
        <v>44834</v>
      </c>
      <c r="AK161" s="396">
        <f t="shared" si="74"/>
        <v>45199</v>
      </c>
      <c r="AL161" s="396">
        <f t="shared" si="74"/>
        <v>45565</v>
      </c>
      <c r="AM161" s="396">
        <f t="shared" si="74"/>
        <v>45930</v>
      </c>
      <c r="AN161" s="396">
        <f t="shared" si="74"/>
        <v>46295</v>
      </c>
      <c r="AO161" s="396">
        <f t="shared" si="74"/>
        <v>46660</v>
      </c>
      <c r="AP161" s="396">
        <f t="shared" si="74"/>
        <v>47026</v>
      </c>
      <c r="AQ161" s="396">
        <f t="shared" si="74"/>
        <v>47391</v>
      </c>
      <c r="AR161" s="396">
        <f t="shared" si="74"/>
        <v>47756</v>
      </c>
      <c r="AS161" s="396">
        <f t="shared" si="75"/>
        <v>48121</v>
      </c>
      <c r="AT161" s="396">
        <f t="shared" si="75"/>
        <v>48487</v>
      </c>
      <c r="AU161" s="396">
        <f t="shared" si="75"/>
        <v>48852</v>
      </c>
      <c r="AV161" s="396">
        <f t="shared" si="75"/>
        <v>49217</v>
      </c>
      <c r="AW161" s="396">
        <f t="shared" si="75"/>
        <v>49582</v>
      </c>
      <c r="AX161" s="396">
        <f t="shared" si="75"/>
        <v>49948</v>
      </c>
      <c r="AY161" s="396">
        <f t="shared" si="75"/>
        <v>50313</v>
      </c>
      <c r="AZ161" s="211"/>
    </row>
    <row r="162" spans="1:52" ht="12.75" customHeight="1">
      <c r="A162" s="216"/>
      <c r="B162" s="175" t="s">
        <v>81</v>
      </c>
      <c r="C162" s="175" t="s">
        <v>82</v>
      </c>
      <c r="D162" s="175" t="s">
        <v>83</v>
      </c>
      <c r="E162" s="175" t="s">
        <v>84</v>
      </c>
      <c r="F162" s="175" t="s">
        <v>85</v>
      </c>
      <c r="G162" s="175" t="s">
        <v>86</v>
      </c>
      <c r="H162" s="175" t="s">
        <v>87</v>
      </c>
      <c r="I162" s="175" t="s">
        <v>224</v>
      </c>
      <c r="J162" s="175" t="s">
        <v>225</v>
      </c>
      <c r="K162" s="175" t="s">
        <v>226</v>
      </c>
      <c r="L162" s="220" t="s">
        <v>47</v>
      </c>
      <c r="O162" s="207">
        <v>1</v>
      </c>
      <c r="P162" s="207">
        <f t="shared" si="62"/>
        <v>1</v>
      </c>
      <c r="Q162" s="397">
        <f>IF(IF(Q161&lt;B61,0,DATEDIF(B61,Q161+1,"m"))&lt;0,0,IF(Q161&lt;B61,0,DATEDIF(B61,Q161+1,"m")))</f>
        <v>1461</v>
      </c>
      <c r="R162" s="397">
        <f>IF(IF(Q162=12,0,IF(R161&gt;B62,12-DATEDIF(B62,R161+1,"m"),IF(R161&lt;B61,0,DATEDIF(B61,R161+1,"m"))))&lt;0,0,IF(Q162=12,0,IF(R161&gt;B62,12-DATEDIF(B62,R161+1,"m"),IF(R161&lt;B61,0,DATEDIF(B61,R161+1,"m")))))</f>
        <v>0</v>
      </c>
      <c r="S162" s="397">
        <f>IF(IF(Q162+R162=12,0,IF(S161&gt;B62,12-DATEDIF(B62,S161+1,"m"),IF(S161&lt;B61,0,DATEDIF(B61,S161+1,"m"))))&lt;0,0,IF(Q162+R162=12,0,IF(S161&gt;B62,12-DATEDIF(B62,S161+1,"m"),IF(S161&lt;B61,0,DATEDIF(B61,S161+1,"m")))))</f>
        <v>0</v>
      </c>
      <c r="T162" s="397">
        <f>IF(IF(R162+S162+Q162=12,0,IF(T161&gt;B62,12-DATEDIF(B62,T161+1,"m"),IF(T161&lt;B61,0,DATEDIF(B61,T161+1,"m"))))&lt;0,0,IF(R162+S162+Q162=12,0,IF(T161&gt;B62,12-DATEDIF(B62,T161+1,"m"),IF(T161&lt;B61,0,DATEDIF(B61,T161+1,"m")))))</f>
        <v>0</v>
      </c>
      <c r="U162" s="397">
        <f>IF(IF(S162+T162+R162+Q162=12,0,IF(U161&gt;$B$45,12-DATEDIF($B$45,U161+1,"m"),IF(U161&lt;$B$44,0,DATEDIF($B$44,U161+1,"m"))))&lt;0,0,IF(S162+T162+R162+Q162=12,0,IF(U161&gt;$B$45,12-DATEDIF($B$45,U161+1,"m"),IF(U161&lt;$B$44,0,DATEDIF($B$44,U161+1,"m")))))</f>
        <v>0</v>
      </c>
      <c r="V162" s="397">
        <f>IF(IF(T162+U162+S162+R162+Q162=12,0,IF(V161&gt;$B$45,12-DATEDIF($B$45,V161+1,"m"),IF(V161&lt;$B$44,0,DATEDIF($B$44,V161+1,"m"))))&lt;0,0,IF(T162+U162+S162+R162+Q162=12,0,IF(V161&gt;$B$45,12-DATEDIF($B$45,V161+1,"m"),IF(V161&lt;$B$44,0,DATEDIF($B$44,V161+1,"m")))))</f>
        <v>0</v>
      </c>
      <c r="W162" s="397">
        <f>IF(IF(U162+V162+T162+S162+R162+Q162=12,0,IF(W161&gt;$B$45,12-DATEDIF($B$45,W161+1,"m"),IF(W161&lt;$B$44,0,DATEDIF($B$44,W161+1,"m"))))&lt;0,0,IF(U162+V162+T162+S162+R162+Q162=12,0,IF(W161&gt;$B$45,12-DATEDIF($B$45,W161+1,"m"),IF(W161&lt;$B$44,0,DATEDIF($B$44,W161+1,"m")))))</f>
        <v>0</v>
      </c>
      <c r="X162" s="397">
        <f>IF(IF(V162+W162+U162+T162+S162+R162+Q162=12,0,IF(X161&gt;$B$45,12-DATEDIF($B$45,X161+1,"m"),IF(X161&lt;$B$44,0,DATEDIF($B$44,X161+1,"m"))))&lt;0,0,IF(V162+W162+U162+T162+S162+R162+Q162=12,0,IF(X161&gt;$B$45,12-DATEDIF($B$45,X161+1,"m"),IF(X161&lt;$B$44,0,DATEDIF($B$44,X161+1,"m")))))</f>
        <v>0</v>
      </c>
      <c r="Y162" s="397">
        <f>IF(IF(W162+X162+V162+U162+T162+S162+R162=12,0,IF(Y161&gt;$B$45,12-DATEDIF($B$45,Y161+1,"m"),IF(Y161&lt;$B$44,0,DATEDIF($B$44,Y161+1,"m"))))&lt;0,0,IF(W162+X162+V162+U162+T162+S162+R162=12,0,IF(Y161&gt;$B$45,12-DATEDIF($B$45,Y161+1,"m"),IF(Y161&lt;$B$44,0,DATEDIF($B$44,Y161+1,"m")))))</f>
        <v>0</v>
      </c>
      <c r="Z162" s="397">
        <f>IF(IF(X162+Y162+W162+V162+U162+T162+S162=12,0,IF(Z161&gt;$B$45,12-DATEDIF($B$45,Z161+1,"m"),IF(Z161&lt;$B$44,0,DATEDIF($B$44,Z161+1,"m"))))&lt;0,0,IF(X162+Y162+W162+V162+U162+T162+S162=12,0,IF(Z161&gt;$B$45,12-DATEDIF($B$45,Z161+1,"m"),IF(Z161&lt;$B$44,0,DATEDIF($B$44,Z161+1,"m")))))</f>
        <v>0</v>
      </c>
      <c r="AA162" s="397"/>
      <c r="AB162" s="397"/>
      <c r="AC162" s="397"/>
      <c r="AD162" s="397"/>
      <c r="AE162" s="397"/>
      <c r="AF162" s="397"/>
      <c r="AG162" s="397"/>
      <c r="AH162" s="423">
        <f>SUM(Q162:AG162)</f>
        <v>1461</v>
      </c>
      <c r="AI162" s="397">
        <f t="shared" si="74"/>
        <v>1461</v>
      </c>
      <c r="AJ162" s="397">
        <f t="shared" si="74"/>
        <v>0</v>
      </c>
      <c r="AK162" s="397">
        <f t="shared" si="74"/>
        <v>0</v>
      </c>
      <c r="AL162" s="397">
        <f t="shared" si="74"/>
        <v>0</v>
      </c>
      <c r="AM162" s="397">
        <f t="shared" si="74"/>
        <v>0</v>
      </c>
      <c r="AN162" s="397">
        <f t="shared" si="74"/>
        <v>0</v>
      </c>
      <c r="AO162" s="397">
        <f t="shared" si="74"/>
        <v>0</v>
      </c>
      <c r="AP162" s="397">
        <f t="shared" si="74"/>
        <v>0</v>
      </c>
      <c r="AQ162" s="397">
        <f t="shared" si="74"/>
        <v>0</v>
      </c>
      <c r="AR162" s="397">
        <f t="shared" si="74"/>
        <v>0</v>
      </c>
      <c r="AS162" s="397">
        <f t="shared" si="75"/>
        <v>0</v>
      </c>
      <c r="AT162" s="397">
        <f t="shared" si="75"/>
        <v>0</v>
      </c>
      <c r="AU162" s="397">
        <f t="shared" si="75"/>
        <v>0</v>
      </c>
      <c r="AV162" s="397">
        <f t="shared" si="75"/>
        <v>0</v>
      </c>
      <c r="AW162" s="397">
        <f t="shared" si="75"/>
        <v>0</v>
      </c>
      <c r="AX162" s="397">
        <f t="shared" si="75"/>
        <v>0</v>
      </c>
      <c r="AY162" s="397">
        <f t="shared" si="75"/>
        <v>0</v>
      </c>
      <c r="AZ162" s="219">
        <f>SUM(AI162:AY162)</f>
        <v>1461</v>
      </c>
    </row>
    <row r="163" spans="1:52" ht="12.75" customHeight="1">
      <c r="A163" s="221"/>
      <c r="B163" s="222">
        <f>'1. SUMMARY'!C17</f>
        <v>0</v>
      </c>
      <c r="C163" s="222" t="str">
        <f>IF(+B164+1&gt;'1. SUMMARY'!$C$18,"No "&amp;C162,+B164+1)</f>
        <v>No Year 2</v>
      </c>
      <c r="D163" s="222" t="str">
        <f>IF(C163="No "&amp;C162,"No "&amp;D162,IF(+C164+1&gt;'1. SUMMARY'!$C$18,"No "&amp;D162,+C164+1))</f>
        <v>No Year 3</v>
      </c>
      <c r="E163" s="222" t="str">
        <f>IF(D163="No "&amp;D162,"No "&amp;E162,IF(+D164+1&gt;'1. SUMMARY'!$C$18,"No "&amp;E162,+D164+1))</f>
        <v>No Year 4</v>
      </c>
      <c r="F163" s="222" t="str">
        <f>IF(E163="No "&amp;E162,"No "&amp;F162,IF(+E164+1&gt;'1. SUMMARY'!$C$18,"No "&amp;F162,+E164+1))</f>
        <v>No Year 5</v>
      </c>
      <c r="G163" s="222" t="str">
        <f>IF(F163="No "&amp;F162,"No "&amp;G162,IF(+F164+1&gt;'1. SUMMARY'!$C$18,"No "&amp;G162,+F164+1))</f>
        <v>No Year 6</v>
      </c>
      <c r="H163" s="222" t="str">
        <f>IF(G163="No "&amp;G162,"No "&amp;H162,IF(+G164+1&gt;'1. SUMMARY'!$C$18,"No "&amp;H162,+G164+1))</f>
        <v>No Year 7</v>
      </c>
      <c r="I163" s="222" t="str">
        <f>IF(H163="No "&amp;H162,"No "&amp;I162,IF(+H164+1&gt;'1. SUMMARY'!$C$18,"No "&amp;I162,+H164+1))</f>
        <v>No Year 8</v>
      </c>
      <c r="J163" s="222" t="str">
        <f>IF(I163="No "&amp;I162,"No "&amp;J162,IF(+I164+1&gt;'1. SUMMARY'!$C$18,"No "&amp;J162,+I164+1))</f>
        <v>No Year 9</v>
      </c>
      <c r="K163" s="222" t="str">
        <f>IF(J163="No "&amp;J162,"No "&amp;K162,IF(+J164+1&gt;'1. SUMMARY'!$C$18,"No "&amp;K162,+J164+1))</f>
        <v>No Year 10</v>
      </c>
      <c r="L163" s="223"/>
      <c r="P163" s="207">
        <f t="shared" si="62"/>
        <v>1</v>
      </c>
      <c r="Q163" s="398">
        <f>IF(Q162=0,0,(IF(B67&gt;25000,((25000/+AH162)*Q162)*VLOOKUP('1. SUMMARY'!$C$20,rate,Sheet1!T$21,0),((B67/+AH162)*Q162)*VLOOKUP('1. SUMMARY'!$C$20,rate,Sheet1!T$21,0))))</f>
        <v>0</v>
      </c>
      <c r="R163" s="398">
        <f>IF(R162=0,0,(IF(B67&gt;25000,((25000/+AH162)*R162)*VLOOKUP('1. SUMMARY'!$C$20,rate,Sheet1!U$21,0),((B67/+AH162)*R162)*VLOOKUP('1. SUMMARY'!$C$20,rate,Sheet1!U$21,0))))</f>
        <v>0</v>
      </c>
      <c r="S163" s="398">
        <f>IF(S162=0,0,(IF(B67&gt;25000,((25000/+AH162)*S162)*VLOOKUP('1. SUMMARY'!$C$20,rate,Sheet1!V$21,0),((B67/+AH162)*S162)*VLOOKUP('1. SUMMARY'!$C$20,rate,Sheet1!V$21,0))))</f>
        <v>0</v>
      </c>
      <c r="T163" s="398">
        <f>IF(T162=0,0,(IF(B67&gt;25000,((25000/+AH162)*T162)*VLOOKUP('1. SUMMARY'!$C$20,rate,Sheet1!W$21,0),((B67/+AH162)*T162)*VLOOKUP('1. SUMMARY'!$C$20,rate,Sheet1!W$21,0))))</f>
        <v>0</v>
      </c>
      <c r="U163" s="398">
        <f>IF(U162=0,0,(IF(B67&gt;25000,((25000/+AH162)*U162)*VLOOKUP('1. SUMMARY'!$C$20,rate,Sheet1!X$21,0),((B67/+AH162)*U162)*VLOOKUP('1. SUMMARY'!$C$20,rate,Sheet1!X$21,0))))</f>
        <v>0</v>
      </c>
      <c r="V163" s="398">
        <f>IF(V162=0,0,(IF(B67&gt;25000,((25000/+AH162)*V162)*VLOOKUP('1. SUMMARY'!$C$20,rate,Sheet1!Y$21,0),((B67/+AH162)*V162)*VLOOKUP('1. SUMMARY'!$C$20,rate,Sheet1!Y$21,0))))</f>
        <v>0</v>
      </c>
      <c r="W163" s="398">
        <f>IF(W162=0,0,(IF(B67&gt;25000,((25000/+AH162)*W162)*VLOOKUP('1. SUMMARY'!$C$20,rate,Sheet1!Z$21,0),((B67/+AH162)*W162)*VLOOKUP('1. SUMMARY'!$C$20,rate,Sheet1!Z$21,0))))</f>
        <v>0</v>
      </c>
      <c r="X163" s="398">
        <f>IF(X162=0,0,(IF(B67&gt;25000,((25000/+AH162)*X162)*VLOOKUP('1. SUMMARY'!$C$20,rate,Sheet1!$AA$21,0),((B67/+AH162)*X162)*VLOOKUP('1. SUMMARY'!$C$20,rate,Sheet1!$AA$21,0))))</f>
        <v>0</v>
      </c>
      <c r="Y163" s="398">
        <f>IF(Y162=0,0,(IF(B67&gt;25000,((25000/+AI112)*Y162)*VLOOKUP('1. SUMMARY'!$C$20,rate,Sheet1!$AB$21,0),((B67/+AI112)*Y162)*VLOOKUP('1. SUMMARY'!$C$20,rate,Sheet1!$AB$21,0))))</f>
        <v>0</v>
      </c>
      <c r="Z163" s="398">
        <f>IF(Z162=0,0,(IF(B67&gt;25000,((25000/+AJ112)*Z162)*VLOOKUP('1. SUMMARY'!$C$20,rate,Sheet1!$AC$21,0),((B67/+AJ112)*Z162)*VLOOKUP('1. SUMMARY'!$C$20,rate,Sheet1!$AC$21,0))))</f>
        <v>0</v>
      </c>
      <c r="AA163" s="398"/>
      <c r="AB163" s="398"/>
      <c r="AC163" s="398"/>
      <c r="AD163" s="398"/>
      <c r="AE163" s="398"/>
      <c r="AF163" s="398"/>
      <c r="AG163" s="398"/>
      <c r="AH163" s="219">
        <f>SUM(Q163:AG163)</f>
        <v>0</v>
      </c>
      <c r="AI163" s="398">
        <f>IF(Q162=0,0,((+$B67/$AZ162)*AI162)*VLOOKUP('1. SUMMARY'!$C$20,rate,Sheet1!T$21,0))</f>
        <v>0</v>
      </c>
      <c r="AJ163" s="398">
        <f>IF(R162=0,0,((+$B67/$AZ162)*AJ162)*VLOOKUP('1. SUMMARY'!$C$20,rate,Sheet1!U$21,0))</f>
        <v>0</v>
      </c>
      <c r="AK163" s="398">
        <f>IF(S162=0,0,((+$B67/$AZ162)*AK162)*VLOOKUP('1. SUMMARY'!$C$20,rate,Sheet1!V$21,0))</f>
        <v>0</v>
      </c>
      <c r="AL163" s="398">
        <f>IF(T162=0,0,((+$B67/$AZ162)*AL162)*VLOOKUP('1. SUMMARY'!$C$20,rate,Sheet1!W$21,0))</f>
        <v>0</v>
      </c>
      <c r="AM163" s="398">
        <f>IF(U162=0,0,((+$B67/$AZ162)*AM162)*VLOOKUP('1. SUMMARY'!$C$20,rate,Sheet1!X$21,0))</f>
        <v>0</v>
      </c>
      <c r="AN163" s="398">
        <f>IF(V162=0,0,((+$B67/$AZ162)*AN162)*VLOOKUP('1. SUMMARY'!$C$20,rate,Sheet1!Y$21,0))</f>
        <v>0</v>
      </c>
      <c r="AO163" s="398">
        <f>IF(W162=0,0,((+$B67/$AZ162)*AO162)*VLOOKUP('1. SUMMARY'!$C$20,rate,Sheet1!Z$21,0))</f>
        <v>0</v>
      </c>
      <c r="AP163" s="398">
        <f>IF(X162=0,0,((+$B67/$AZ162)*AP162)*VLOOKUP('1. SUMMARY'!$C$20,rate,Sheet1!AA$21,0))</f>
        <v>0</v>
      </c>
      <c r="AQ163" s="398">
        <f>IF(Y162=0,0,((+$B67/$AZ162)*AQ162)*VLOOKUP('1. SUMMARY'!$C$20,rate,Sheet1!AB$21,0))</f>
        <v>0</v>
      </c>
      <c r="AR163" s="398">
        <f>IF(Z162=0,0,((+$B67/$AZ162)*AR162)*VLOOKUP('1. SUMMARY'!$C$20,rate,Sheet1!AC$21,0))</f>
        <v>0</v>
      </c>
      <c r="AS163" s="398">
        <f>IF(AA162=0,0,((+$B67/$AZ162)*AS162)*VLOOKUP('1. SUMMARY'!$C$20,rate,Sheet1!AD$21,0))</f>
        <v>0</v>
      </c>
      <c r="AT163" s="398">
        <f>IF(AB162=0,0,((+$B67/$AZ162)*AT162)*VLOOKUP('1. SUMMARY'!$C$20,rate,Sheet1!AE$21,0))</f>
        <v>0</v>
      </c>
      <c r="AU163" s="398">
        <f>IF(AC162=0,0,((+$B67/$AZ162)*AU162)*VLOOKUP('1. SUMMARY'!$C$20,rate,Sheet1!AF$21,0))</f>
        <v>0</v>
      </c>
      <c r="AV163" s="398">
        <f>IF(AD162=0,0,((+$B67/$AZ162)*AV162)*VLOOKUP('1. SUMMARY'!$C$20,rate,Sheet1!AG$21,0))</f>
        <v>0</v>
      </c>
      <c r="AW163" s="398">
        <f>IF(AE162=0,0,((+$B67/$AZ162)*AW162)*VLOOKUP('1. SUMMARY'!$C$20,rate,Sheet1!AH$21,0))</f>
        <v>0</v>
      </c>
      <c r="AX163" s="398">
        <f>IF(AF162=0,0,((+$B67/$AZ162)*AX162)*VLOOKUP('1. SUMMARY'!$C$20,rate,Sheet1!AI$21,0))</f>
        <v>0</v>
      </c>
      <c r="AY163" s="398">
        <f>IF(AG162=0,0,((+$B67/$AZ162)*AY162)*VLOOKUP('1. SUMMARY'!$C$20,rate,Sheet1!AJ$21,0))</f>
        <v>0</v>
      </c>
      <c r="AZ163" s="219">
        <f>SUM(AI163:AY163)</f>
        <v>0</v>
      </c>
    </row>
    <row r="164" spans="1:52" ht="12.75" customHeight="1">
      <c r="A164" s="221"/>
      <c r="B164" s="224">
        <f>IF((DATE(YEAR(B163), MONTH(B163)+12, DAY(B163)-1))&lt;=('1. SUMMARY'!$C$18),DATE(YEAR(B163), MONTH(B163)+12, DAY(B163)-1),'1. SUMMARY'!$C$18)</f>
        <v>0</v>
      </c>
      <c r="C164" s="224" t="str">
        <f>IF(C163="No "&amp;C162,"No "&amp;C162,IF(B164='1. SUMMARY'!B157,"a",IF((DATE(YEAR(C163),MONTH(C163)+12,DAY(C163)-1))&lt;=('1. SUMMARY'!$C$18),DATE(YEAR(C163),MONTH(C163)+12,DAY(C163)-1),'1. SUMMARY'!$C$18)))</f>
        <v>No Year 2</v>
      </c>
      <c r="D164" s="224" t="str">
        <f>IF(D163="No "&amp;D162,"No "&amp;D162,IF(C164='1. SUMMARY'!C157,"a",IF((DATE(YEAR(D163),MONTH(D163)+12,DAY(D163)-1))&lt;=('1. SUMMARY'!$C$18),DATE(YEAR(D163),MONTH(D163)+12,DAY(D163)-1),'1. SUMMARY'!$C$18)))</f>
        <v>No Year 3</v>
      </c>
      <c r="E164" s="224" t="str">
        <f>IF(E163="No "&amp;E162,"No "&amp;E162,IF(D164='1. SUMMARY'!E157,"a",IF((DATE(YEAR(E163),MONTH(E163)+12,DAY(E163)-1))&lt;=('1. SUMMARY'!$C$18),DATE(YEAR(E163),MONTH(E163)+12,DAY(E163)-1),'1. SUMMARY'!$C$18)))</f>
        <v>No Year 4</v>
      </c>
      <c r="F164" s="224" t="str">
        <f>IF(F163="No "&amp;F162,"No "&amp;F162,IF(E164='1. SUMMARY'!F157,"a",IF((DATE(YEAR(F163),MONTH(F163)+12,DAY(F163)-1))&lt;=('1. SUMMARY'!$C$18),DATE(YEAR(F163),MONTH(F163)+12,DAY(F163)-1),'1. SUMMARY'!$C$18)))</f>
        <v>No Year 5</v>
      </c>
      <c r="G164" s="224" t="str">
        <f>IF(G163="No "&amp;G162,"No "&amp;G162,IF(F164='1. SUMMARY'!G157,"a",IF((DATE(YEAR(G163),MONTH(G163)+12,DAY(G163)-1))&lt;=('1. SUMMARY'!$C$18),DATE(YEAR(G163),MONTH(G163)+12,DAY(G163)-1),'1. SUMMARY'!$C$18)))</f>
        <v>No Year 6</v>
      </c>
      <c r="H164" s="224" t="str">
        <f>IF(H163="No "&amp;H162,"No "&amp;H162,IF(G164='1. SUMMARY'!H157,"a",IF((DATE(YEAR(H163),MONTH(H163)+12,DAY(H163)-1))&lt;=('1. SUMMARY'!$C$18),DATE(YEAR(H163),MONTH(H163)+12,DAY(H163)-1),'1. SUMMARY'!$C$18)))</f>
        <v>No Year 7</v>
      </c>
      <c r="I164" s="224" t="str">
        <f>IF(I163="No "&amp;I162,"No "&amp;I162,IF(H164='1. SUMMARY'!N157,"a",IF((DATE(YEAR(I163),MONTH(I163)+12,DAY(I163)-1))&lt;=('1. SUMMARY'!$C$18),DATE(YEAR(I163),MONTH(I163)+12,DAY(I163)-1),'1. SUMMARY'!$C$18)))</f>
        <v>No Year 8</v>
      </c>
      <c r="J164" s="224" t="str">
        <f>IF(J163="No "&amp;J162,"No "&amp;J162,IF(I164='1. SUMMARY'!O157,"a",IF((DATE(YEAR(J163),MONTH(J163)+12,DAY(J163)-1))&lt;=('1. SUMMARY'!$C$18),DATE(YEAR(J163),MONTH(J163)+12,DAY(J163)-1),'1. SUMMARY'!$C$18)))</f>
        <v>No Year 9</v>
      </c>
      <c r="K164" s="224" t="str">
        <f>IF(K163="No "&amp;K162,"No "&amp;K162,IF(J164='1. SUMMARY'!P155,"a",IF((DATE(YEAR(K163),MONTH(K163)+12,DAY(K163)-1))&lt;=('1. SUMMARY'!$C$18),DATE(YEAR(K163),MONTH(K163)+12,DAY(K163)-1),'1. SUMMARY'!$C$18)))</f>
        <v>No Year 10</v>
      </c>
      <c r="L164" s="218"/>
      <c r="P164" s="207">
        <f t="shared" si="62"/>
        <v>1</v>
      </c>
      <c r="Q164" s="398">
        <f>+Q163/VLOOKUP('1. SUMMARY'!$C$20,rate,Sheet1!T$21,0)</f>
        <v>0</v>
      </c>
      <c r="R164" s="398">
        <f>+R163/VLOOKUP('1. SUMMARY'!$C$20,rate,Sheet1!U$21,0)</f>
        <v>0</v>
      </c>
      <c r="S164" s="398">
        <f>+S163/VLOOKUP('1. SUMMARY'!$C$20,rate,Sheet1!V$21,0)</f>
        <v>0</v>
      </c>
      <c r="T164" s="398">
        <f>+T163/VLOOKUP('1. SUMMARY'!$C$20,rate,Sheet1!W$21,0)</f>
        <v>0</v>
      </c>
      <c r="U164" s="398">
        <f>+U163/VLOOKUP('1. SUMMARY'!$C$20,rate,Sheet1!X$21,0)</f>
        <v>0</v>
      </c>
      <c r="V164" s="398">
        <f>+V163/VLOOKUP('1. SUMMARY'!$C$20,rate,Sheet1!Y$21,0)</f>
        <v>0</v>
      </c>
      <c r="W164" s="398">
        <f>+W163/VLOOKUP('1. SUMMARY'!$C$20,rate,Sheet1!Z$21,0)</f>
        <v>0</v>
      </c>
      <c r="X164" s="398">
        <f>+X163/VLOOKUP('1. SUMMARY'!$C$20,rate,Sheet1!AA$21,0)</f>
        <v>0</v>
      </c>
      <c r="Y164" s="398">
        <f>+Y163/VLOOKUP('1. SUMMARY'!$C$20,rate,Sheet1!AB$21,0)</f>
        <v>0</v>
      </c>
      <c r="Z164" s="398">
        <f>+Z163/VLOOKUP('1. SUMMARY'!$C$20,rate,Sheet1!AC$21,0)</f>
        <v>0</v>
      </c>
      <c r="AA164" s="398">
        <f>+AA163/VLOOKUP('1. SUMMARY'!$C$20,rate,Sheet1!AD$21,0)</f>
        <v>0</v>
      </c>
      <c r="AB164" s="398">
        <f>+AB163/VLOOKUP('1. SUMMARY'!$C$20,rate,Sheet1!AE$21,0)</f>
        <v>0</v>
      </c>
      <c r="AC164" s="398">
        <f>+AC163/VLOOKUP('1. SUMMARY'!$C$20,rate,Sheet1!AF$21,0)</f>
        <v>0</v>
      </c>
      <c r="AD164" s="398">
        <f>+AD163/VLOOKUP('1. SUMMARY'!$C$20,rate,Sheet1!AG$21,0)</f>
        <v>0</v>
      </c>
      <c r="AE164" s="398">
        <f>+AE163/VLOOKUP('1. SUMMARY'!$C$20,rate,Sheet1!AH$21,0)</f>
        <v>0</v>
      </c>
      <c r="AF164" s="398">
        <f>+AF163/VLOOKUP('1. SUMMARY'!$C$20,rate,Sheet1!AI$21,0)</f>
        <v>0</v>
      </c>
      <c r="AG164" s="398">
        <f>+AG163/VLOOKUP('1. SUMMARY'!$C$20,rate,Sheet1!AJ$21,0)</f>
        <v>0</v>
      </c>
      <c r="AH164" s="219"/>
      <c r="AI164" s="398">
        <v>0</v>
      </c>
      <c r="AJ164" s="398">
        <v>0</v>
      </c>
      <c r="AK164" s="398">
        <v>0</v>
      </c>
      <c r="AL164" s="398">
        <v>0</v>
      </c>
      <c r="AM164" s="398">
        <v>0</v>
      </c>
      <c r="AN164" s="398">
        <v>0</v>
      </c>
      <c r="AO164" s="398">
        <v>0</v>
      </c>
      <c r="AP164" s="398">
        <v>0</v>
      </c>
      <c r="AQ164" s="398"/>
      <c r="AR164" s="398"/>
      <c r="AS164" s="398"/>
      <c r="AT164" s="398"/>
      <c r="AU164" s="398"/>
      <c r="AV164" s="398"/>
      <c r="AW164" s="398"/>
      <c r="AX164" s="398"/>
      <c r="AY164" s="398"/>
      <c r="AZ164" s="219"/>
    </row>
    <row r="165" spans="1:52" ht="12.75" customHeight="1">
      <c r="A165" s="216"/>
      <c r="B165" s="225"/>
      <c r="C165" s="225"/>
      <c r="D165" s="225"/>
      <c r="E165" s="225"/>
      <c r="F165" s="225"/>
      <c r="G165" s="225"/>
      <c r="H165" s="225"/>
      <c r="I165" s="225"/>
      <c r="J165" s="225"/>
      <c r="K165" s="225"/>
      <c r="L165" s="223"/>
      <c r="P165" s="207">
        <f t="shared" ref="P165:P184" si="76">IF(Q265=39356,(+P164+1),P164)</f>
        <v>1</v>
      </c>
      <c r="Q165" s="402">
        <f>Sheet1!$T$8</f>
        <v>44105</v>
      </c>
      <c r="R165" s="402">
        <f>Sheet1!$U$8</f>
        <v>44470</v>
      </c>
      <c r="S165" s="402">
        <f>Sheet1!$V$8</f>
        <v>44835</v>
      </c>
      <c r="T165" s="402">
        <f>Sheet1!$W$8</f>
        <v>45200</v>
      </c>
      <c r="U165" s="402">
        <f>Sheet1!$X$8</f>
        <v>45566</v>
      </c>
      <c r="V165" s="402">
        <f>Sheet1!$Y$8</f>
        <v>45931</v>
      </c>
      <c r="W165" s="402">
        <f>Sheet1!$Z$8</f>
        <v>46296</v>
      </c>
      <c r="X165" s="402">
        <f>Sheet1!$AA$8</f>
        <v>46661</v>
      </c>
      <c r="Y165" s="402">
        <f>Sheet1!$AB$8</f>
        <v>47027</v>
      </c>
      <c r="Z165" s="402">
        <f>Sheet1!$AC$8</f>
        <v>47392</v>
      </c>
      <c r="AA165" s="402">
        <f>$AA$5</f>
        <v>47757</v>
      </c>
      <c r="AB165" s="402">
        <f>$AB$5</f>
        <v>48122</v>
      </c>
      <c r="AC165" s="402">
        <f>$AC$5</f>
        <v>48488</v>
      </c>
      <c r="AD165" s="402">
        <f>$AD$5</f>
        <v>48853</v>
      </c>
      <c r="AE165" s="402">
        <f>$AE$5</f>
        <v>49218</v>
      </c>
      <c r="AF165" s="402">
        <f>$AF$5</f>
        <v>49583</v>
      </c>
      <c r="AG165" s="402">
        <f>$AG$5</f>
        <v>49949</v>
      </c>
      <c r="AH165" s="211"/>
      <c r="AI165" s="402">
        <f t="shared" ref="AI165:AR167" si="77">+Q165</f>
        <v>44105</v>
      </c>
      <c r="AJ165" s="402">
        <f t="shared" si="77"/>
        <v>44470</v>
      </c>
      <c r="AK165" s="402">
        <f t="shared" si="77"/>
        <v>44835</v>
      </c>
      <c r="AL165" s="402">
        <f t="shared" si="77"/>
        <v>45200</v>
      </c>
      <c r="AM165" s="402">
        <f t="shared" si="77"/>
        <v>45566</v>
      </c>
      <c r="AN165" s="402">
        <f t="shared" si="77"/>
        <v>45931</v>
      </c>
      <c r="AO165" s="402">
        <f t="shared" si="77"/>
        <v>46296</v>
      </c>
      <c r="AP165" s="402">
        <f t="shared" si="77"/>
        <v>46661</v>
      </c>
      <c r="AQ165" s="402">
        <f t="shared" si="77"/>
        <v>47027</v>
      </c>
      <c r="AR165" s="402">
        <f t="shared" si="77"/>
        <v>47392</v>
      </c>
      <c r="AS165" s="402">
        <f t="shared" ref="AS165:AY167" si="78">+AA165</f>
        <v>47757</v>
      </c>
      <c r="AT165" s="402">
        <f t="shared" si="78"/>
        <v>48122</v>
      </c>
      <c r="AU165" s="402">
        <f t="shared" si="78"/>
        <v>48488</v>
      </c>
      <c r="AV165" s="402">
        <f t="shared" si="78"/>
        <v>48853</v>
      </c>
      <c r="AW165" s="402">
        <f t="shared" si="78"/>
        <v>49218</v>
      </c>
      <c r="AX165" s="402">
        <f t="shared" si="78"/>
        <v>49583</v>
      </c>
      <c r="AY165" s="402">
        <f t="shared" si="78"/>
        <v>49949</v>
      </c>
      <c r="AZ165" s="211"/>
    </row>
    <row r="166" spans="1:52" ht="12.75" customHeight="1">
      <c r="A166" s="226" t="s">
        <v>150</v>
      </c>
      <c r="B166" s="227"/>
      <c r="C166" s="227"/>
      <c r="D166" s="227"/>
      <c r="E166" s="227"/>
      <c r="F166" s="227"/>
      <c r="G166" s="228"/>
      <c r="H166" s="228"/>
      <c r="I166" s="228"/>
      <c r="J166" s="228"/>
      <c r="K166" s="228"/>
      <c r="L166" s="229">
        <f>SUM(B166:K166)</f>
        <v>0</v>
      </c>
      <c r="P166" s="207">
        <f t="shared" si="76"/>
        <v>1</v>
      </c>
      <c r="Q166" s="402">
        <f>Sheet1!$T$9</f>
        <v>44469</v>
      </c>
      <c r="R166" s="402">
        <f>Sheet1!$U$9</f>
        <v>44834</v>
      </c>
      <c r="S166" s="402">
        <f>Sheet1!$V$9</f>
        <v>45199</v>
      </c>
      <c r="T166" s="402">
        <f>Sheet1!$W$9</f>
        <v>45565</v>
      </c>
      <c r="U166" s="402">
        <f>Sheet1!$X$9</f>
        <v>45930</v>
      </c>
      <c r="V166" s="402">
        <f>Sheet1!$Y$9</f>
        <v>46295</v>
      </c>
      <c r="W166" s="402">
        <f>Sheet1!$Z$9</f>
        <v>46660</v>
      </c>
      <c r="X166" s="402">
        <f>Sheet1!$AA$9</f>
        <v>47026</v>
      </c>
      <c r="Y166" s="402">
        <f>Sheet1!$AB$9</f>
        <v>47391</v>
      </c>
      <c r="Z166" s="402">
        <f>Sheet1!$AC$9</f>
        <v>47756</v>
      </c>
      <c r="AA166" s="402">
        <f>$AA$6</f>
        <v>48121</v>
      </c>
      <c r="AB166" s="402">
        <f>$AB$6</f>
        <v>48487</v>
      </c>
      <c r="AC166" s="402">
        <f>$AC$6</f>
        <v>48852</v>
      </c>
      <c r="AD166" s="402">
        <f>$AD$6</f>
        <v>49217</v>
      </c>
      <c r="AE166" s="402">
        <f>$AE$6</f>
        <v>49582</v>
      </c>
      <c r="AF166" s="402">
        <f>$AF$6</f>
        <v>49948</v>
      </c>
      <c r="AG166" s="402">
        <f>$AG$6</f>
        <v>50313</v>
      </c>
      <c r="AH166" s="211"/>
      <c r="AI166" s="402">
        <f t="shared" si="77"/>
        <v>44469</v>
      </c>
      <c r="AJ166" s="402">
        <f t="shared" si="77"/>
        <v>44834</v>
      </c>
      <c r="AK166" s="402">
        <f t="shared" si="77"/>
        <v>45199</v>
      </c>
      <c r="AL166" s="402">
        <f t="shared" si="77"/>
        <v>45565</v>
      </c>
      <c r="AM166" s="402">
        <f t="shared" si="77"/>
        <v>45930</v>
      </c>
      <c r="AN166" s="402">
        <f t="shared" si="77"/>
        <v>46295</v>
      </c>
      <c r="AO166" s="402">
        <f t="shared" si="77"/>
        <v>46660</v>
      </c>
      <c r="AP166" s="402">
        <f t="shared" si="77"/>
        <v>47026</v>
      </c>
      <c r="AQ166" s="402">
        <f t="shared" si="77"/>
        <v>47391</v>
      </c>
      <c r="AR166" s="402">
        <f t="shared" si="77"/>
        <v>47756</v>
      </c>
      <c r="AS166" s="402">
        <f t="shared" si="78"/>
        <v>48121</v>
      </c>
      <c r="AT166" s="402">
        <f t="shared" si="78"/>
        <v>48487</v>
      </c>
      <c r="AU166" s="402">
        <f t="shared" si="78"/>
        <v>48852</v>
      </c>
      <c r="AV166" s="402">
        <f t="shared" si="78"/>
        <v>49217</v>
      </c>
      <c r="AW166" s="402">
        <f t="shared" si="78"/>
        <v>49582</v>
      </c>
      <c r="AX166" s="402">
        <f t="shared" si="78"/>
        <v>49948</v>
      </c>
      <c r="AY166" s="402">
        <f t="shared" si="78"/>
        <v>50313</v>
      </c>
      <c r="AZ166" s="211"/>
    </row>
    <row r="167" spans="1:52" ht="12.75" customHeight="1">
      <c r="A167" s="221" t="s">
        <v>151</v>
      </c>
      <c r="B167" s="227"/>
      <c r="C167" s="227"/>
      <c r="D167" s="227"/>
      <c r="E167" s="227"/>
      <c r="F167" s="227"/>
      <c r="G167" s="228"/>
      <c r="H167" s="228"/>
      <c r="I167" s="228"/>
      <c r="J167" s="228"/>
      <c r="K167" s="228"/>
      <c r="L167" s="229">
        <f>SUM(B167:K167)</f>
        <v>0</v>
      </c>
      <c r="O167" s="207">
        <v>2</v>
      </c>
      <c r="P167" s="207">
        <f t="shared" si="76"/>
        <v>1</v>
      </c>
      <c r="Q167" s="403">
        <f>IF(IF(Q166&lt;C61,0,DATEDIF(C61,Q166+1,"m"))&lt;0,0,IF(Q166&lt;C61,0,DATEDIF(C61,Q166+1,"m")))</f>
        <v>0</v>
      </c>
      <c r="R167" s="403">
        <f>IF(IF(Q167=12,0,IF(R166&gt;C62,12-DATEDIF(C62,R166+1,"m"),IF(R166&lt;C61,0,DATEDIF(C61,R166+1,"m"))))&lt;0,0,IF(Q167=12,0,IF(R166&gt;C62,12-DATEDIF(C62,R166+1,"m"),IF(R166&lt;C61,0,DATEDIF(C61,R166+1,"m")))))</f>
        <v>0</v>
      </c>
      <c r="S167" s="403">
        <f>IF(IF(Q167+R167=12,0,IF(S166&gt;C62,12-DATEDIF(C62,S166+1,"m"),IF(S166&lt;C61,0,DATEDIF(C61,S166+1,"m"))))&lt;0,0,IF(Q167+R167=12,0,IF(S166&gt;C62,12-DATEDIF(C62,S166+1,"m"),IF(S166&lt;C61,0,DATEDIF(C61,S166+1,"m")))))</f>
        <v>0</v>
      </c>
      <c r="T167" s="403">
        <f>IF(IF(R167+S167+Q167=12,0,IF(T166&gt;C62,12-DATEDIF(C62,T166+1,"m"),IF(T166&lt;C61,0,DATEDIF(C61,T166+1,"m"))))&lt;0,0,IF(R167+S167+Q167=12,0,IF(T166&gt;C62,12-DATEDIF(C62,T166+1,"m"),IF(T166&lt;C61,0,DATEDIF(C61,T166+1,"m")))))</f>
        <v>0</v>
      </c>
      <c r="U167" s="403">
        <f>IF(IF(S167+T167+R167+Q167=12,0,IF(U166&gt;C62,12-DATEDIF(C62,U166+1,"m"),IF(U166&lt;C61,0,DATEDIF(C61,U166+1,"m"))))&lt;0,0,IF(S167+T167+R167+Q167=12,0,IF(U166&gt;C62,12-DATEDIF(C62,U166+1,"m"),IF(U166&lt;C61,0,DATEDIF(C61,U166+1,"m")))))</f>
        <v>0</v>
      </c>
      <c r="V167" s="403">
        <f>IF(IF(T167+U167+S167+R167+Q167=12,0,IF(V166&gt;C62,12-DATEDIF(C62,V166+1,"m"),IF(V166&lt;C61,0,DATEDIF(C61,V166+1,"m"))))&lt;0,0,IF(T167+U167+S167+R167+Q167=12,0,IF(V166&gt;C62,12-DATEDIF(C62,V166+1,"m"),IF(V166&lt;C61,0,DATEDIF(C61,V166+1,"m")))))</f>
        <v>0</v>
      </c>
      <c r="W167" s="403">
        <f>IF(IF(U167+V167+T167+S167+R167+Q167=12,0,IF(W166&gt;C62,12-DATEDIF(C62,W166+1,"m"),IF(W166&lt;C61,0,DATEDIF(C61,W166+1,"m"))))&lt;0,0,IF(U167+V167+T167+S167+R167+Q167=12,0,IF(W166&gt;C62,12-DATEDIF(C62,W166+1,"m"),IF(W166&lt;C61,0,DATEDIF(C61,W166+1,"m")))))</f>
        <v>0</v>
      </c>
      <c r="X167" s="403">
        <f>IF(IF(V167+W167+U167+T167+S167+R167+Q167=12,0,IF(X166&gt;C62,12-DATEDIF(C62,X166+1,"m"),IF(X166&lt;C61,0,DATEDIF(C61,X166+1,"m"))))&lt;0,0,IF(V167+W167+U167+T167+S167+R167+Q167=12,0,IF(X166&gt;C62,12-DATEDIF(C62,X166+1,"m"),IF(X166&lt;C61,0,DATEDIF(C61,X166+1,"m")))))</f>
        <v>0</v>
      </c>
      <c r="Y167" s="403">
        <f>IF(IF(W167+X167+V167+U167+T167+S167+R167=12,0,IF(Y166&gt;C62,12-DATEDIF(C62,Y166+1,"m"),IF(Y166&lt;C61,0,DATEDIF(C61,Y166+1,"m"))))&lt;0,0,IF(W167+X167+V167+U167+T167+S167+R167=12,0,IF(Y166&gt;C62,12-DATEDIF(C62,Y166+1,"m"),IF(Y166&lt;C61,0,DATEDIF(C61,Y166+1,"m")))))</f>
        <v>0</v>
      </c>
      <c r="Z167" s="403">
        <f>IF(IF(X167+Y167+W167+V167+U167+T167+S167+Q167+R167=12,0,IF(Z166&gt;C62,12-DATEDIF(C62,Z166+1,"m"),IF(Z166&lt;C61,0,DATEDIF(C61,Z166+1,"m"))))&lt;0,0,IF(X167+Y167+W167+V167+U167+T167+S167+Q167+R167=12,0,IF(Z166&gt;C62,12-DATEDIF(C62,Z166+1,"m"),IF(Z166&lt;C61,0,DATEDIF(C61,Z166+1,"m")))))</f>
        <v>0</v>
      </c>
      <c r="AA167" s="403"/>
      <c r="AB167" s="403"/>
      <c r="AC167" s="403"/>
      <c r="AD167" s="403"/>
      <c r="AE167" s="403"/>
      <c r="AF167" s="403"/>
      <c r="AG167" s="403"/>
      <c r="AH167" s="423">
        <f>SUM(Q167:AG167)</f>
        <v>0</v>
      </c>
      <c r="AI167" s="403">
        <f t="shared" si="77"/>
        <v>0</v>
      </c>
      <c r="AJ167" s="403">
        <f t="shared" si="77"/>
        <v>0</v>
      </c>
      <c r="AK167" s="403">
        <f t="shared" si="77"/>
        <v>0</v>
      </c>
      <c r="AL167" s="403">
        <f t="shared" si="77"/>
        <v>0</v>
      </c>
      <c r="AM167" s="403">
        <f t="shared" si="77"/>
        <v>0</v>
      </c>
      <c r="AN167" s="403">
        <f t="shared" si="77"/>
        <v>0</v>
      </c>
      <c r="AO167" s="403">
        <f t="shared" si="77"/>
        <v>0</v>
      </c>
      <c r="AP167" s="403">
        <f t="shared" si="77"/>
        <v>0</v>
      </c>
      <c r="AQ167" s="403">
        <f t="shared" si="77"/>
        <v>0</v>
      </c>
      <c r="AR167" s="403">
        <f t="shared" si="77"/>
        <v>0</v>
      </c>
      <c r="AS167" s="403">
        <f t="shared" si="78"/>
        <v>0</v>
      </c>
      <c r="AT167" s="403">
        <f t="shared" si="78"/>
        <v>0</v>
      </c>
      <c r="AU167" s="403">
        <f t="shared" si="78"/>
        <v>0</v>
      </c>
      <c r="AV167" s="403">
        <f t="shared" si="78"/>
        <v>0</v>
      </c>
      <c r="AW167" s="403">
        <f t="shared" si="78"/>
        <v>0</v>
      </c>
      <c r="AX167" s="403">
        <f t="shared" si="78"/>
        <v>0</v>
      </c>
      <c r="AY167" s="403">
        <f t="shared" si="78"/>
        <v>0</v>
      </c>
      <c r="AZ167" s="219">
        <f>SUM(AI167:AY167)</f>
        <v>0</v>
      </c>
    </row>
    <row r="168" spans="1:52" ht="12.75" customHeight="1">
      <c r="A168" s="216"/>
      <c r="B168" s="217"/>
      <c r="C168" s="217"/>
      <c r="D168" s="217"/>
      <c r="E168" s="217"/>
      <c r="F168" s="217"/>
      <c r="G168" s="217"/>
      <c r="H168" s="217"/>
      <c r="I168" s="217"/>
      <c r="J168" s="217"/>
      <c r="K168" s="217"/>
      <c r="L168" s="218"/>
      <c r="P168" s="207">
        <f t="shared" si="76"/>
        <v>1</v>
      </c>
      <c r="Q168" s="404">
        <f>IF(Q167=0,0,(IF((C67+B67)&lt;=25000,((C67/+AH167)*Q167)*VLOOKUP('1. SUMMARY'!$C$20,rate,Sheet1!T$21,0),((IF(B67&gt;=25000,0,((25000-B67)/+AH167)*Q167)*VLOOKUP('1. SUMMARY'!$C$20,rate,Sheet1!T$21,0))))))</f>
        <v>0</v>
      </c>
      <c r="R168" s="404">
        <f>IF(R167=0,0,(IF((C67+B67)&lt;=25000,(((+C67)/+AH167)*R167)*VLOOKUP('1. SUMMARY'!$C$20,rate,Sheet1!U$21,0),((IF(B67&gt;=25000,0,((25000-(B67))/+AH167)*R167)*VLOOKUP('1. SUMMARY'!$C$20,rate,Sheet1!U$21,0))))))</f>
        <v>0</v>
      </c>
      <c r="S168" s="404">
        <f>IF(S167=0,0,(IF((C67+B67)&lt;=25000,(((+C67)/+AH167)*S167)*VLOOKUP('1. SUMMARY'!$C$20,rate,Sheet1!V$21,0),((IF(B67&gt;=25000,0,((25000-(B67))/+AH167)*S167)*VLOOKUP('1. SUMMARY'!$C$20,rate,Sheet1!V$21,0))))))</f>
        <v>0</v>
      </c>
      <c r="T168" s="404">
        <f>IF(T167=0,0,(IF((C67+B67)&lt;=25000,(((+C67)/+AH167)*T167)*VLOOKUP('1. SUMMARY'!$C$20,rate,Sheet1!W$21,0),((IF(B67&gt;=25000,0,((25000-(B67))/+AH167)*T167)*VLOOKUP('1. SUMMARY'!$C$20,rate,Sheet1!W$21,0))))))</f>
        <v>0</v>
      </c>
      <c r="U168" s="404">
        <f>IF(U167=0,0,(IF((C67+B67)&lt;=25000,(((+C67)/+AH167)*U167)*VLOOKUP('1. SUMMARY'!$C$20,rate,Sheet1!X$21,0),((IF(B67&gt;=25000,0,((25000-(B67))/+AH167)*U167)*VLOOKUP('1. SUMMARY'!$C$20,rate,Sheet1!X$21,0))))))</f>
        <v>0</v>
      </c>
      <c r="V168" s="404">
        <f>IF(V167=0,0,(IF((C67+B67)&lt;=25000,(((+C67)/+AH167)*V167)*VLOOKUP('1. SUMMARY'!$C$20,rate,Sheet1!Y$21,0),((IF(B67&gt;=25000,0,((25000-(B67))/+AH167)*V167)*VLOOKUP('1. SUMMARY'!$C$20,rate,Sheet1!Y$21,0))))))</f>
        <v>0</v>
      </c>
      <c r="W168" s="404">
        <f>IF(W167=0,0,(IF((C67+B67)&lt;=25000,(((+C67)/+AH167)*W167)*VLOOKUP('1. SUMMARY'!$C$20,rate,Sheet1!Z$21,0),((IF(B67&gt;=25000,0,((25000-(B67))/+AH167)*W167)*VLOOKUP('1. SUMMARY'!$C$20,rate,Sheet1!Z$21,0))))))</f>
        <v>0</v>
      </c>
      <c r="X168" s="404">
        <f>IF(X167=0,0,(IF((C67+B67)&lt;=25000,(((+C67)/+AH167)*X167)*VLOOKUP('1. SUMMARY'!$C$20,rate,Sheet1!$AA$21,0),((IF(B67&gt;=25000,0,((25000-(B67))/+AH167)*X167)*VLOOKUP('1. SUMMARY'!$C$20,rate,Sheet1!$AA$21,0))))))</f>
        <v>0</v>
      </c>
      <c r="Y168" s="404">
        <f>IF(Y167=0,0,(IF((D67+C67)&lt;=25000,(((+D67)/+AH167)*Y167)*VLOOKUP('1. SUMMARY'!$C$20,rate,Sheet1!$AB$21,0),((IF(C67&gt;=25000,0,((25000-(C67))/+AH167)*Y167)*VLOOKUP('1. SUMMARY'!$C$20,rate,Sheet1!$AB$21,0))))))</f>
        <v>0</v>
      </c>
      <c r="Z168" s="404">
        <f>IF(Z167=0,0,(IF((E67+D67)&lt;=25000,(((+E67)/+AH167)*Z167)*VLOOKUP('1. SUMMARY'!$C$20,rate,Sheet1!$AC$21,0),((IF(D67&gt;=25000,0,((25000-(D67))/+AH167)*Z167)*VLOOKUP('1. SUMMARY'!$C$20,rate,Sheet1!$AC$21,0))))))</f>
        <v>0</v>
      </c>
      <c r="AA168" s="404"/>
      <c r="AB168" s="404"/>
      <c r="AC168" s="404"/>
      <c r="AD168" s="404"/>
      <c r="AE168" s="404"/>
      <c r="AF168" s="404"/>
      <c r="AG168" s="404"/>
      <c r="AH168" s="219">
        <f>SUM(Q168:AG168)</f>
        <v>0</v>
      </c>
      <c r="AI168" s="404">
        <f>IF(AI167=0,0,((+$C67/$AZ167)*AI167)*VLOOKUP('1. SUMMARY'!$C$20,rate,Sheet1!T$21,0))</f>
        <v>0</v>
      </c>
      <c r="AJ168" s="404">
        <f>IF(AJ167=0,0,((+$C67/$AZ167)*AJ167)*VLOOKUP('1. SUMMARY'!$C$20,rate,Sheet1!U$21,0))</f>
        <v>0</v>
      </c>
      <c r="AK168" s="404">
        <f>IF(AK167=0,0,((+$C67/$AZ167)*AK167)*VLOOKUP('1. SUMMARY'!$C$20,rate,Sheet1!V$21,0))</f>
        <v>0</v>
      </c>
      <c r="AL168" s="404">
        <f>IF(AL167=0,0,((+$C67/$AZ167)*AL167)*VLOOKUP('1. SUMMARY'!$C$20,rate,Sheet1!W$21,0))</f>
        <v>0</v>
      </c>
      <c r="AM168" s="404">
        <f>IF(AM167=0,0,((+$C67/$AZ167)*AM167)*VLOOKUP('1. SUMMARY'!$C$20,rate,Sheet1!X$21,0))</f>
        <v>0</v>
      </c>
      <c r="AN168" s="404">
        <f>IF(AN167=0,0,((+$C67/$AZ167)*AN167)*VLOOKUP('1. SUMMARY'!$C$20,rate,Sheet1!Y$21,0))</f>
        <v>0</v>
      </c>
      <c r="AO168" s="404">
        <f>IF(AO167=0,0,((+$C67/$AZ167)*AO167)*VLOOKUP('1. SUMMARY'!$C$20,rate,Sheet1!Z$21,0))</f>
        <v>0</v>
      </c>
      <c r="AP168" s="404">
        <f>IF(AP167=0,0,((+$C67/$AZ167)*AP167)*VLOOKUP('1. SUMMARY'!$C$20,rate,Sheet1!AA$21,0))</f>
        <v>0</v>
      </c>
      <c r="AQ168" s="404">
        <f>IF(AQ167=0,0,((+$C67/$AZ167)*AQ167)*VLOOKUP('1. SUMMARY'!$C$20,rate,Sheet1!AB$21,0))</f>
        <v>0</v>
      </c>
      <c r="AR168" s="404">
        <f>IF(AR167=0,0,((+$C67/$AZ167)*AR167)*VLOOKUP('1. SUMMARY'!$C$20,rate,Sheet1!AC$21,0))</f>
        <v>0</v>
      </c>
      <c r="AS168" s="404">
        <f>IF(AS167=0,0,((+$C67/$AZ167)*AS167)*VLOOKUP('1. SUMMARY'!$C$20,rate,Sheet1!AD$21,0))</f>
        <v>0</v>
      </c>
      <c r="AT168" s="404">
        <f>IF(AT167=0,0,((+$C67/$AZ167)*AT167)*VLOOKUP('1. SUMMARY'!$C$20,rate,Sheet1!AE$21,0))</f>
        <v>0</v>
      </c>
      <c r="AU168" s="404">
        <f>IF(AU167=0,0,((+$C67/$AZ167)*AU167)*VLOOKUP('1. SUMMARY'!$C$20,rate,Sheet1!AF$21,0))</f>
        <v>0</v>
      </c>
      <c r="AV168" s="404">
        <f>IF(AV167=0,0,((+$C67/$AZ167)*AV167)*VLOOKUP('1. SUMMARY'!$C$20,rate,Sheet1!AG$21,0))</f>
        <v>0</v>
      </c>
      <c r="AW168" s="404">
        <f>IF(AW167=0,0,((+$C67/$AZ167)*AW167)*VLOOKUP('1. SUMMARY'!$C$20,rate,Sheet1!AH$21,0))</f>
        <v>0</v>
      </c>
      <c r="AX168" s="404">
        <f>IF(AX167=0,0,((+$C67/$AZ167)*AX167)*VLOOKUP('1. SUMMARY'!$C$20,rate,Sheet1!AI$21,0))</f>
        <v>0</v>
      </c>
      <c r="AY168" s="404">
        <f>IF(AY167=0,0,((+$C67/$AZ167)*AY167)*VLOOKUP('1. SUMMARY'!$C$20,rate,Sheet1!AJ$21,0))</f>
        <v>0</v>
      </c>
      <c r="AZ168" s="219">
        <f>SUM(AI168:AY168)</f>
        <v>0</v>
      </c>
    </row>
    <row r="169" spans="1:52" ht="12.75" customHeight="1">
      <c r="A169" s="231" t="s">
        <v>152</v>
      </c>
      <c r="B169" s="146">
        <f t="shared" ref="B169:K169" si="79">SUM(B166:B167)</f>
        <v>0</v>
      </c>
      <c r="C169" s="146">
        <f t="shared" si="79"/>
        <v>0</v>
      </c>
      <c r="D169" s="146">
        <f t="shared" si="79"/>
        <v>0</v>
      </c>
      <c r="E169" s="146">
        <f t="shared" si="79"/>
        <v>0</v>
      </c>
      <c r="F169" s="146">
        <f t="shared" si="79"/>
        <v>0</v>
      </c>
      <c r="G169" s="146">
        <f t="shared" si="79"/>
        <v>0</v>
      </c>
      <c r="H169" s="146">
        <f t="shared" si="79"/>
        <v>0</v>
      </c>
      <c r="I169" s="146">
        <f t="shared" si="79"/>
        <v>0</v>
      </c>
      <c r="J169" s="146">
        <f t="shared" si="79"/>
        <v>0</v>
      </c>
      <c r="K169" s="146">
        <f t="shared" si="79"/>
        <v>0</v>
      </c>
      <c r="L169" s="229">
        <f>SUM(B169:K169)</f>
        <v>0</v>
      </c>
      <c r="P169" s="207">
        <f t="shared" si="76"/>
        <v>1</v>
      </c>
      <c r="Q169" s="404">
        <f>+Q168/VLOOKUP('1. SUMMARY'!$C$20,rate,Sheet1!T$21,0)</f>
        <v>0</v>
      </c>
      <c r="R169" s="404">
        <f>+R168/VLOOKUP('1. SUMMARY'!$C$20,rate,Sheet1!U$21,0)</f>
        <v>0</v>
      </c>
      <c r="S169" s="404">
        <f>+S168/VLOOKUP('1. SUMMARY'!$C$20,rate,Sheet1!V$21,0)</f>
        <v>0</v>
      </c>
      <c r="T169" s="404">
        <f>+T168/VLOOKUP('1. SUMMARY'!$C$20,rate,Sheet1!W$21,0)</f>
        <v>0</v>
      </c>
      <c r="U169" s="404">
        <f>+U168/VLOOKUP('1. SUMMARY'!$C$20,rate,Sheet1!X$21,0)</f>
        <v>0</v>
      </c>
      <c r="V169" s="404">
        <f>+V168/VLOOKUP('1. SUMMARY'!$C$20,rate,Sheet1!Y$21,0)</f>
        <v>0</v>
      </c>
      <c r="W169" s="404">
        <f>+W168/VLOOKUP('1. SUMMARY'!$C$20,rate,Sheet1!Z$21,0)</f>
        <v>0</v>
      </c>
      <c r="X169" s="404">
        <f>+X168/VLOOKUP('1. SUMMARY'!$C$20,rate,Sheet1!AA$21,0)</f>
        <v>0</v>
      </c>
      <c r="Y169" s="404">
        <f>+Y168/VLOOKUP('1. SUMMARY'!$C$20,rate,Sheet1!AB$21,0)</f>
        <v>0</v>
      </c>
      <c r="Z169" s="404">
        <f>+Z168/VLOOKUP('1. SUMMARY'!$C$20,rate,Sheet1!AC$21,0)</f>
        <v>0</v>
      </c>
      <c r="AA169" s="404">
        <f>+AA168/VLOOKUP('1. SUMMARY'!$C$20,rate,Sheet1!AD$21,0)</f>
        <v>0</v>
      </c>
      <c r="AB169" s="404">
        <f>+AB168/VLOOKUP('1. SUMMARY'!$C$20,rate,Sheet1!AE$21,0)</f>
        <v>0</v>
      </c>
      <c r="AC169" s="404">
        <f>+AC168/VLOOKUP('1. SUMMARY'!$C$20,rate,Sheet1!AF$21,0)</f>
        <v>0</v>
      </c>
      <c r="AD169" s="404">
        <f>+AD168/VLOOKUP('1. SUMMARY'!$C$20,rate,Sheet1!AG$21,0)</f>
        <v>0</v>
      </c>
      <c r="AE169" s="404">
        <f>+AE168/VLOOKUP('1. SUMMARY'!$C$20,rate,Sheet1!AH$21,0)</f>
        <v>0</v>
      </c>
      <c r="AF169" s="404">
        <f>+AF168/VLOOKUP('1. SUMMARY'!$C$20,rate,Sheet1!AI$21,0)</f>
        <v>0</v>
      </c>
      <c r="AG169" s="404">
        <f>+AG168/VLOOKUP('1. SUMMARY'!$C$20,rate,Sheet1!AJ$21,0)</f>
        <v>0</v>
      </c>
      <c r="AH169" s="219"/>
      <c r="AI169" s="404">
        <v>0</v>
      </c>
      <c r="AJ169" s="404">
        <v>0</v>
      </c>
      <c r="AK169" s="404">
        <v>0</v>
      </c>
      <c r="AL169" s="404">
        <v>0</v>
      </c>
      <c r="AM169" s="404">
        <v>0</v>
      </c>
      <c r="AN169" s="404">
        <v>0</v>
      </c>
      <c r="AO169" s="404">
        <v>0</v>
      </c>
      <c r="AP169" s="404">
        <v>0</v>
      </c>
      <c r="AQ169" s="404"/>
      <c r="AR169" s="404"/>
      <c r="AS169" s="404"/>
      <c r="AT169" s="404"/>
      <c r="AU169" s="404"/>
      <c r="AV169" s="404"/>
      <c r="AW169" s="404"/>
      <c r="AX169" s="404"/>
      <c r="AY169" s="404"/>
      <c r="AZ169" s="219"/>
    </row>
    <row r="170" spans="1:52" ht="12.75" customHeight="1">
      <c r="A170" s="216"/>
      <c r="B170" s="217"/>
      <c r="C170" s="217"/>
      <c r="D170" s="217"/>
      <c r="E170" s="217"/>
      <c r="F170" s="217"/>
      <c r="G170" s="217"/>
      <c r="H170" s="217"/>
      <c r="I170" s="217"/>
      <c r="J170" s="217"/>
      <c r="K170" s="217"/>
      <c r="L170" s="218"/>
      <c r="P170" s="207">
        <f t="shared" si="76"/>
        <v>1</v>
      </c>
      <c r="Q170" s="399">
        <f>Sheet1!$T$8</f>
        <v>44105</v>
      </c>
      <c r="R170" s="399">
        <f>Sheet1!$U$8</f>
        <v>44470</v>
      </c>
      <c r="S170" s="399">
        <f>Sheet1!$V$8</f>
        <v>44835</v>
      </c>
      <c r="T170" s="399">
        <f>Sheet1!$W$8</f>
        <v>45200</v>
      </c>
      <c r="U170" s="399">
        <f>Sheet1!$X$8</f>
        <v>45566</v>
      </c>
      <c r="V170" s="399">
        <f>Sheet1!$Y$8</f>
        <v>45931</v>
      </c>
      <c r="W170" s="399">
        <f>Sheet1!$Z$8</f>
        <v>46296</v>
      </c>
      <c r="X170" s="399">
        <f>Sheet1!$AA$8</f>
        <v>46661</v>
      </c>
      <c r="Y170" s="399">
        <f>Sheet1!$AB$8</f>
        <v>47027</v>
      </c>
      <c r="Z170" s="399">
        <f>Sheet1!$AC$8</f>
        <v>47392</v>
      </c>
      <c r="AA170" s="399">
        <f>$AA$5</f>
        <v>47757</v>
      </c>
      <c r="AB170" s="399">
        <f>$AB$5</f>
        <v>48122</v>
      </c>
      <c r="AC170" s="399">
        <f>$AC$5</f>
        <v>48488</v>
      </c>
      <c r="AD170" s="399">
        <f>$AD$5</f>
        <v>48853</v>
      </c>
      <c r="AE170" s="399">
        <f>$AE$5</f>
        <v>49218</v>
      </c>
      <c r="AF170" s="399">
        <f>$AF$5</f>
        <v>49583</v>
      </c>
      <c r="AG170" s="399">
        <f>$AG$5</f>
        <v>49949</v>
      </c>
      <c r="AH170" s="211"/>
      <c r="AI170" s="399">
        <f t="shared" ref="AI170:AR172" si="80">+Q170</f>
        <v>44105</v>
      </c>
      <c r="AJ170" s="399">
        <f t="shared" si="80"/>
        <v>44470</v>
      </c>
      <c r="AK170" s="399">
        <f t="shared" si="80"/>
        <v>44835</v>
      </c>
      <c r="AL170" s="399">
        <f t="shared" si="80"/>
        <v>45200</v>
      </c>
      <c r="AM170" s="399">
        <f t="shared" si="80"/>
        <v>45566</v>
      </c>
      <c r="AN170" s="399">
        <f t="shared" si="80"/>
        <v>45931</v>
      </c>
      <c r="AO170" s="399">
        <f t="shared" si="80"/>
        <v>46296</v>
      </c>
      <c r="AP170" s="399">
        <f t="shared" si="80"/>
        <v>46661</v>
      </c>
      <c r="AQ170" s="399">
        <f t="shared" si="80"/>
        <v>47027</v>
      </c>
      <c r="AR170" s="399">
        <f t="shared" si="80"/>
        <v>47392</v>
      </c>
      <c r="AS170" s="399">
        <f t="shared" ref="AS170:AY172" si="81">+AA170</f>
        <v>47757</v>
      </c>
      <c r="AT170" s="399">
        <f t="shared" si="81"/>
        <v>48122</v>
      </c>
      <c r="AU170" s="399">
        <f t="shared" si="81"/>
        <v>48488</v>
      </c>
      <c r="AV170" s="399">
        <f t="shared" si="81"/>
        <v>48853</v>
      </c>
      <c r="AW170" s="399">
        <f t="shared" si="81"/>
        <v>49218</v>
      </c>
      <c r="AX170" s="399">
        <f t="shared" si="81"/>
        <v>49583</v>
      </c>
      <c r="AY170" s="399">
        <f t="shared" si="81"/>
        <v>49949</v>
      </c>
      <c r="AZ170" s="219"/>
    </row>
    <row r="171" spans="1:52" ht="12.75" customHeight="1">
      <c r="A171" s="226" t="s">
        <v>153</v>
      </c>
      <c r="B171" s="233">
        <f>IF(B163="No "&amp;B162,0,IF('1. SUMMARY'!$Q$20=1,$AH473,$AZ473))</f>
        <v>0</v>
      </c>
      <c r="C171" s="233">
        <f>IF(C163="No "&amp;C162,0,IF('1. SUMMARY'!$Q$20=1,$AH478,$AZ478))</f>
        <v>0</v>
      </c>
      <c r="D171" s="233">
        <f>IF(D163="No "&amp;D162,0,IF('1. SUMMARY'!$Q$20=1,$AH483,$AZ483))</f>
        <v>0</v>
      </c>
      <c r="E171" s="233">
        <f>IF(E163="No "&amp;E162,0,IF('1. SUMMARY'!$Q$20=1,$AH488,$AZ488))</f>
        <v>0</v>
      </c>
      <c r="F171" s="233">
        <f>IF(F163="No "&amp;F162,0,IF('1. SUMMARY'!$Q$20=1,$AH493,$AZ493))</f>
        <v>0</v>
      </c>
      <c r="G171" s="233">
        <f>IF(G163="No "&amp;G162,0,IF('1. SUMMARY'!$Q$20=1,$AH498,$AZ498))</f>
        <v>0</v>
      </c>
      <c r="H171" s="233">
        <f>IF(H163="No "&amp;H162,0,IF('1. SUMMARY'!$Q$20=1,$AH503,$AZ503))</f>
        <v>0</v>
      </c>
      <c r="I171" s="233">
        <f>IF(I163="No "&amp;I162,0,IF('1. SUMMARY'!$Q$20=1,$AH508,$AZ508))</f>
        <v>0</v>
      </c>
      <c r="J171" s="233">
        <f>IF(J163="No "&amp;J162,0,IF('1. SUMMARY'!$Q$20=1,$AH513,$AZ513))</f>
        <v>0</v>
      </c>
      <c r="K171" s="233">
        <f>IF(K163="No "&amp;K162,0,IF('1. SUMMARY'!$Q$20=1,$AH518,$AZ518))</f>
        <v>0</v>
      </c>
      <c r="L171" s="229">
        <f>SUM(B171:K171)</f>
        <v>0</v>
      </c>
      <c r="P171" s="207">
        <f t="shared" si="76"/>
        <v>1</v>
      </c>
      <c r="Q171" s="399">
        <f>Sheet1!$T$9</f>
        <v>44469</v>
      </c>
      <c r="R171" s="399">
        <f>Sheet1!$U$9</f>
        <v>44834</v>
      </c>
      <c r="S171" s="399">
        <f>Sheet1!$V$9</f>
        <v>45199</v>
      </c>
      <c r="T171" s="399">
        <f>Sheet1!$W$9</f>
        <v>45565</v>
      </c>
      <c r="U171" s="399">
        <f>Sheet1!$X$9</f>
        <v>45930</v>
      </c>
      <c r="V171" s="399">
        <f>Sheet1!$Y$9</f>
        <v>46295</v>
      </c>
      <c r="W171" s="399">
        <f>Sheet1!$Z$9</f>
        <v>46660</v>
      </c>
      <c r="X171" s="399">
        <f>Sheet1!$AA$9</f>
        <v>47026</v>
      </c>
      <c r="Y171" s="399">
        <f>Sheet1!$AB$9</f>
        <v>47391</v>
      </c>
      <c r="Z171" s="399">
        <f>Sheet1!$AC$9</f>
        <v>47756</v>
      </c>
      <c r="AA171" s="399">
        <f>$AA$6</f>
        <v>48121</v>
      </c>
      <c r="AB171" s="399">
        <f>$AB$6</f>
        <v>48487</v>
      </c>
      <c r="AC171" s="399">
        <f>$AC$6</f>
        <v>48852</v>
      </c>
      <c r="AD171" s="399">
        <f>$AD$6</f>
        <v>49217</v>
      </c>
      <c r="AE171" s="399">
        <f>$AE$6</f>
        <v>49582</v>
      </c>
      <c r="AF171" s="399">
        <f>$AF$6</f>
        <v>49948</v>
      </c>
      <c r="AG171" s="399">
        <f>$AG$6</f>
        <v>50313</v>
      </c>
      <c r="AH171" s="211"/>
      <c r="AI171" s="399">
        <f t="shared" si="80"/>
        <v>44469</v>
      </c>
      <c r="AJ171" s="399">
        <f t="shared" si="80"/>
        <v>44834</v>
      </c>
      <c r="AK171" s="399">
        <f t="shared" si="80"/>
        <v>45199</v>
      </c>
      <c r="AL171" s="399">
        <f t="shared" si="80"/>
        <v>45565</v>
      </c>
      <c r="AM171" s="399">
        <f t="shared" si="80"/>
        <v>45930</v>
      </c>
      <c r="AN171" s="399">
        <f t="shared" si="80"/>
        <v>46295</v>
      </c>
      <c r="AO171" s="399">
        <f t="shared" si="80"/>
        <v>46660</v>
      </c>
      <c r="AP171" s="399">
        <f t="shared" si="80"/>
        <v>47026</v>
      </c>
      <c r="AQ171" s="399">
        <f t="shared" si="80"/>
        <v>47391</v>
      </c>
      <c r="AR171" s="399">
        <f t="shared" si="80"/>
        <v>47756</v>
      </c>
      <c r="AS171" s="399">
        <f t="shared" si="81"/>
        <v>48121</v>
      </c>
      <c r="AT171" s="399">
        <f t="shared" si="81"/>
        <v>48487</v>
      </c>
      <c r="AU171" s="399">
        <f t="shared" si="81"/>
        <v>48852</v>
      </c>
      <c r="AV171" s="399">
        <f t="shared" si="81"/>
        <v>49217</v>
      </c>
      <c r="AW171" s="399">
        <f t="shared" si="81"/>
        <v>49582</v>
      </c>
      <c r="AX171" s="399">
        <f t="shared" si="81"/>
        <v>49948</v>
      </c>
      <c r="AY171" s="399">
        <f t="shared" si="81"/>
        <v>50313</v>
      </c>
      <c r="AZ171" s="219"/>
    </row>
    <row r="172" spans="1:52" ht="12.75" customHeight="1">
      <c r="A172" s="216"/>
      <c r="B172" s="234"/>
      <c r="C172" s="234"/>
      <c r="D172" s="234"/>
      <c r="E172" s="234"/>
      <c r="F172" s="234"/>
      <c r="G172" s="234"/>
      <c r="H172" s="234"/>
      <c r="I172" s="234"/>
      <c r="J172" s="234"/>
      <c r="K172" s="234"/>
      <c r="L172" s="235"/>
      <c r="O172" s="207">
        <v>3</v>
      </c>
      <c r="P172" s="207">
        <f t="shared" si="76"/>
        <v>1</v>
      </c>
      <c r="Q172" s="400">
        <f>IF(IF(Q171&lt;D61,0,DATEDIF(D61,Q171+1,"m"))&lt;0,0,IF(Q171&lt;D61,0,DATEDIF(D61,Q171+1,"m")))</f>
        <v>0</v>
      </c>
      <c r="R172" s="400">
        <f>IF(IF(Q172=12,0,IF(R171&gt;D62,12-DATEDIF(D62,R171+1,"m"),IF(R171&lt;D61,0,DATEDIF(D61,R171+1,"m"))))&lt;0,0,IF(Q172=12,0,IF(R171&gt;D62,12-DATEDIF(D62,R171+1,"m"),IF(R171&lt;D61,0,DATEDIF(D61,R171+1,"m")))))</f>
        <v>0</v>
      </c>
      <c r="S172" s="400">
        <f>IF(IF(Q172+R172=12,0,IF(S171&gt;D62,12-DATEDIF(D62,S171+1,"m"),IF(S171&lt;D61,0,DATEDIF(D61,S171+1,"m"))))&lt;0,0,IF(Q172+R172=12,0,IF(S171&gt;D62,12-DATEDIF(D62,S171+1,"m"),IF(S171&lt;D61,0,DATEDIF(D61,S171+1,"m")))))</f>
        <v>0</v>
      </c>
      <c r="T172" s="400">
        <f>IF(IF(R172+S172+Q172=12,0,IF(T171&gt;D62,12-DATEDIF(D62,T171+1,"m"),IF(T171&lt;D61,0,DATEDIF(D61,T171+1,"m"))))&lt;0,0,IF(R172+S172+Q172=12,0,IF(T171&gt;D62,12-DATEDIF(D62,T171+1,"m"),IF(T171&lt;D61,0,DATEDIF(D61,T171+1,"m")))))</f>
        <v>0</v>
      </c>
      <c r="U172" s="400">
        <f>IF(IF(S172+T172+R172+Q172=12,0,IF(U171&gt;D62,12-DATEDIF(D62,U171+1,"m"),IF(U171&lt;D61,0,DATEDIF(D61,U171+1,"m"))))&lt;0,0,IF(S172+T172+R172+Q172=12,0,IF(U171&gt;D62,12-DATEDIF(D62,U171+1,"m"),IF(U171&lt;D61,0,DATEDIF(D61,U171+1,"m")))))</f>
        <v>0</v>
      </c>
      <c r="V172" s="400">
        <f>IF(IF(T172+U172+S172+R172+Q172=12,0,IF(V171&gt;D62,12-DATEDIF(D62,V171+1,"m"),IF(V171&lt;D61,0,DATEDIF(D61,V171+1,"m"))))&lt;0,0,IF(T172+U172+S172+R172+Q172=12,0,IF(V171&gt;D62,12-DATEDIF(D62,V171+1,"m"),IF(V171&lt;D61,0,DATEDIF(D61,V171+1,"m")))))</f>
        <v>0</v>
      </c>
      <c r="W172" s="400">
        <f>IF(IF(U172+V172+T172+S172+R172+Q172=12,0,IF(W171&gt;D62,12-DATEDIF(D62,W171+1,"m"),IF(W171&lt;D61,0,DATEDIF(D61,W171+1,"m"))))&lt;0,0,IF(U172+V172+T172+S172+R172+Q172=12,0,IF(W171&gt;D62,12-DATEDIF(D62,W171+1,"m"),IF(W171&lt;D61,0,DATEDIF(D61,W171+1,"m")))))</f>
        <v>0</v>
      </c>
      <c r="X172" s="400">
        <f>IF(IF(V172+W172+U172+T172+S172+R172+Q172=12,0,IF(X171&gt;D62,12-DATEDIF(D62,X171+1,"m"),IF(X171&lt;D61,0,DATEDIF(D61,X171+1,"m"))))&lt;0,0,IF(V172+W172+U172+T172+S172+R172+Q172=12,0,IF(X171&gt;D62,12-DATEDIF(D62,X171+1,"m"),IF(X171&lt;D61,0,DATEDIF(D61,X171+1,"m")))))</f>
        <v>0</v>
      </c>
      <c r="Y172" s="400">
        <f>IF(IF(W172+X172+V172+U172+T172+S172+R172=12,0,IF(Y171&gt;D62,12-DATEDIF(D62,Y171+1,"m"),IF(Y171&lt;D61,0,DATEDIF(D61,Y171+1,"m"))))&lt;0,0,IF(W172+X172+V172+U172+T172+S172+R172=12,0,IF(Y171&gt;D62,12-DATEDIF(D62,Y171+1,"m"),IF(Y171&lt;D61,0,DATEDIF(D61,Y171+1,"m")))))</f>
        <v>0</v>
      </c>
      <c r="Z172" s="400">
        <f>IF(IF(X172+Y172+W172+V172+U172+T172+S172=12,0,IF(Z171&gt;D62,12-DATEDIF(D62,Z171+1,"m"),IF(Z171&lt;D61,0,DATEDIF(D61,Z171+1,"m"))))&lt;0,0,IF(X172+Y172+W172+V172+U172+T172+S172=12,0,IF(Z171&gt;D62,12-DATEDIF(D62,Z171+1,"m"),IF(Z171&lt;D61,0,DATEDIF(D61,Z171+1,"m")))))</f>
        <v>0</v>
      </c>
      <c r="AA172" s="400"/>
      <c r="AB172" s="400"/>
      <c r="AC172" s="400"/>
      <c r="AD172" s="400"/>
      <c r="AE172" s="400"/>
      <c r="AF172" s="400"/>
      <c r="AG172" s="400"/>
      <c r="AH172" s="423">
        <f>SUM(Q172:AG172)</f>
        <v>0</v>
      </c>
      <c r="AI172" s="400">
        <f t="shared" si="80"/>
        <v>0</v>
      </c>
      <c r="AJ172" s="400">
        <f t="shared" si="80"/>
        <v>0</v>
      </c>
      <c r="AK172" s="400">
        <f t="shared" si="80"/>
        <v>0</v>
      </c>
      <c r="AL172" s="400">
        <f t="shared" si="80"/>
        <v>0</v>
      </c>
      <c r="AM172" s="400">
        <f t="shared" si="80"/>
        <v>0</v>
      </c>
      <c r="AN172" s="400">
        <f t="shared" si="80"/>
        <v>0</v>
      </c>
      <c r="AO172" s="400">
        <f t="shared" si="80"/>
        <v>0</v>
      </c>
      <c r="AP172" s="400">
        <f t="shared" si="80"/>
        <v>0</v>
      </c>
      <c r="AQ172" s="400">
        <f t="shared" si="80"/>
        <v>0</v>
      </c>
      <c r="AR172" s="400">
        <f t="shared" si="80"/>
        <v>0</v>
      </c>
      <c r="AS172" s="400">
        <f t="shared" si="81"/>
        <v>0</v>
      </c>
      <c r="AT172" s="400">
        <f t="shared" si="81"/>
        <v>0</v>
      </c>
      <c r="AU172" s="400">
        <f t="shared" si="81"/>
        <v>0</v>
      </c>
      <c r="AV172" s="400">
        <f t="shared" si="81"/>
        <v>0</v>
      </c>
      <c r="AW172" s="400">
        <f t="shared" si="81"/>
        <v>0</v>
      </c>
      <c r="AX172" s="400">
        <f t="shared" si="81"/>
        <v>0</v>
      </c>
      <c r="AY172" s="400">
        <f t="shared" si="81"/>
        <v>0</v>
      </c>
      <c r="AZ172" s="219">
        <f>SUM(AI172:AY172)</f>
        <v>0</v>
      </c>
    </row>
    <row r="173" spans="1:52" ht="12.75" customHeight="1" thickBot="1">
      <c r="A173" s="236" t="s">
        <v>154</v>
      </c>
      <c r="B173" s="237">
        <f>SUM(B169:B171)</f>
        <v>0</v>
      </c>
      <c r="C173" s="237" t="str">
        <f>IF(C163="No Year 2","",SUM(C169:C171))</f>
        <v/>
      </c>
      <c r="D173" s="237" t="str">
        <f>IF(D163="No Year 3","",SUM(D169:D171))</f>
        <v/>
      </c>
      <c r="E173" s="237" t="str">
        <f>IF(E163="No Year 4","",SUM(E169:E171))</f>
        <v/>
      </c>
      <c r="F173" s="237" t="str">
        <f>IF(F163="No Year 5","",SUM(F169:F171))</f>
        <v/>
      </c>
      <c r="G173" s="237" t="str">
        <f>IF(G163="No Year 6","",SUM(G169:G171))</f>
        <v/>
      </c>
      <c r="H173" s="237" t="str">
        <f>IF(H163="No Year 7","",SUM(H169:H171))</f>
        <v/>
      </c>
      <c r="I173" s="237" t="str">
        <f>IF(I163="No Year 8","",SUM(I169:I171))</f>
        <v/>
      </c>
      <c r="J173" s="237" t="str">
        <f>IF(J163="No Year 9","",SUM(J169:J171))</f>
        <v/>
      </c>
      <c r="K173" s="237" t="str">
        <f>IF(K163="No Year 10","",SUM(K169:K171))</f>
        <v/>
      </c>
      <c r="L173" s="238">
        <f>SUM(B173:K173)</f>
        <v>0</v>
      </c>
      <c r="N173" s="86">
        <f>IF(L173&gt;0,1,0)</f>
        <v>0</v>
      </c>
      <c r="P173" s="207">
        <f t="shared" si="76"/>
        <v>1</v>
      </c>
      <c r="Q173" s="401">
        <f>IF(Q172=0,0,(IF((C67+B67+D67)&lt;=25000,((D67/+AH172)*Q172)*VLOOKUP('1. SUMMARY'!$C$20,rate,Sheet1!$T$21,0),((IF((B67+C67)&gt;=25000,0,(((25000-(B67+C67))/+AH172)*Q172)*VLOOKUP('1. SUMMARY'!$C$20,rate,Sheet1!$T$21,0)))))))</f>
        <v>0</v>
      </c>
      <c r="R173" s="401">
        <f>IF(R172=0,0,(IF((B67+C67+D67)&lt;=25000,((D67/+AH172)*R172)*VLOOKUP('1. SUMMARY'!$C$20,rate,Sheet1!$U$21,0),((IF((B67+C67)&gt;=25000,0,(((25000-(+B67+C67))/+AH172)*R172)*VLOOKUP('1. SUMMARY'!$C$20,rate,Sheet1!$U$21,0)))))))</f>
        <v>0</v>
      </c>
      <c r="S173" s="401">
        <f>IF(S172=0,0,(IF((B67+C67+D67)&lt;=25000,((D67/+AH172)*S172)*VLOOKUP('1. SUMMARY'!$C$20,rate,Sheet1!$V$21,0),((IF(((B67+C67))&gt;=25000,0,((25000-(B67+C67))/+AH172)*S172)*VLOOKUP('1. SUMMARY'!$C$20,rate,Sheet1!$V$21,0))))))</f>
        <v>0</v>
      </c>
      <c r="T173" s="401">
        <f>IF(T172=0,0,(IF((B67+C67+D67)&lt;=25000,((D67/+AH172)*T172)*VLOOKUP('1. SUMMARY'!$C$20,rate,Sheet1!$W$21,0),((IF((B67+C67)&gt;=25000,0,((25000-(B67+C67))/+AH172)*T172)*VLOOKUP('1. SUMMARY'!$C$20,rate,Sheet1!$W$21,0))))))</f>
        <v>0</v>
      </c>
      <c r="U173" s="401">
        <f>IF(U172=0,0,(IF((B67+C67+D67)&lt;=25000,((D67/+AH172)*U172)*VLOOKUP('1. SUMMARY'!$C$20,rate,Sheet1!$X$21,0),((IF((B67+C67)&gt;=25000,0,((25000-(B67+C67))/+AH172)*U172)*VLOOKUP('1. SUMMARY'!$C$20,rate,Sheet1!$X$21,0))))))</f>
        <v>0</v>
      </c>
      <c r="V173" s="401">
        <f>IF(V172=0,0,(IF((B67+C67+D67)&lt;=25000,((D67/+AH172)*V172)*VLOOKUP('1. SUMMARY'!$C$20,rate,Sheet1!$Y$21,0),((IF((B67+C67)&gt;=25000,0,((25000-(B67+C67))/+AH172)*V172)*VLOOKUP('1. SUMMARY'!$C$20,rate,Sheet1!$Y$21,0))))))</f>
        <v>0</v>
      </c>
      <c r="W173" s="401">
        <f>IF(W172=0,0,(IF((B67+C67+D67)&lt;=25000,((D67/+AH172)*W172)*VLOOKUP('1. SUMMARY'!$C$20,rate,Sheet1!$Z$21,0),((IF((B67+C67)&gt;=25000,0,((25000-(B67+C67))/+AH172)*W172)*VLOOKUP('1. SUMMARY'!$C$20,rate,Sheet1!$Z$21,0))))))</f>
        <v>0</v>
      </c>
      <c r="X173" s="401">
        <f>IF(X172=0,0,(IF((B67+C67+D67)&lt;=25000,((D67/+AH172)*X172)*VLOOKUP('1. SUMMARY'!$C$20,rate,Sheet1!$AA$21,0),((IF((B67+C67)&gt;=25000,0,((25000-(B67+C67))/+AH172)*X172)*VLOOKUP('1. SUMMARY'!$C$20,rate,Sheet1!$AA$21,0))))))</f>
        <v>0</v>
      </c>
      <c r="Y173" s="401">
        <f>IF(Y172=0,0,(IF((C67+D67+B67)&lt;=25000,((D67/+AH172)*Y172)*VLOOKUP('1. SUMMARY'!$C$20,rate,Sheet1!$AB$21,0),((IF((C67+B67)&gt;=25000,0,((25000-(C67+B67))/+AH172)*Y172)*VLOOKUP('1. SUMMARY'!$C$20,rate,Sheet1!$AB$21,0))))))</f>
        <v>0</v>
      </c>
      <c r="Z173" s="401">
        <f>IF(Z172=0,0,(IF((D67+B67+C67)&lt;=25000,((D67/+AH172)*Z172)*VLOOKUP('1. SUMMARY'!$C$20,rate,Sheet1!$AC$21,0),((IF((C67+B67)&gt;=25000,0,((25000-(B67+C67))/+AH172)*Z172)*VLOOKUP('1. SUMMARY'!$C$20,rate,Sheet1!$AC$21,0))))))</f>
        <v>0</v>
      </c>
      <c r="AA173" s="401"/>
      <c r="AB173" s="401"/>
      <c r="AC173" s="401"/>
      <c r="AD173" s="401"/>
      <c r="AE173" s="401"/>
      <c r="AF173" s="401"/>
      <c r="AG173" s="401"/>
      <c r="AH173" s="219">
        <f>SUM(Q173:AG173)</f>
        <v>0</v>
      </c>
      <c r="AI173" s="401">
        <f>IF(Q172=0,0,((+$D67/$AZ$17)*AI172)*VLOOKUP('1. SUMMARY'!$C$20,rate,Sheet1!T$21,0))</f>
        <v>0</v>
      </c>
      <c r="AJ173" s="401">
        <f>IF(R172=0,0,((+$D67/$AZ$17)*AJ172)*VLOOKUP('1. SUMMARY'!$C$20,rate,Sheet1!U$21,0))</f>
        <v>0</v>
      </c>
      <c r="AK173" s="401">
        <f>IF(S172=0,0,((+$D67/$AZ$17)*AK172)*VLOOKUP('1. SUMMARY'!$C$20,rate,Sheet1!V$21,0))</f>
        <v>0</v>
      </c>
      <c r="AL173" s="401">
        <f>IF(T172=0,0,((+$D67/$AZ$17)*AL172)*VLOOKUP('1. SUMMARY'!$C$20,rate,Sheet1!W$21,0))</f>
        <v>0</v>
      </c>
      <c r="AM173" s="401">
        <f>IF(U172=0,0,((+$D67/$AZ$17)*AM172)*VLOOKUP('1. SUMMARY'!$C$20,rate,Sheet1!X$21,0))</f>
        <v>0</v>
      </c>
      <c r="AN173" s="401">
        <f>IF(V172=0,0,((+$D67/$AZ$17)*AN172)*VLOOKUP('1. SUMMARY'!$C$20,rate,Sheet1!Y$21,0))</f>
        <v>0</v>
      </c>
      <c r="AO173" s="401">
        <f>IF(W172=0,0,((+$D67/$AZ$17)*AO172)*VLOOKUP('1. SUMMARY'!$C$20,rate,Sheet1!Z$21,0))</f>
        <v>0</v>
      </c>
      <c r="AP173" s="401">
        <f>IF(X172=0,0,((+$D67/$AZ$17)*AP172)*VLOOKUP('1. SUMMARY'!$C$20,rate,Sheet1!AA$21,0))</f>
        <v>0</v>
      </c>
      <c r="AQ173" s="401">
        <f>IF(Y172=0,0,((+$D67/$AZ$17)*AQ172)*VLOOKUP('1. SUMMARY'!$C$20,rate,Sheet1!AB$21,0))</f>
        <v>0</v>
      </c>
      <c r="AR173" s="401">
        <f>IF(Z172=0,0,((+$D67/$AZ$17)*AR172)*VLOOKUP('1. SUMMARY'!$C$20,rate,Sheet1!AC$21,0))</f>
        <v>0</v>
      </c>
      <c r="AS173" s="401">
        <f>IF(AA172=0,0,((+$D67/$AZ$17)*AS172)*VLOOKUP('1. SUMMARY'!$C$20,rate,Sheet1!AD$21,0))</f>
        <v>0</v>
      </c>
      <c r="AT173" s="401">
        <f>IF(AB172=0,0,((+$D67/$AZ$17)*AT172)*VLOOKUP('1. SUMMARY'!$C$20,rate,Sheet1!AE$21,0))</f>
        <v>0</v>
      </c>
      <c r="AU173" s="401">
        <f>IF(AC172=0,0,((+$D67/$AZ$17)*AU172)*VLOOKUP('1. SUMMARY'!$C$20,rate,Sheet1!AF$21,0))</f>
        <v>0</v>
      </c>
      <c r="AV173" s="401">
        <f>IF(AD172=0,0,((+$D67/$AZ$17)*AV172)*VLOOKUP('1. SUMMARY'!$C$20,rate,Sheet1!AG$21,0))</f>
        <v>0</v>
      </c>
      <c r="AW173" s="401">
        <f>IF(AE172=0,0,((+$D67/$AZ$17)*AW172)*VLOOKUP('1. SUMMARY'!$C$20,rate,Sheet1!AH$21,0))</f>
        <v>0</v>
      </c>
      <c r="AX173" s="401">
        <f>IF(AF172=0,0,((+$D67/$AZ$17)*AX172)*VLOOKUP('1. SUMMARY'!$C$20,rate,Sheet1!AI$21,0))</f>
        <v>0</v>
      </c>
      <c r="AY173" s="401">
        <f>IF(AG172=0,0,((+$D67/$AZ$17)*AY172)*VLOOKUP('1. SUMMARY'!$C$20,rate,Sheet1!AJ$21,0))</f>
        <v>0</v>
      </c>
      <c r="AZ173" s="219">
        <f>SUM(AI173:AY173)</f>
        <v>0</v>
      </c>
    </row>
    <row r="174" spans="1:52" ht="12.75" customHeight="1" thickTop="1">
      <c r="P174" s="207">
        <f t="shared" si="76"/>
        <v>1</v>
      </c>
      <c r="Q174" s="401">
        <f>+Q173/VLOOKUP('1. SUMMARY'!$C$20,rate,Sheet1!T$21,0)</f>
        <v>0</v>
      </c>
      <c r="R174" s="401">
        <f>+R173/VLOOKUP('1. SUMMARY'!$C$20,rate,Sheet1!U$21,0)</f>
        <v>0</v>
      </c>
      <c r="S174" s="401">
        <f>+S173/VLOOKUP('1. SUMMARY'!$C$20,rate,Sheet1!V$21,0)</f>
        <v>0</v>
      </c>
      <c r="T174" s="401">
        <f>+T173/VLOOKUP('1. SUMMARY'!$C$20,rate,Sheet1!W$21,0)</f>
        <v>0</v>
      </c>
      <c r="U174" s="401">
        <f>+U173/VLOOKUP('1. SUMMARY'!$C$20,rate,Sheet1!X$21,0)</f>
        <v>0</v>
      </c>
      <c r="V174" s="401">
        <f>+V173/VLOOKUP('1. SUMMARY'!$C$20,rate,Sheet1!Y$21,0)</f>
        <v>0</v>
      </c>
      <c r="W174" s="401">
        <f>+W173/VLOOKUP('1. SUMMARY'!$C$20,rate,Sheet1!Z$21,0)</f>
        <v>0</v>
      </c>
      <c r="X174" s="401">
        <f>+X173/VLOOKUP('1. SUMMARY'!$C$20,rate,Sheet1!AA$21,0)</f>
        <v>0</v>
      </c>
      <c r="Y174" s="401">
        <f>+Y173/VLOOKUP('1. SUMMARY'!$C$20,rate,Sheet1!AB$21,0)</f>
        <v>0</v>
      </c>
      <c r="Z174" s="401">
        <f>+Z173/VLOOKUP('1. SUMMARY'!$C$20,rate,Sheet1!AC$21,0)</f>
        <v>0</v>
      </c>
      <c r="AA174" s="401">
        <f>+AA173/VLOOKUP('1. SUMMARY'!$C$20,rate,Sheet1!AD$21,0)</f>
        <v>0</v>
      </c>
      <c r="AB174" s="401">
        <f>+AB173/VLOOKUP('1. SUMMARY'!$C$20,rate,Sheet1!AE$21,0)</f>
        <v>0</v>
      </c>
      <c r="AC174" s="401">
        <f>+AC173/VLOOKUP('1. SUMMARY'!$C$20,rate,Sheet1!AF$21,0)</f>
        <v>0</v>
      </c>
      <c r="AD174" s="401">
        <f>+AD173/VLOOKUP('1. SUMMARY'!$C$20,rate,Sheet1!AG$21,0)</f>
        <v>0</v>
      </c>
      <c r="AE174" s="401">
        <f>+AE173/VLOOKUP('1. SUMMARY'!$C$20,rate,Sheet1!AH$21,0)</f>
        <v>0</v>
      </c>
      <c r="AF174" s="401">
        <f>+AF173/VLOOKUP('1. SUMMARY'!$C$20,rate,Sheet1!AI$21,0)</f>
        <v>0</v>
      </c>
      <c r="AG174" s="401">
        <f>+AG173/VLOOKUP('1. SUMMARY'!$C$20,rate,Sheet1!AJ$21,0)</f>
        <v>0</v>
      </c>
      <c r="AH174" s="219"/>
      <c r="AI174" s="401">
        <v>0</v>
      </c>
      <c r="AJ174" s="401">
        <v>0</v>
      </c>
      <c r="AK174" s="401">
        <v>0</v>
      </c>
      <c r="AL174" s="401">
        <v>0</v>
      </c>
      <c r="AM174" s="401">
        <v>0</v>
      </c>
      <c r="AN174" s="401">
        <v>0</v>
      </c>
      <c r="AO174" s="401">
        <v>0</v>
      </c>
      <c r="AP174" s="401">
        <v>0</v>
      </c>
      <c r="AQ174" s="401"/>
      <c r="AR174" s="401"/>
      <c r="AS174" s="401"/>
      <c r="AT174" s="401"/>
      <c r="AU174" s="401"/>
      <c r="AV174" s="401"/>
      <c r="AW174" s="401"/>
      <c r="AX174" s="401"/>
      <c r="AY174" s="401"/>
      <c r="AZ174" s="219"/>
    </row>
    <row r="175" spans="1:52" ht="12.75" customHeight="1" thickBot="1">
      <c r="P175" s="207">
        <f t="shared" si="76"/>
        <v>1</v>
      </c>
      <c r="Q175" s="405">
        <f>Sheet1!$T$8</f>
        <v>44105</v>
      </c>
      <c r="R175" s="405">
        <f>Sheet1!$U$8</f>
        <v>44470</v>
      </c>
      <c r="S175" s="405">
        <f>Sheet1!$V$8</f>
        <v>44835</v>
      </c>
      <c r="T175" s="405">
        <f>Sheet1!$W$8</f>
        <v>45200</v>
      </c>
      <c r="U175" s="405">
        <f>Sheet1!$X$8</f>
        <v>45566</v>
      </c>
      <c r="V175" s="405">
        <f>Sheet1!$Y$8</f>
        <v>45931</v>
      </c>
      <c r="W175" s="405">
        <f>Sheet1!$Z$8</f>
        <v>46296</v>
      </c>
      <c r="X175" s="405">
        <f>Sheet1!$AA$8</f>
        <v>46661</v>
      </c>
      <c r="Y175" s="405">
        <f>Sheet1!$AB$8</f>
        <v>47027</v>
      </c>
      <c r="Z175" s="405">
        <f>Sheet1!$AC$8</f>
        <v>47392</v>
      </c>
      <c r="AA175" s="405">
        <f>$AA$5</f>
        <v>47757</v>
      </c>
      <c r="AB175" s="405">
        <f>$AB$5</f>
        <v>48122</v>
      </c>
      <c r="AC175" s="405">
        <f>$AC$5</f>
        <v>48488</v>
      </c>
      <c r="AD175" s="405">
        <f>$AD$5</f>
        <v>48853</v>
      </c>
      <c r="AE175" s="405">
        <f>$AE$5</f>
        <v>49218</v>
      </c>
      <c r="AF175" s="405">
        <f>$AF$5</f>
        <v>49583</v>
      </c>
      <c r="AG175" s="405">
        <f>$AG$5</f>
        <v>49949</v>
      </c>
      <c r="AH175" s="211"/>
      <c r="AI175" s="405">
        <f t="shared" ref="AI175:AR177" si="82">+Q175</f>
        <v>44105</v>
      </c>
      <c r="AJ175" s="405">
        <f t="shared" si="82"/>
        <v>44470</v>
      </c>
      <c r="AK175" s="405">
        <f t="shared" si="82"/>
        <v>44835</v>
      </c>
      <c r="AL175" s="405">
        <f t="shared" si="82"/>
        <v>45200</v>
      </c>
      <c r="AM175" s="405">
        <f t="shared" si="82"/>
        <v>45566</v>
      </c>
      <c r="AN175" s="405">
        <f t="shared" si="82"/>
        <v>45931</v>
      </c>
      <c r="AO175" s="405">
        <f t="shared" si="82"/>
        <v>46296</v>
      </c>
      <c r="AP175" s="405">
        <f t="shared" si="82"/>
        <v>46661</v>
      </c>
      <c r="AQ175" s="405">
        <f t="shared" si="82"/>
        <v>47027</v>
      </c>
      <c r="AR175" s="405">
        <f t="shared" si="82"/>
        <v>47392</v>
      </c>
      <c r="AS175" s="405">
        <f t="shared" ref="AS175:AY177" si="83">+AA175</f>
        <v>47757</v>
      </c>
      <c r="AT175" s="405">
        <f t="shared" si="83"/>
        <v>48122</v>
      </c>
      <c r="AU175" s="405">
        <f t="shared" si="83"/>
        <v>48488</v>
      </c>
      <c r="AV175" s="405">
        <f t="shared" si="83"/>
        <v>48853</v>
      </c>
      <c r="AW175" s="405">
        <f t="shared" si="83"/>
        <v>49218</v>
      </c>
      <c r="AX175" s="405">
        <f t="shared" si="83"/>
        <v>49583</v>
      </c>
      <c r="AY175" s="405">
        <f t="shared" si="83"/>
        <v>49949</v>
      </c>
      <c r="AZ175" s="211"/>
    </row>
    <row r="176" spans="1:52" ht="12.75" customHeight="1" thickTop="1">
      <c r="A176" s="212" t="s">
        <v>164</v>
      </c>
      <c r="B176" s="213"/>
      <c r="C176" s="213"/>
      <c r="D176" s="213"/>
      <c r="E176" s="213"/>
      <c r="F176" s="213"/>
      <c r="G176" s="213"/>
      <c r="H176" s="213"/>
      <c r="I176" s="213"/>
      <c r="J176" s="213"/>
      <c r="K176" s="213"/>
      <c r="L176" s="214"/>
      <c r="P176" s="207">
        <f t="shared" si="76"/>
        <v>1</v>
      </c>
      <c r="Q176" s="405">
        <f>Sheet1!$T$9</f>
        <v>44469</v>
      </c>
      <c r="R176" s="405">
        <f>Sheet1!$U$9</f>
        <v>44834</v>
      </c>
      <c r="S176" s="405">
        <f>Sheet1!$V$9</f>
        <v>45199</v>
      </c>
      <c r="T176" s="405">
        <f>Sheet1!$W$9</f>
        <v>45565</v>
      </c>
      <c r="U176" s="405">
        <f>Sheet1!$X$9</f>
        <v>45930</v>
      </c>
      <c r="V176" s="405">
        <f>Sheet1!$Y$9</f>
        <v>46295</v>
      </c>
      <c r="W176" s="405">
        <f>Sheet1!$Z$9</f>
        <v>46660</v>
      </c>
      <c r="X176" s="405">
        <f>Sheet1!$AA$9</f>
        <v>47026</v>
      </c>
      <c r="Y176" s="405">
        <f>Sheet1!$AB$9</f>
        <v>47391</v>
      </c>
      <c r="Z176" s="405">
        <f>Sheet1!$AC$9</f>
        <v>47756</v>
      </c>
      <c r="AA176" s="405">
        <f>$AA$6</f>
        <v>48121</v>
      </c>
      <c r="AB176" s="405">
        <f>$AB$6</f>
        <v>48487</v>
      </c>
      <c r="AC176" s="405">
        <f>$AC$6</f>
        <v>48852</v>
      </c>
      <c r="AD176" s="405">
        <f>$AD$6</f>
        <v>49217</v>
      </c>
      <c r="AE176" s="405">
        <f>$AE$6</f>
        <v>49582</v>
      </c>
      <c r="AF176" s="405">
        <f>$AF$6</f>
        <v>49948</v>
      </c>
      <c r="AG176" s="405">
        <f>$AG$6</f>
        <v>50313</v>
      </c>
      <c r="AH176" s="211"/>
      <c r="AI176" s="405">
        <f t="shared" si="82"/>
        <v>44469</v>
      </c>
      <c r="AJ176" s="405">
        <f t="shared" si="82"/>
        <v>44834</v>
      </c>
      <c r="AK176" s="405">
        <f t="shared" si="82"/>
        <v>45199</v>
      </c>
      <c r="AL176" s="405">
        <f t="shared" si="82"/>
        <v>45565</v>
      </c>
      <c r="AM176" s="405">
        <f t="shared" si="82"/>
        <v>45930</v>
      </c>
      <c r="AN176" s="405">
        <f t="shared" si="82"/>
        <v>46295</v>
      </c>
      <c r="AO176" s="405">
        <f t="shared" si="82"/>
        <v>46660</v>
      </c>
      <c r="AP176" s="405">
        <f t="shared" si="82"/>
        <v>47026</v>
      </c>
      <c r="AQ176" s="405">
        <f t="shared" si="82"/>
        <v>47391</v>
      </c>
      <c r="AR176" s="405">
        <f t="shared" si="82"/>
        <v>47756</v>
      </c>
      <c r="AS176" s="405">
        <f t="shared" si="83"/>
        <v>48121</v>
      </c>
      <c r="AT176" s="405">
        <f t="shared" si="83"/>
        <v>48487</v>
      </c>
      <c r="AU176" s="405">
        <f t="shared" si="83"/>
        <v>48852</v>
      </c>
      <c r="AV176" s="405">
        <f t="shared" si="83"/>
        <v>49217</v>
      </c>
      <c r="AW176" s="405">
        <f t="shared" si="83"/>
        <v>49582</v>
      </c>
      <c r="AX176" s="405">
        <f t="shared" si="83"/>
        <v>49948</v>
      </c>
      <c r="AY176" s="405">
        <f t="shared" si="83"/>
        <v>50313</v>
      </c>
      <c r="AZ176" s="211"/>
    </row>
    <row r="177" spans="1:52" ht="23.25" customHeight="1">
      <c r="A177" s="215" t="s">
        <v>149</v>
      </c>
      <c r="B177" s="575"/>
      <c r="C177" s="575"/>
      <c r="D177" s="575"/>
      <c r="E177" s="575"/>
      <c r="F177" s="575"/>
      <c r="G177" s="575"/>
      <c r="H177" s="575"/>
      <c r="I177" s="575"/>
      <c r="J177" s="575"/>
      <c r="K177" s="575"/>
      <c r="L177" s="576"/>
      <c r="O177" s="207">
        <v>4</v>
      </c>
      <c r="P177" s="207">
        <f t="shared" si="76"/>
        <v>1</v>
      </c>
      <c r="Q177" s="406">
        <f>IF(IF(Q176&lt;E61,0,DATEDIF(E61,Q176+1,"m"))&lt;0,0,IF(Q176&lt;E61,0,DATEDIF(E61,Q176+1,"m")))</f>
        <v>0</v>
      </c>
      <c r="R177" s="406">
        <f>IF(IF(Q177=12,0,IF(R176&gt;E62,12-DATEDIF(E62,R176+1,"m"),IF(R176&lt;E61,0,DATEDIF(E61,R176+1,"m"))))&lt;0,0,IF(Q177=12,0,IF(R176&gt;E62,12-DATEDIF(E62,R176+1,"m"),IF(R176&lt;E61,0,DATEDIF(E61,R176+1,"m")))))</f>
        <v>0</v>
      </c>
      <c r="S177" s="406">
        <f>IF(IF(Q177+R177=12,0,IF(S176&gt;E62,12-DATEDIF(E62,S176+1,"m"),IF(S176&lt;E61,0,DATEDIF(E61,S176+1,"m"))))&lt;0,0,IF(Q177+R177=12,0,IF(S176&gt;E62,12-DATEDIF(E62,S176+1,"m"),IF(S176&lt;E61,0,DATEDIF(E61,S176+1,"m")))))</f>
        <v>0</v>
      </c>
      <c r="T177" s="406">
        <f>IF(IF(R177+S177+Q177=12,0,IF(T176&gt;E62,12-DATEDIF(E62,T176+1,"m"),IF(T176&lt;E61,0,DATEDIF(E61,T176+1,"m"))))&lt;0,0,IF(R177+S177+Q177=12,0,IF(T176&gt;E62,12-DATEDIF(E62,T176+1,"m"),IF(T176&lt;E61,0,DATEDIF(E61,T176+1,"m")))))</f>
        <v>0</v>
      </c>
      <c r="U177" s="406">
        <f>IF(IF(S177+T177+R177+Q177=12,0,IF(U176&gt;E62,12-DATEDIF(E62,U176+1,"m"),IF(U176&lt;E61,0,DATEDIF(E61,U176+1,"m"))))&lt;0,0,IF(S177+T177+R177+Q177=12,0,IF(U176&gt;E62,12-DATEDIF(E62,U176+1,"m"),IF(U176&lt;E61,0,DATEDIF(E61,U176+1,"m")))))</f>
        <v>0</v>
      </c>
      <c r="V177" s="406">
        <f>IF(IF(T177+U177+S177+R177+Q177=12,0,IF(V176&gt;E62,12-DATEDIF(E62,V176+1,"m"),IF(V176&lt;E61,0,DATEDIF(E61,V176+1,"m"))))&lt;0,0,IF(T177+U177+S177+R177+Q177=12,0,IF(V176&gt;E62,12-DATEDIF(E62,V176+1,"m"),IF(V176&lt;E61,0,DATEDIF(E61,V176+1,"m")))))</f>
        <v>0</v>
      </c>
      <c r="W177" s="406">
        <f>IF(IF(U177+V177+T177+S177+R177+Q177=12,0,IF(W176&gt;E62,12-DATEDIF(E62,W176+1,"m"),IF(W176&lt;E61,0,DATEDIF(E61,W176+1,"m"))))&lt;0,0,IF(U177+V177+T177+S177+R177+Q177=12,0,IF(W176&gt;E62,12-DATEDIF(E62,W176+1,"m"),IF(W176&lt;E61,0,DATEDIF(E61,W176+1,"m")))))</f>
        <v>0</v>
      </c>
      <c r="X177" s="406">
        <f>IF(IF(V177+W177+U177+T177+S177+R177+Q177=12,0,IF(X176&gt;E62,12-DATEDIF(E62,X176+1,"m"),IF(X176&lt;E61,0,DATEDIF(E61,X176+1,"m"))))&lt;0,0,IF(V177+W177+U177+T177+S177+R177+Q177=12,0,IF(X176&gt;E62,12-DATEDIF(E62,X176+1,"m"),IF(X176&lt;E61,0,DATEDIF(E61,X176+1,"m")))))</f>
        <v>0</v>
      </c>
      <c r="Y177" s="406">
        <f>IF(IF(Q177+W177+X177+V177+U177+T177+S177+R177=12,0,IF(Y176&gt;E62,12-DATEDIF(E62,Y176+1,"m"),IF(Y176&lt;E61,0,DATEDIF(E61,Y176+1,"m"))))&lt;0,0,IF(Q177+W177+X177+V177+U177+T177+S177+R177=12,0,IF(Y176&gt;E62,12-DATEDIF(E62,Y176+1,"m"),IF(Y176&lt;E61,0,DATEDIF(E61,Y176+1,"m")))))</f>
        <v>0</v>
      </c>
      <c r="Z177" s="406">
        <f>IF(IF(Q177+X177+Y177+W177+V177+U177+T177+S177+R177=12,0,IF(Z176&gt;E62,12-DATEDIF(E62,Z176+1,"m"),IF(Z176&lt;E61,0,DATEDIF(E61,Z176+1,"m"))))&lt;0,0,IF(Q177+R177+X177+Y177+W177+V177+U177+T177+S177=12,0,IF(Z176&gt;E62,12-DATEDIF(E62,Z176+1,"m"),IF(Z176&lt;E61,0,DATEDIF(E61,Z176+1,"m")))))</f>
        <v>0</v>
      </c>
      <c r="AA177" s="406"/>
      <c r="AB177" s="406"/>
      <c r="AC177" s="406"/>
      <c r="AD177" s="406"/>
      <c r="AE177" s="406"/>
      <c r="AF177" s="406"/>
      <c r="AG177" s="406"/>
      <c r="AH177" s="423">
        <f>SUM(Q177:AG177)</f>
        <v>0</v>
      </c>
      <c r="AI177" s="406">
        <f t="shared" si="82"/>
        <v>0</v>
      </c>
      <c r="AJ177" s="406">
        <f t="shared" si="82"/>
        <v>0</v>
      </c>
      <c r="AK177" s="406">
        <f t="shared" si="82"/>
        <v>0</v>
      </c>
      <c r="AL177" s="406">
        <f t="shared" si="82"/>
        <v>0</v>
      </c>
      <c r="AM177" s="406">
        <f t="shared" si="82"/>
        <v>0</v>
      </c>
      <c r="AN177" s="406">
        <f t="shared" si="82"/>
        <v>0</v>
      </c>
      <c r="AO177" s="406">
        <f t="shared" si="82"/>
        <v>0</v>
      </c>
      <c r="AP177" s="406">
        <f t="shared" si="82"/>
        <v>0</v>
      </c>
      <c r="AQ177" s="406">
        <f t="shared" si="82"/>
        <v>0</v>
      </c>
      <c r="AR177" s="406">
        <f t="shared" si="82"/>
        <v>0</v>
      </c>
      <c r="AS177" s="406">
        <f t="shared" si="83"/>
        <v>0</v>
      </c>
      <c r="AT177" s="406">
        <f t="shared" si="83"/>
        <v>0</v>
      </c>
      <c r="AU177" s="406">
        <f t="shared" si="83"/>
        <v>0</v>
      </c>
      <c r="AV177" s="406">
        <f t="shared" si="83"/>
        <v>0</v>
      </c>
      <c r="AW177" s="406">
        <f t="shared" si="83"/>
        <v>0</v>
      </c>
      <c r="AX177" s="406">
        <f t="shared" si="83"/>
        <v>0</v>
      </c>
      <c r="AY177" s="406">
        <f t="shared" si="83"/>
        <v>0</v>
      </c>
      <c r="AZ177" s="219">
        <f>SUM(AI177:AY177)</f>
        <v>0</v>
      </c>
    </row>
    <row r="178" spans="1:52" ht="12.75" customHeight="1">
      <c r="A178" s="216"/>
      <c r="B178" s="217"/>
      <c r="C178" s="217"/>
      <c r="D178" s="217"/>
      <c r="E178" s="217"/>
      <c r="F178" s="217"/>
      <c r="G178" s="217"/>
      <c r="H178" s="217"/>
      <c r="I178" s="217"/>
      <c r="J178" s="217"/>
      <c r="K178" s="217"/>
      <c r="L178" s="218"/>
      <c r="P178" s="207">
        <f t="shared" si="76"/>
        <v>1</v>
      </c>
      <c r="Q178" s="407">
        <f>IF(Q177=0,0,(IF(($C$67+$B$67+$D$67+$E$67)&lt;=25000,(($E$67/+$AH177)*Q177)*VLOOKUP('1. SUMMARY'!$C$20,rate,Sheet1!T$21,0),((IF(($B$67+$C$67+$D$67)&gt;=25000,0,(((25000-($B$67+$C$67+$D$67))/+$AH177)*Q177)*(VLOOKUP('1. SUMMARY'!$C$20,rate,Sheet1!T$21,0))))))))</f>
        <v>0</v>
      </c>
      <c r="R178" s="407">
        <f>IF(R177=0,0,(IF(($C$67+$B$67+$D$67+$E$67)&lt;=25000,(($E$67/+$AH177)*R177)*VLOOKUP('1. SUMMARY'!$C$20,rate,Sheet1!U$21,0),((IF(($B$67+$C$67+$D$67)&gt;=25000,0,(((25000-($B$67+$C$67+$D$67))/+$AH177)*R177)*(VLOOKUP('1. SUMMARY'!$C$20,rate,Sheet1!U$21,0))))))))</f>
        <v>0</v>
      </c>
      <c r="S178" s="407">
        <f>IF(S177=0,0,(IF(($C$67+$B$67+$D$67+$E$67)&lt;=25000,(($E$67/+$AH177)*S177)*VLOOKUP('1. SUMMARY'!$C$20,rate,Sheet1!V$21,0),((IF(($B$67+$C$67+$D$67)&gt;=25000,0,(((25000-($B$67+$C$67+$D$67))/+$AH177)*S177)*(VLOOKUP('1. SUMMARY'!$C$20,rate,Sheet1!V$21,0))))))))</f>
        <v>0</v>
      </c>
      <c r="T178" s="407">
        <f>IF(T177=0,0,(IF(($C$67+$B$67+$D$67+$E$67)&lt;=25000,(($E$67/+$AH177)*T177)*VLOOKUP('1. SUMMARY'!$C$20,rate,Sheet1!W$21,0),((IF(($B$67+$C$67+$D$67)&gt;=25000,0,(((25000-($B$67+$C$67+$D$67))/+$AH177)*T177)*(VLOOKUP('1. SUMMARY'!$C$20,rate,Sheet1!W$21,0))))))))</f>
        <v>0</v>
      </c>
      <c r="U178" s="407">
        <f>IF(U177=0,0,(IF(($C$67+$B$67+$D$67+$E$67)&lt;=25000,(($E$67/+$AH177)*U177)*VLOOKUP('1. SUMMARY'!$C$20,rate,Sheet1!X$21,0),((IF(($B$67+$C$67+$D$67)&gt;=25000,0,(((25000-($B$67+$C$67+$D$67))/+$AH177)*U177)*(VLOOKUP('1. SUMMARY'!$C$20,rate,Sheet1!X$21,0))))))))</f>
        <v>0</v>
      </c>
      <c r="V178" s="407">
        <f>IF(V177=0,0,(IF(($C$67+$B$67+$D$67+$E$67)&lt;=25000,(($E$67/+$AH177)*V177)*VLOOKUP('1. SUMMARY'!$C$20,rate,Sheet1!Y$21,0),((IF(($B$67+$C$67+$D$67)&gt;=25000,0,(((25000-($B$67+$C$67+$D$67))/+$AH177)*V177)*(VLOOKUP('1. SUMMARY'!$C$20,rate,Sheet1!Y$21,0))))))))</f>
        <v>0</v>
      </c>
      <c r="W178" s="407">
        <f>IF(W177=0,0,(IF(($C$67+$B$67+$D$67+$E$67)&lt;=25000,(($E$67/+$AH177)*W177)*VLOOKUP('1. SUMMARY'!$C$20,rate,Sheet1!Z$21,0),((IF(($B$67+$C$67+$D$67)&gt;=25000,0,(((25000-($B$67+$C$67+$D$67))/+$AH177)*W177)*(VLOOKUP('1. SUMMARY'!$C$20,rate,Sheet1!Z$21,0))))))))</f>
        <v>0</v>
      </c>
      <c r="X178" s="407">
        <f>IF(X177=0,0,(IF(($C$67+$B$67+$D$67+$E$67)&lt;=25000,(($E$67/+$AH177)*X177)*VLOOKUP('1. SUMMARY'!$C$20,rate,Sheet1!AA$21,0),((IF(($B$67+$C$67+$D$67)&gt;=25000,0,(((25000-($B$67+$C$67+$D$67))/+$AH177)*X177)*(VLOOKUP('1. SUMMARY'!$C$20,rate,Sheet1!AA$21,0))))))))</f>
        <v>0</v>
      </c>
      <c r="Y178" s="407">
        <f>IF(Y177=0,0,(IF(($C$67+$B$67+$D$67+$E$67)&lt;=25000,(($E$67/+$AH177)*Y177)*VLOOKUP('1. SUMMARY'!$C$20,rate,Sheet1!AB$21,0),((IF(($B$67+$C$67+$D$67)&gt;=25000,0,(((25000-($B$67+$C$67+$D$67))/+$AH177)*Y177)*(VLOOKUP('1. SUMMARY'!$C$20,rate,Sheet1!AB$21,0))))))))</f>
        <v>0</v>
      </c>
      <c r="Z178" s="407">
        <f>IF(Z177=0,0,(IF(($C$67+$B$67+$D$67+$E$67)&lt;=25000,(($E$67/+$AH177)*Z177)*VLOOKUP('1. SUMMARY'!$C$20,rate,Sheet1!AC$21,0),((IF(($B$67+$C$67+$D$67)&gt;=25000,0,(((25000-($B$67+$C$67+$D$67))/+$AH177)*Z177)*(VLOOKUP('1. SUMMARY'!$C$20,rate,Sheet1!AC$21,0))))))))</f>
        <v>0</v>
      </c>
      <c r="AA178" s="407">
        <f>IF(AA177=0,0,(IF(($C$67+$B$67+$D$67+$E$67)&lt;=25000,(($E$67/+$AH177)*AA177)*VLOOKUP('1. SUMMARY'!$C$20,rate,Sheet1!AD$21,0),((IF(($B$67+$C$67+$D$67)&gt;=25000,0,(((25000-($B$67+$C$67+$D$67))/+$AH177)*AA177)*(VLOOKUP('1. SUMMARY'!$C$20,rate,Sheet1!AD$21,0))))))))</f>
        <v>0</v>
      </c>
      <c r="AB178" s="407">
        <f>IF(AB177=0,0,(IF(($C$67+$B$67+$D$67+$E$67)&lt;=25000,(($E$67/+$AH177)*AB177)*VLOOKUP('1. SUMMARY'!$C$20,rate,Sheet1!AE$21,0),((IF(($B$67+$C$67+$D$67)&gt;=25000,0,(((25000-($B$67+$C$67+$D$67))/+$AH177)*AB177)*(VLOOKUP('1. SUMMARY'!$C$20,rate,Sheet1!AE$21,0))))))))</f>
        <v>0</v>
      </c>
      <c r="AC178" s="407">
        <f>IF(AC177=0,0,(IF(($C$67+$B$67+$D$67+$E$67)&lt;=25000,(($E$67/+$AH177)*AC177)*VLOOKUP('1. SUMMARY'!$C$20,rate,Sheet1!AF$21,0),((IF(($B$67+$C$67+$D$67)&gt;=25000,0,(((25000-($B$67+$C$67+$D$67))/+$AH177)*AC177)*(VLOOKUP('1. SUMMARY'!$C$20,rate,Sheet1!AF$21,0))))))))</f>
        <v>0</v>
      </c>
      <c r="AD178" s="407">
        <f>IF(AD177=0,0,(IF(($C$67+$B$67+$D$67+$E$67)&lt;=25000,(($E$67/+$AH177)*AD177)*VLOOKUP('1. SUMMARY'!$C$20,rate,Sheet1!AG$21,0),((IF(($B$67+$C$67+$D$67)&gt;=25000,0,(((25000-($B$67+$C$67+$D$67))/+$AH177)*AD177)*(VLOOKUP('1. SUMMARY'!$C$20,rate,Sheet1!AG$21,0))))))))</f>
        <v>0</v>
      </c>
      <c r="AE178" s="407">
        <f>IF(AE177=0,0,(IF(($C$67+$B$67+$D$67+$E$67)&lt;=25000,(($E$67/+$AH177)*AE177)*VLOOKUP('1. SUMMARY'!$C$20,rate,Sheet1!AH$21,0),((IF(($B$67+$C$67+$D$67)&gt;=25000,0,(((25000-($B$67+$C$67+$D$67))/+$AH177)*AE177)*(VLOOKUP('1. SUMMARY'!$C$20,rate,Sheet1!AH$21,0))))))))</f>
        <v>0</v>
      </c>
      <c r="AF178" s="407">
        <f>IF(AF177=0,0,(IF(($C$67+$B$67+$D$67+$E$67)&lt;=25000,(($E$67/+$AH177)*AF177)*VLOOKUP('1. SUMMARY'!$C$20,rate,Sheet1!AI$21,0),((IF(($B$67+$C$67+$D$67)&gt;=25000,0,(((25000-($B$67+$C$67+$D$67))/+$AH177)*AF177)*(VLOOKUP('1. SUMMARY'!$C$20,rate,Sheet1!AI$21,0))))))))</f>
        <v>0</v>
      </c>
      <c r="AG178" s="407">
        <f>IF(AG177=0,0,(IF(($C$67+$B$67+$D$67+$E$67)&lt;=25000,(($E$67/+$AH177)*AG177)*VLOOKUP('1. SUMMARY'!$C$20,rate,Sheet1!AJ$21,0),((IF(($B$67+$C$67+$D$67)&gt;=25000,0,(((25000-($B$67+$C$67+$D$67))/+$AH177)*AG177)*(VLOOKUP('1. SUMMARY'!$C$20,rate,Sheet1!AJ$21,0))))))))</f>
        <v>0</v>
      </c>
      <c r="AH178" s="219">
        <f>SUM(Q178:AG178)</f>
        <v>0</v>
      </c>
      <c r="AI178" s="407">
        <f>IF(AI177=0,0,((+$E67/$AZ$22)*AI177)*VLOOKUP('1. SUMMARY'!$C$20,rate,Sheet1!T$21,0))</f>
        <v>0</v>
      </c>
      <c r="AJ178" s="407">
        <f>IF(AJ177=0,0,((+$E67/$AZ$22)*AJ177)*VLOOKUP('1. SUMMARY'!$C$20,rate,Sheet1!U$21,0))</f>
        <v>0</v>
      </c>
      <c r="AK178" s="407">
        <f>IF(AK177=0,0,((+$E67/$AZ$22)*AK177)*VLOOKUP('1. SUMMARY'!$C$20,rate,Sheet1!V$21,0))</f>
        <v>0</v>
      </c>
      <c r="AL178" s="407">
        <f>IF(AL177=0,0,((+$E67/$AZ$22)*AL177)*VLOOKUP('1. SUMMARY'!$C$20,rate,Sheet1!W$21,0))</f>
        <v>0</v>
      </c>
      <c r="AM178" s="407">
        <f>IF(AM177=0,0,((+$E67/$AZ$22)*AM177)*VLOOKUP('1. SUMMARY'!$C$20,rate,Sheet1!X$21,0))</f>
        <v>0</v>
      </c>
      <c r="AN178" s="407">
        <f>IF(AN177=0,0,((+$E67/$AZ$22)*AN177)*VLOOKUP('1. SUMMARY'!$C$20,rate,Sheet1!Y$21,0))</f>
        <v>0</v>
      </c>
      <c r="AO178" s="407">
        <f>IF(AO177=0,0,((+$E67/$AZ$22)*AO177)*VLOOKUP('1. SUMMARY'!$C$20,rate,Sheet1!Z$21,0))</f>
        <v>0</v>
      </c>
      <c r="AP178" s="407">
        <f>IF(AP177=0,0,((+$E67/$AZ$22)*AP177)*VLOOKUP('1. SUMMARY'!$C$20,rate,Sheet1!AA$21,0))</f>
        <v>0</v>
      </c>
      <c r="AQ178" s="407">
        <f>IF(AQ177=0,0,((+$E67/$AZ$22)*AQ177)*VLOOKUP('1. SUMMARY'!$C$20,rate,Sheet1!AB$21,0))</f>
        <v>0</v>
      </c>
      <c r="AR178" s="407">
        <f>IF(AR177=0,0,((+$E67/$AZ$22)*AR177)*VLOOKUP('1. SUMMARY'!$C$20,rate,Sheet1!AC$21,0))</f>
        <v>0</v>
      </c>
      <c r="AS178" s="407">
        <f>IF(AS177=0,0,((+$E67/$AZ$22)*AS177)*VLOOKUP('1. SUMMARY'!$C$20,rate,Sheet1!AD$21,0))</f>
        <v>0</v>
      </c>
      <c r="AT178" s="407">
        <f>IF(AT177=0,0,((+$E67/$AZ$22)*AT177)*VLOOKUP('1. SUMMARY'!$C$20,rate,Sheet1!AE$21,0))</f>
        <v>0</v>
      </c>
      <c r="AU178" s="407">
        <f>IF(AU177=0,0,((+$E67/$AZ$22)*AU177)*VLOOKUP('1. SUMMARY'!$C$20,rate,Sheet1!AF$21,0))</f>
        <v>0</v>
      </c>
      <c r="AV178" s="407">
        <f>IF(AV177=0,0,((+$E67/$AZ$22)*AV177)*VLOOKUP('1. SUMMARY'!$C$20,rate,Sheet1!AG$21,0))</f>
        <v>0</v>
      </c>
      <c r="AW178" s="407">
        <f>IF(AW177=0,0,((+$E67/$AZ$22)*AW177)*VLOOKUP('1. SUMMARY'!$C$20,rate,Sheet1!AH$21,0))</f>
        <v>0</v>
      </c>
      <c r="AX178" s="407">
        <f>IF(AX177=0,0,((+$E67/$AZ$22)*AX177)*VLOOKUP('1. SUMMARY'!$C$20,rate,Sheet1!AI$21,0))</f>
        <v>0</v>
      </c>
      <c r="AY178" s="407">
        <f>IF(AY177=0,0,((+$E67/$AZ$22)*AY177)*VLOOKUP('1. SUMMARY'!$C$20,rate,Sheet1!AJ$21,0))</f>
        <v>0</v>
      </c>
      <c r="AZ178" s="219">
        <f>SUM(AI178:AY178)</f>
        <v>0</v>
      </c>
    </row>
    <row r="179" spans="1:52" ht="12.75" customHeight="1">
      <c r="A179" s="216"/>
      <c r="B179" s="175" t="s">
        <v>81</v>
      </c>
      <c r="C179" s="175" t="s">
        <v>82</v>
      </c>
      <c r="D179" s="175" t="s">
        <v>83</v>
      </c>
      <c r="E179" s="175" t="s">
        <v>84</v>
      </c>
      <c r="F179" s="175" t="s">
        <v>85</v>
      </c>
      <c r="G179" s="175" t="s">
        <v>86</v>
      </c>
      <c r="H179" s="175" t="s">
        <v>87</v>
      </c>
      <c r="I179" s="175" t="s">
        <v>224</v>
      </c>
      <c r="J179" s="175" t="s">
        <v>225</v>
      </c>
      <c r="K179" s="175" t="s">
        <v>226</v>
      </c>
      <c r="L179" s="220" t="s">
        <v>47</v>
      </c>
      <c r="P179" s="207">
        <f t="shared" si="76"/>
        <v>1</v>
      </c>
      <c r="Q179" s="407">
        <f>+Q178/VLOOKUP('1. SUMMARY'!$C$20,rate,Sheet1!T$21,0)</f>
        <v>0</v>
      </c>
      <c r="R179" s="407">
        <f>+R178/VLOOKUP('1. SUMMARY'!$C$20,rate,Sheet1!U$21,0)</f>
        <v>0</v>
      </c>
      <c r="S179" s="407">
        <f>+S178/VLOOKUP('1. SUMMARY'!$C$20,rate,Sheet1!V$21,0)</f>
        <v>0</v>
      </c>
      <c r="T179" s="407">
        <f>+T178/VLOOKUP('1. SUMMARY'!$C$20,rate,Sheet1!W$21,0)</f>
        <v>0</v>
      </c>
      <c r="U179" s="407">
        <f>+U178/VLOOKUP('1. SUMMARY'!$C$20,rate,Sheet1!X$21,0)</f>
        <v>0</v>
      </c>
      <c r="V179" s="407">
        <f>+V178/VLOOKUP('1. SUMMARY'!$C$20,rate,Sheet1!Y$21,0)</f>
        <v>0</v>
      </c>
      <c r="W179" s="407">
        <f>+W178/VLOOKUP('1. SUMMARY'!$C$20,rate,Sheet1!Z$21,0)</f>
        <v>0</v>
      </c>
      <c r="X179" s="407">
        <f>+X178/VLOOKUP('1. SUMMARY'!$C$20,rate,Sheet1!AA$21,0)</f>
        <v>0</v>
      </c>
      <c r="Y179" s="407">
        <f>+Y178/VLOOKUP('1. SUMMARY'!$C$20,rate,Sheet1!AB$21,0)</f>
        <v>0</v>
      </c>
      <c r="Z179" s="407">
        <f>+Z178/VLOOKUP('1. SUMMARY'!$C$20,rate,Sheet1!AC$21,0)</f>
        <v>0</v>
      </c>
      <c r="AA179" s="407">
        <f>+AA178/VLOOKUP('1. SUMMARY'!$C$20,rate,Sheet1!AD$21,0)</f>
        <v>0</v>
      </c>
      <c r="AB179" s="407">
        <f>+AB178/VLOOKUP('1. SUMMARY'!$C$20,rate,Sheet1!AE$21,0)</f>
        <v>0</v>
      </c>
      <c r="AC179" s="407">
        <f>+AC178/VLOOKUP('1. SUMMARY'!$C$20,rate,Sheet1!AF$21,0)</f>
        <v>0</v>
      </c>
      <c r="AD179" s="407">
        <f>+AD178/VLOOKUP('1. SUMMARY'!$C$20,rate,Sheet1!AG$21,0)</f>
        <v>0</v>
      </c>
      <c r="AE179" s="407">
        <f>+AE178/VLOOKUP('1. SUMMARY'!$C$20,rate,Sheet1!AH$21,0)</f>
        <v>0</v>
      </c>
      <c r="AF179" s="407">
        <f>+AF178/VLOOKUP('1. SUMMARY'!$C$20,rate,Sheet1!AI$21,0)</f>
        <v>0</v>
      </c>
      <c r="AG179" s="407">
        <f>+AG178/VLOOKUP('1. SUMMARY'!$C$20,rate,Sheet1!AJ$21,0)</f>
        <v>0</v>
      </c>
      <c r="AH179" s="219"/>
      <c r="AI179" s="407">
        <v>0</v>
      </c>
      <c r="AJ179" s="407">
        <v>0</v>
      </c>
      <c r="AK179" s="407">
        <v>0</v>
      </c>
      <c r="AL179" s="407">
        <v>0</v>
      </c>
      <c r="AM179" s="407">
        <v>0</v>
      </c>
      <c r="AN179" s="407">
        <v>0</v>
      </c>
      <c r="AO179" s="407">
        <v>0</v>
      </c>
      <c r="AP179" s="407">
        <v>0</v>
      </c>
      <c r="AQ179" s="407"/>
      <c r="AR179" s="407"/>
      <c r="AS179" s="407"/>
      <c r="AT179" s="407"/>
      <c r="AU179" s="407"/>
      <c r="AV179" s="407"/>
      <c r="AW179" s="407"/>
      <c r="AX179" s="407"/>
      <c r="AY179" s="407"/>
      <c r="AZ179" s="219"/>
    </row>
    <row r="180" spans="1:52" ht="12.75" customHeight="1">
      <c r="A180" s="221"/>
      <c r="B180" s="222">
        <f>'1. SUMMARY'!C17</f>
        <v>0</v>
      </c>
      <c r="C180" s="222" t="str">
        <f>IF(+B181+1&gt;'1. SUMMARY'!$C$18,"No "&amp;C179,+B181+1)</f>
        <v>No Year 2</v>
      </c>
      <c r="D180" s="222" t="str">
        <f>IF(C180="No "&amp;C179,"No "&amp;D179,IF(+C181+1&gt;'1. SUMMARY'!$C$18,"No "&amp;D179,+C181+1))</f>
        <v>No Year 3</v>
      </c>
      <c r="E180" s="222" t="str">
        <f>IF(D180="No "&amp;D179,"No "&amp;E179,IF(+D181+1&gt;'1. SUMMARY'!$C$18,"No "&amp;E179,+D181+1))</f>
        <v>No Year 4</v>
      </c>
      <c r="F180" s="222" t="str">
        <f>IF(E180="No "&amp;E179,"No "&amp;F179,IF(+E181+1&gt;'1. SUMMARY'!$C$18,"No "&amp;F179,+E181+1))</f>
        <v>No Year 5</v>
      </c>
      <c r="G180" s="222" t="str">
        <f>IF(F180="No "&amp;F179,"No "&amp;G179,IF(+F181+1&gt;'1. SUMMARY'!$C$18,"No "&amp;G179,+F181+1))</f>
        <v>No Year 6</v>
      </c>
      <c r="H180" s="222" t="str">
        <f>IF(G180="No "&amp;G179,"No "&amp;H179,IF(+G181+1&gt;'1. SUMMARY'!$C$18,"No "&amp;H179,+G181+1))</f>
        <v>No Year 7</v>
      </c>
      <c r="I180" s="222" t="str">
        <f>IF(H180="No "&amp;H179,"No "&amp;I179,IF(+H181+1&gt;'1. SUMMARY'!$C$18,"No "&amp;I179,+H181+1))</f>
        <v>No Year 8</v>
      </c>
      <c r="J180" s="222" t="str">
        <f>IF(I180="No "&amp;I179,"No "&amp;J179,IF(+I181+1&gt;'1. SUMMARY'!$C$18,"No "&amp;J179,+I181+1))</f>
        <v>No Year 9</v>
      </c>
      <c r="K180" s="222" t="str">
        <f>IF(J180="No "&amp;J179,"No "&amp;K179,IF(+J181+1&gt;'1. SUMMARY'!$C$18,"No "&amp;K179,+J181+1))</f>
        <v>No Year 10</v>
      </c>
      <c r="L180" s="223"/>
      <c r="P180" s="207">
        <f t="shared" si="76"/>
        <v>1</v>
      </c>
      <c r="Q180" s="408">
        <f>Sheet1!$T$8</f>
        <v>44105</v>
      </c>
      <c r="R180" s="408">
        <f>Sheet1!$U$8</f>
        <v>44470</v>
      </c>
      <c r="S180" s="408">
        <f>Sheet1!$V$8</f>
        <v>44835</v>
      </c>
      <c r="T180" s="408">
        <f>Sheet1!$W$8</f>
        <v>45200</v>
      </c>
      <c r="U180" s="408">
        <f>Sheet1!$X$8</f>
        <v>45566</v>
      </c>
      <c r="V180" s="408">
        <f>Sheet1!$Y$8</f>
        <v>45931</v>
      </c>
      <c r="W180" s="408">
        <f>Sheet1!$Z$8</f>
        <v>46296</v>
      </c>
      <c r="X180" s="408">
        <f>Sheet1!$AA$8</f>
        <v>46661</v>
      </c>
      <c r="Y180" s="408">
        <f>Sheet1!$AB$8</f>
        <v>47027</v>
      </c>
      <c r="Z180" s="408">
        <f>Sheet1!$AC$8</f>
        <v>47392</v>
      </c>
      <c r="AA180" s="408">
        <f>$AA$5</f>
        <v>47757</v>
      </c>
      <c r="AB180" s="408">
        <f>$AB$5</f>
        <v>48122</v>
      </c>
      <c r="AC180" s="408">
        <f>$AC$5</f>
        <v>48488</v>
      </c>
      <c r="AD180" s="408">
        <f>$AD$5</f>
        <v>48853</v>
      </c>
      <c r="AE180" s="408">
        <f>$AE$5</f>
        <v>49218</v>
      </c>
      <c r="AF180" s="408">
        <f>$AF$5</f>
        <v>49583</v>
      </c>
      <c r="AG180" s="408">
        <f>$AG$5</f>
        <v>49949</v>
      </c>
      <c r="AH180" s="211"/>
      <c r="AI180" s="408">
        <f t="shared" ref="AI180:AR182" si="84">+Q180</f>
        <v>44105</v>
      </c>
      <c r="AJ180" s="408">
        <f t="shared" si="84"/>
        <v>44470</v>
      </c>
      <c r="AK180" s="408">
        <f t="shared" si="84"/>
        <v>44835</v>
      </c>
      <c r="AL180" s="408">
        <f t="shared" si="84"/>
        <v>45200</v>
      </c>
      <c r="AM180" s="408">
        <f t="shared" si="84"/>
        <v>45566</v>
      </c>
      <c r="AN180" s="408">
        <f t="shared" si="84"/>
        <v>45931</v>
      </c>
      <c r="AO180" s="408">
        <f t="shared" si="84"/>
        <v>46296</v>
      </c>
      <c r="AP180" s="408">
        <f t="shared" si="84"/>
        <v>46661</v>
      </c>
      <c r="AQ180" s="408">
        <f t="shared" si="84"/>
        <v>47027</v>
      </c>
      <c r="AR180" s="408">
        <f t="shared" si="84"/>
        <v>47392</v>
      </c>
      <c r="AS180" s="408">
        <f t="shared" ref="AS180:AY182" si="85">+AA180</f>
        <v>47757</v>
      </c>
      <c r="AT180" s="408">
        <f t="shared" si="85"/>
        <v>48122</v>
      </c>
      <c r="AU180" s="408">
        <f t="shared" si="85"/>
        <v>48488</v>
      </c>
      <c r="AV180" s="408">
        <f t="shared" si="85"/>
        <v>48853</v>
      </c>
      <c r="AW180" s="408">
        <f t="shared" si="85"/>
        <v>49218</v>
      </c>
      <c r="AX180" s="408">
        <f t="shared" si="85"/>
        <v>49583</v>
      </c>
      <c r="AY180" s="408">
        <f t="shared" si="85"/>
        <v>49949</v>
      </c>
      <c r="AZ180" s="211"/>
    </row>
    <row r="181" spans="1:52" ht="12.75" customHeight="1">
      <c r="A181" s="221"/>
      <c r="B181" s="224">
        <f>IF((DATE(YEAR(B180), MONTH(B180)+12, DAY(B180)-1))&lt;=('1. SUMMARY'!$C$18),DATE(YEAR(B180), MONTH(B180)+12, DAY(B180)-1),'1. SUMMARY'!$C$18)</f>
        <v>0</v>
      </c>
      <c r="C181" s="224" t="str">
        <f>IF(C180="No "&amp;C179,"No "&amp;C179,IF(B181='1. SUMMARY'!B170,"a",IF((DATE(YEAR(C180),MONTH(C180)+12,DAY(C180)-1))&lt;=('1. SUMMARY'!$C$18),DATE(YEAR(C180),MONTH(C180)+12,DAY(C180)-1),'1. SUMMARY'!$C$18)))</f>
        <v>No Year 2</v>
      </c>
      <c r="D181" s="224" t="str">
        <f>IF(D180="No "&amp;D179,"No "&amp;D179,IF(C181='1. SUMMARY'!C170,"a",IF((DATE(YEAR(D180),MONTH(D180)+12,DAY(D180)-1))&lt;=('1. SUMMARY'!$C$18),DATE(YEAR(D180),MONTH(D180)+12,DAY(D180)-1),'1. SUMMARY'!$C$18)))</f>
        <v>No Year 3</v>
      </c>
      <c r="E181" s="224" t="str">
        <f>IF(E180="No "&amp;E179,"No "&amp;E179,IF(D181='1. SUMMARY'!E170,"a",IF((DATE(YEAR(E180),MONTH(E180)+12,DAY(E180)-1))&lt;=('1. SUMMARY'!$C$18),DATE(YEAR(E180),MONTH(E180)+12,DAY(E180)-1),'1. SUMMARY'!$C$18)))</f>
        <v>No Year 4</v>
      </c>
      <c r="F181" s="224" t="str">
        <f>IF(F180="No "&amp;F179,"No "&amp;F179,IF(E181='1. SUMMARY'!F170,"a",IF((DATE(YEAR(F180),MONTH(F180)+12,DAY(F180)-1))&lt;=('1. SUMMARY'!$C$18),DATE(YEAR(F180),MONTH(F180)+12,DAY(F180)-1),'1. SUMMARY'!$C$18)))</f>
        <v>No Year 5</v>
      </c>
      <c r="G181" s="224" t="str">
        <f>IF(G180="No "&amp;G179,"No "&amp;G179,IF(F181='1. SUMMARY'!G170,"a",IF((DATE(YEAR(G180),MONTH(G180)+12,DAY(G180)-1))&lt;=('1. SUMMARY'!$C$18),DATE(YEAR(G180),MONTH(G180)+12,DAY(G180)-1),'1. SUMMARY'!$C$18)))</f>
        <v>No Year 6</v>
      </c>
      <c r="H181" s="224" t="str">
        <f>IF(H180="No "&amp;H179,"No "&amp;H179,IF(G181='1. SUMMARY'!H170,"a",IF((DATE(YEAR(H180),MONTH(H180)+12,DAY(H180)-1))&lt;=('1. SUMMARY'!$C$18),DATE(YEAR(H180),MONTH(H180)+12,DAY(H180)-1),'1. SUMMARY'!$C$18)))</f>
        <v>No Year 7</v>
      </c>
      <c r="I181" s="224" t="str">
        <f>IF(I180="No "&amp;I179,"No "&amp;I179,IF(H181='1. SUMMARY'!N170,"a",IF((DATE(YEAR(I180),MONTH(I180)+12,DAY(I180)-1))&lt;=('1. SUMMARY'!$C$18),DATE(YEAR(I180),MONTH(I180)+12,DAY(I180)-1),'1. SUMMARY'!$C$18)))</f>
        <v>No Year 8</v>
      </c>
      <c r="J181" s="224" t="str">
        <f>IF(J180="No "&amp;J179,"No "&amp;J179,IF(I181='1. SUMMARY'!O170,"a",IF((DATE(YEAR(J180),MONTH(J180)+12,DAY(J180)-1))&lt;=('1. SUMMARY'!$C$18),DATE(YEAR(J180),MONTH(J180)+12,DAY(J180)-1),'1. SUMMARY'!$C$18)))</f>
        <v>No Year 9</v>
      </c>
      <c r="K181" s="224" t="str">
        <f>IF(K180="No "&amp;K179,"No "&amp;K179,IF(J181='1. SUMMARY'!P168,"a",IF((DATE(YEAR(K180),MONTH(K180)+12,DAY(K180)-1))&lt;=('1. SUMMARY'!$C$18),DATE(YEAR(K180),MONTH(K180)+12,DAY(K180)-1),'1. SUMMARY'!$C$18)))</f>
        <v>No Year 10</v>
      </c>
      <c r="L181" s="218"/>
      <c r="P181" s="207">
        <f t="shared" si="76"/>
        <v>1</v>
      </c>
      <c r="Q181" s="408">
        <f>Sheet1!$T$9</f>
        <v>44469</v>
      </c>
      <c r="R181" s="408">
        <f>Sheet1!$U$9</f>
        <v>44834</v>
      </c>
      <c r="S181" s="408">
        <f>Sheet1!$V$9</f>
        <v>45199</v>
      </c>
      <c r="T181" s="408">
        <f>Sheet1!$W$9</f>
        <v>45565</v>
      </c>
      <c r="U181" s="408">
        <f>Sheet1!$X$9</f>
        <v>45930</v>
      </c>
      <c r="V181" s="408">
        <f>Sheet1!$Y$9</f>
        <v>46295</v>
      </c>
      <c r="W181" s="408">
        <f>Sheet1!$Z$9</f>
        <v>46660</v>
      </c>
      <c r="X181" s="408">
        <f>Sheet1!$AA$9</f>
        <v>47026</v>
      </c>
      <c r="Y181" s="408">
        <f>Sheet1!$AB$9</f>
        <v>47391</v>
      </c>
      <c r="Z181" s="408">
        <f>Sheet1!$AC$9</f>
        <v>47756</v>
      </c>
      <c r="AA181" s="408">
        <f>$AA$6</f>
        <v>48121</v>
      </c>
      <c r="AB181" s="408">
        <f>$AB$6</f>
        <v>48487</v>
      </c>
      <c r="AC181" s="408">
        <f>$AC$6</f>
        <v>48852</v>
      </c>
      <c r="AD181" s="408">
        <f>$AD$6</f>
        <v>49217</v>
      </c>
      <c r="AE181" s="408">
        <f>$AE$6</f>
        <v>49582</v>
      </c>
      <c r="AF181" s="408">
        <f>$AF$6</f>
        <v>49948</v>
      </c>
      <c r="AG181" s="408">
        <f>$AG$6</f>
        <v>50313</v>
      </c>
      <c r="AH181" s="211"/>
      <c r="AI181" s="408">
        <f t="shared" si="84"/>
        <v>44469</v>
      </c>
      <c r="AJ181" s="408">
        <f t="shared" si="84"/>
        <v>44834</v>
      </c>
      <c r="AK181" s="408">
        <f t="shared" si="84"/>
        <v>45199</v>
      </c>
      <c r="AL181" s="408">
        <f t="shared" si="84"/>
        <v>45565</v>
      </c>
      <c r="AM181" s="408">
        <f t="shared" si="84"/>
        <v>45930</v>
      </c>
      <c r="AN181" s="408">
        <f t="shared" si="84"/>
        <v>46295</v>
      </c>
      <c r="AO181" s="408">
        <f t="shared" si="84"/>
        <v>46660</v>
      </c>
      <c r="AP181" s="408">
        <f t="shared" si="84"/>
        <v>47026</v>
      </c>
      <c r="AQ181" s="408">
        <f t="shared" si="84"/>
        <v>47391</v>
      </c>
      <c r="AR181" s="408">
        <f t="shared" si="84"/>
        <v>47756</v>
      </c>
      <c r="AS181" s="408">
        <f t="shared" si="85"/>
        <v>48121</v>
      </c>
      <c r="AT181" s="408">
        <f t="shared" si="85"/>
        <v>48487</v>
      </c>
      <c r="AU181" s="408">
        <f t="shared" si="85"/>
        <v>48852</v>
      </c>
      <c r="AV181" s="408">
        <f t="shared" si="85"/>
        <v>49217</v>
      </c>
      <c r="AW181" s="408">
        <f t="shared" si="85"/>
        <v>49582</v>
      </c>
      <c r="AX181" s="408">
        <f t="shared" si="85"/>
        <v>49948</v>
      </c>
      <c r="AY181" s="408">
        <f t="shared" si="85"/>
        <v>50313</v>
      </c>
      <c r="AZ181" s="211"/>
    </row>
    <row r="182" spans="1:52" ht="12.75" customHeight="1">
      <c r="A182" s="216"/>
      <c r="B182" s="225"/>
      <c r="C182" s="225"/>
      <c r="D182" s="225"/>
      <c r="E182" s="225"/>
      <c r="F182" s="225"/>
      <c r="G182" s="225"/>
      <c r="H182" s="225"/>
      <c r="I182" s="225"/>
      <c r="J182" s="225"/>
      <c r="K182" s="225"/>
      <c r="L182" s="223"/>
      <c r="O182" s="207">
        <v>5</v>
      </c>
      <c r="P182" s="207">
        <f t="shared" si="76"/>
        <v>1</v>
      </c>
      <c r="Q182" s="409">
        <f>IF(IF(Q181&lt;F61,0,DATEDIF(F61,Q181+1,"m"))&lt;0,0,IF(Q181&lt;F61,0,DATEDIF(F61,Q181+1,"m")))</f>
        <v>0</v>
      </c>
      <c r="R182" s="409">
        <f>IF(IF(Q182=12,0,IF(R181&gt;F62,12-DATEDIF(F62,R181+1,"m"),IF(R181&lt;F61,0,DATEDIF(F61,R181+1,"m"))))&lt;0,0,IF(Q182=12,0,IF(R181&gt;F62,12-DATEDIF(F62,R181+1,"m"),IF(R181&lt;F61,0,DATEDIF(F61,R181+1,"m")))))</f>
        <v>0</v>
      </c>
      <c r="S182" s="409">
        <f>IF(IF(Q182+R182=12,0,IF(S181&gt;F62,12-DATEDIF(F62,S181+1,"m"),IF(S181&lt;F61,0,DATEDIF(F61,S181+1,"m"))))&lt;0,0,IF(Q182+R182=12,0,IF(S181&gt;F62,12-DATEDIF(F62,S181+1,"m"),IF(S181&lt;F61,0,DATEDIF(F61,S181+1,"m")))))</f>
        <v>0</v>
      </c>
      <c r="T182" s="409">
        <f>IF(IF(R182+S182+Q182=12,0,IF(T181&gt;F62,12-DATEDIF(F62,T181+1,"m"),IF(T181&lt;F61,0,DATEDIF(F61,T181+1,"m"))))&lt;0,0,IF(R182+S182+Q182=12,0,IF(T181&gt;F62,12-DATEDIF(F62,T181+1,"m"),IF(T181&lt;F61,0,DATEDIF(F61,T181+1,"m")))))</f>
        <v>0</v>
      </c>
      <c r="U182" s="409">
        <f>IF(IF(S182+T182+R182+Q182=12,0,IF(U181&gt;F62,12-DATEDIF(F62,U181+1,"m"),IF(U181&lt;F61,0,DATEDIF(F61,U181+1,"m"))))&lt;0,0,IF(S182+T182+R182+Q182=12,0,IF(U181&gt;F62,12-DATEDIF(F62,U181+1,"m"),IF(U181&lt;F61,0,DATEDIF(F61,U181+1,"m")))))</f>
        <v>0</v>
      </c>
      <c r="V182" s="409">
        <f>IF(IF(T182+U182+S182+R182+Q182=12,0,IF(V181&gt;F62,12-DATEDIF(F62,V181+1,"m"),IF(V181&lt;F61,0,DATEDIF(F61,V181+1,"m"))))&lt;0,0,IF(T182+U182+S182+R182+Q182=12,0,IF(V181&gt;F62,12-DATEDIF(F62,V181+1,"m"),IF(V181&lt;F61,0,DATEDIF(F61,V181+1,"m")))))</f>
        <v>0</v>
      </c>
      <c r="W182" s="409">
        <f>IF(IF(U182+V182+T182+S182+R182+Q182=12,0,IF(W181&gt;F62,12-DATEDIF(F62,W181+1,"m"),IF(W181&lt;F61,0,DATEDIF(F61,W181+1,"m"))))&lt;0,0,IF(U182+V182+T182+S182+R182+Q182=12,0,IF(W181&gt;F62,12-DATEDIF(F62,W181+1,"m"),IF(W181&lt;F61,0,DATEDIF(F61,W181+1,"m")))))</f>
        <v>0</v>
      </c>
      <c r="X182" s="409">
        <f>IF(IF(V182+W182+U182+T182+S182+R182+Q182=12,0,IF(X181&gt;F62,12-DATEDIF(F62,X181+1,"m"),IF(X181&lt;F61,0,DATEDIF(F61,X181+1,"m"))))&lt;0,0,IF(V182+W182+U182+T182+S182+R182+Q182=12,0,IF(X181&gt;F62,12-DATEDIF(F62,X181+1,"m"),IF(X181&lt;F61,0,DATEDIF(F61,X181+1,"m")))))</f>
        <v>0</v>
      </c>
      <c r="Y182" s="409">
        <f>IF(IF(W182+X182+V182+U182+T182+S182+R182=12,0,IF(Y181&gt;F62,12-DATEDIF(F62,Y181+1,"m"),IF(Y181&lt;F61,0,DATEDIF(F61,Y181+1,"m"))))&lt;0,0,IF(W182+X182+V182+U182+T182+S182+R182=12,0,IF(Y181&gt;F62,12-DATEDIF(F62,Y181+1,"m"),IF(Y181&lt;F61,0,DATEDIF(F61,Y181+1,"m")))))</f>
        <v>0</v>
      </c>
      <c r="Z182" s="409">
        <f>IF(IF(Q182+R182+X182+Y182+W182+V182+U182+T182+S182=12,0,IF(Z181&gt;F62,12-DATEDIF(F62,Z181+1,"m"),IF(Z181&lt;F61,0,DATEDIF(F61,Z181+1,"m"))))&lt;0,0,IF(X182+Y182+W182+V182+U182+T182+S182=12,0,IF(Z181&gt;F62,12-DATEDIF(F62,Z181+1,"m"),IF(Z181&lt;F61,0,DATEDIF(F61,Z181+1,"m")))))</f>
        <v>0</v>
      </c>
      <c r="AA182" s="409"/>
      <c r="AB182" s="409"/>
      <c r="AC182" s="409"/>
      <c r="AD182" s="409"/>
      <c r="AE182" s="409"/>
      <c r="AF182" s="409"/>
      <c r="AG182" s="409"/>
      <c r="AH182" s="423">
        <f>SUM(Q182:AG182)</f>
        <v>0</v>
      </c>
      <c r="AI182" s="409">
        <f t="shared" si="84"/>
        <v>0</v>
      </c>
      <c r="AJ182" s="409">
        <f t="shared" si="84"/>
        <v>0</v>
      </c>
      <c r="AK182" s="409">
        <f t="shared" si="84"/>
        <v>0</v>
      </c>
      <c r="AL182" s="409">
        <f t="shared" si="84"/>
        <v>0</v>
      </c>
      <c r="AM182" s="409">
        <f t="shared" si="84"/>
        <v>0</v>
      </c>
      <c r="AN182" s="409">
        <f t="shared" si="84"/>
        <v>0</v>
      </c>
      <c r="AO182" s="409">
        <f t="shared" si="84"/>
        <v>0</v>
      </c>
      <c r="AP182" s="409">
        <f t="shared" si="84"/>
        <v>0</v>
      </c>
      <c r="AQ182" s="409">
        <f t="shared" si="84"/>
        <v>0</v>
      </c>
      <c r="AR182" s="409">
        <f t="shared" si="84"/>
        <v>0</v>
      </c>
      <c r="AS182" s="409">
        <f t="shared" si="85"/>
        <v>0</v>
      </c>
      <c r="AT182" s="409">
        <f t="shared" si="85"/>
        <v>0</v>
      </c>
      <c r="AU182" s="409">
        <f t="shared" si="85"/>
        <v>0</v>
      </c>
      <c r="AV182" s="409">
        <f t="shared" si="85"/>
        <v>0</v>
      </c>
      <c r="AW182" s="409">
        <f t="shared" si="85"/>
        <v>0</v>
      </c>
      <c r="AX182" s="409">
        <f t="shared" si="85"/>
        <v>0</v>
      </c>
      <c r="AY182" s="409">
        <f t="shared" si="85"/>
        <v>0</v>
      </c>
      <c r="AZ182" s="219">
        <f>SUM(AI182:AY182)</f>
        <v>0</v>
      </c>
    </row>
    <row r="183" spans="1:52" ht="12.75" customHeight="1">
      <c r="A183" s="226" t="s">
        <v>150</v>
      </c>
      <c r="B183" s="227"/>
      <c r="C183" s="227"/>
      <c r="D183" s="227"/>
      <c r="E183" s="227"/>
      <c r="F183" s="227"/>
      <c r="G183" s="228"/>
      <c r="H183" s="228"/>
      <c r="I183" s="228"/>
      <c r="J183" s="228"/>
      <c r="K183" s="228"/>
      <c r="L183" s="229">
        <f>SUM(B183:K183)</f>
        <v>0</v>
      </c>
      <c r="P183" s="207">
        <f t="shared" si="76"/>
        <v>1</v>
      </c>
      <c r="Q183" s="410">
        <f>IF(Q182=0,0,(IF(($C$67+$B$67+$D$67+$E$67+$F$67)&lt;=25000,(($F$67/+$AH182)*Q182)*VLOOKUP('1. SUMMARY'!$C$20,rate,Sheet1!T$21,0),((IF(($B$67+$C$67+$D$67+$E$67)&gt;=25000,0,(((25000-($B$67+$C$67+$D$67+$E$67))/+$AH182)*Q182)*(VLOOKUP('1. SUMMARY'!$C$20,rate,Sheet1!T$21,0))))))))</f>
        <v>0</v>
      </c>
      <c r="R183" s="410">
        <f>IF(R182=0,0,(IF(($C$67+$B$67+$D$67+$E$67+$F$67)&lt;=25000,(($F$67/+$AH182)*R182)*VLOOKUP('1. SUMMARY'!$C$20,rate,Sheet1!U$21,0),((IF(($B$67+$C$67+$D$67+$E$67)&gt;=25000,0,(((25000-($B$67+$C$67+$D$67+$E$67))/+$AH182)*R182)*(VLOOKUP('1. SUMMARY'!$C$20,rate,Sheet1!U$21,0))))))))</f>
        <v>0</v>
      </c>
      <c r="S183" s="410">
        <f>IF(S182=0,0,(IF(($C$67+$B$67+$D$67+$E$67+$F$67)&lt;=25000,(($F$67/+$AH182)*S182)*VLOOKUP('1. SUMMARY'!$C$20,rate,Sheet1!V$21,0),((IF(($B$67+$C$67+$D$67+$E$67)&gt;=25000,0,(((25000-($B$67+$C$67+$D$67+$E$67))/+$AH182)*S182)*(VLOOKUP('1. SUMMARY'!$C$20,rate,Sheet1!V$21,0))))))))</f>
        <v>0</v>
      </c>
      <c r="T183" s="410">
        <f>IF(T182=0,0,(IF(($C$67+$B$67+$D$67+$E$67+$F$67)&lt;=25000,(($F$67/+$AH182)*T182)*VLOOKUP('1. SUMMARY'!$C$20,rate,Sheet1!W$21,0),((IF(($B$67+$C$67+$D$67+$E$67)&gt;=25000,0,(((25000-($B$67+$C$67+$D$67+$E$67))/+$AH182)*T182)*(VLOOKUP('1. SUMMARY'!$C$20,rate,Sheet1!W$21,0))))))))</f>
        <v>0</v>
      </c>
      <c r="U183" s="410">
        <f>IF(U182=0,0,(IF(($C$67+$B$67+$D$67+$E$67+$F$67)&lt;=25000,(($F$67/+$AH182)*U182)*VLOOKUP('1. SUMMARY'!$C$20,rate,Sheet1!X$21,0),((IF(($B$67+$C$67+$D$67+$E$67)&gt;=25000,0,(((25000-($B$67+$C$67+$D$67+$E$67))/+$AH182)*U182)*(VLOOKUP('1. SUMMARY'!$C$20,rate,Sheet1!X$21,0))))))))</f>
        <v>0</v>
      </c>
      <c r="V183" s="410">
        <f>IF(V182=0,0,(IF(($C$67+$B$67+$D$67+$E$67+$F$67)&lt;=25000,(($F$67/+$AH182)*V182)*VLOOKUP('1. SUMMARY'!$C$20,rate,Sheet1!Y$21,0),((IF(($B$67+$C$67+$D$67+$E$67)&gt;=25000,0,(((25000-($B$67+$C$67+$D$67+$E$67))/+$AH182)*V182)*(VLOOKUP('1. SUMMARY'!$C$20,rate,Sheet1!Y$21,0))))))))</f>
        <v>0</v>
      </c>
      <c r="W183" s="410">
        <f>IF(W182=0,0,(IF(($C$67+$B$67+$D$67+$E$67+$F$67)&lt;=25000,(($F$67/+$AH182)*W182)*VLOOKUP('1. SUMMARY'!$C$20,rate,Sheet1!Z$21,0),((IF(($B$67+$C$67+$D$67+$E$67)&gt;=25000,0,(((25000-($B$67+$C$67+$D$67+$E$67))/+$AH182)*W182)*(VLOOKUP('1. SUMMARY'!$C$20,rate,Sheet1!Z$21,0))))))))</f>
        <v>0</v>
      </c>
      <c r="X183" s="410">
        <f>IF(X182=0,0,(IF(($C$67+$B$67+$D$67+$E$67+$F$67)&lt;=25000,(($F$67/+$AH182)*X182)*VLOOKUP('1. SUMMARY'!$C$20,rate,Sheet1!AA$21,0),((IF(($B$67+$C$67+$D$67+$E$67)&gt;=25000,0,(((25000-($B$67+$C$67+$D$67+$E$67))/+$AH182)*X182)*(VLOOKUP('1. SUMMARY'!$C$20,rate,Sheet1!AA$21,0))))))))</f>
        <v>0</v>
      </c>
      <c r="Y183" s="410">
        <f>IF(Y182=0,0,(IF(($C$67+$B$67+$D$67+$E$67+$F$67)&lt;=25000,(($F$67/+$AH182)*Y182)*VLOOKUP('1. SUMMARY'!$C$20,rate,Sheet1!AB$21,0),((IF(($B$67+$C$67+$D$67+$E$67)&gt;=25000,0,(((25000-($B$67+$C$67+$D$67+$E$67))/+$AH182)*Y182)*(VLOOKUP('1. SUMMARY'!$C$20,rate,Sheet1!AB$21,0))))))))</f>
        <v>0</v>
      </c>
      <c r="Z183" s="410">
        <f>IF(Z182=0,0,(IF(($C$67+$B$67+$D$67+$E$67+$F$67)&lt;=25000,(($F$67/+$AH182)*Z182)*VLOOKUP('1. SUMMARY'!$C$20,rate,Sheet1!AC$21,0),((IF(($B$67+$C$67+$D$67+$E$67)&gt;=25000,0,(((25000-($B$67+$C$67+$D$67+$E$67))/+$AH182)*Z182)*(VLOOKUP('1. SUMMARY'!$C$20,rate,Sheet1!AC$21,0))))))))</f>
        <v>0</v>
      </c>
      <c r="AA183" s="410">
        <f>IF(AA182=0,0,(IF(($C$67+$B$67+$D$67+$E$67+$F$67)&lt;=25000,(($F$67/+$AH182)*AA182)*VLOOKUP('1. SUMMARY'!$C$20,rate,Sheet1!AD$21,0),((IF(($B$67+$C$67+$D$67+$E$67)&gt;=25000,0,(((25000-($B$67+$C$67+$D$67+$E$67))/+$AH182)*AA182)*(VLOOKUP('1. SUMMARY'!$C$20,rate,Sheet1!AD$21,0))))))))</f>
        <v>0</v>
      </c>
      <c r="AB183" s="410">
        <f>IF(AB182=0,0,(IF(($C$67+$B$67+$D$67+$E$67+$F$67)&lt;=25000,(($F$67/+$AH182)*AB182)*VLOOKUP('1. SUMMARY'!$C$20,rate,Sheet1!AE$21,0),((IF(($B$67+$C$67+$D$67+$E$67)&gt;=25000,0,(((25000-($B$67+$C$67+$D$67+$E$67))/+$AH182)*AB182)*(VLOOKUP('1. SUMMARY'!$C$20,rate,Sheet1!AE$21,0))))))))</f>
        <v>0</v>
      </c>
      <c r="AC183" s="410">
        <f>IF(AC182=0,0,(IF(($C$67+$B$67+$D$67+$E$67+$F$67)&lt;=25000,(($F$67/+$AH182)*AC182)*VLOOKUP('1. SUMMARY'!$C$20,rate,Sheet1!AF$21,0),((IF(($B$67+$C$67+$D$67+$E$67)&gt;=25000,0,(((25000-($B$67+$C$67+$D$67+$E$67))/+$AH182)*AC182)*(VLOOKUP('1. SUMMARY'!$C$20,rate,Sheet1!AF$21,0))))))))</f>
        <v>0</v>
      </c>
      <c r="AD183" s="410">
        <f>IF(AD182=0,0,(IF(($C$67+$B$67+$D$67+$E$67+$F$67)&lt;=25000,(($F$67/+$AH182)*AD182)*VLOOKUP('1. SUMMARY'!$C$20,rate,Sheet1!AG$21,0),((IF(($B$67+$C$67+$D$67+$E$67)&gt;=25000,0,(((25000-($B$67+$C$67+$D$67+$E$67))/+$AH182)*AD182)*(VLOOKUP('1. SUMMARY'!$C$20,rate,Sheet1!AG$21,0))))))))</f>
        <v>0</v>
      </c>
      <c r="AE183" s="410">
        <f>IF(AE182=0,0,(IF(($C$67+$B$67+$D$67+$E$67+$F$67)&lt;=25000,(($F$67/+$AH182)*AE182)*VLOOKUP('1. SUMMARY'!$C$20,rate,Sheet1!AH$21,0),((IF(($B$67+$C$67+$D$67+$E$67)&gt;=25000,0,(((25000-($B$67+$C$67+$D$67+$E$67))/+$AH182)*AE182)*(VLOOKUP('1. SUMMARY'!$C$20,rate,Sheet1!AH$21,0))))))))</f>
        <v>0</v>
      </c>
      <c r="AF183" s="410">
        <f>IF(AF182=0,0,(IF(($C$67+$B$67+$D$67+$E$67+$F$67)&lt;=25000,(($F$67/+$AH182)*AF182)*VLOOKUP('1. SUMMARY'!$C$20,rate,Sheet1!AI$21,0),((IF(($B$67+$C$67+$D$67+$E$67)&gt;=25000,0,(((25000-($B$67+$C$67+$D$67+$E$67))/+$AH182)*AF182)*(VLOOKUP('1. SUMMARY'!$C$20,rate,Sheet1!AI$21,0))))))))</f>
        <v>0</v>
      </c>
      <c r="AG183" s="410">
        <f>IF(AG182=0,0,(IF(($C$67+$B$67+$D$67+$E$67+$F$67)&lt;=25000,(($F$67/+$AH182)*AG182)*VLOOKUP('1. SUMMARY'!$C$20,rate,Sheet1!AJ$21,0),((IF(($B$67+$C$67+$D$67+$E$67)&gt;=25000,0,(((25000-($B$67+$C$67+$D$67+$E$67))/+$AH182)*AG182)*(VLOOKUP('1. SUMMARY'!$C$20,rate,Sheet1!AJ$21,0))))))))</f>
        <v>0</v>
      </c>
      <c r="AH183" s="219">
        <f>SUM(Q183:AG183)</f>
        <v>0</v>
      </c>
      <c r="AI183" s="410">
        <f>IF(AI182=0,0,((+$F67/$AZ182)*AI182)*VLOOKUP('1. SUMMARY'!$C$20,rate,Sheet1!T$21,0))</f>
        <v>0</v>
      </c>
      <c r="AJ183" s="410">
        <f>IF(AJ182=0,0,((+$F67/$AZ182)*AJ182)*VLOOKUP('1. SUMMARY'!$C$20,rate,Sheet1!U$21,0))</f>
        <v>0</v>
      </c>
      <c r="AK183" s="410">
        <f>IF(AK182=0,0,((+$F67/$AZ182)*AK182)*VLOOKUP('1. SUMMARY'!$C$20,rate,Sheet1!V$21,0))</f>
        <v>0</v>
      </c>
      <c r="AL183" s="410">
        <f>IF(AL182=0,0,((+$F67/$AZ182)*AL182)*VLOOKUP('1. SUMMARY'!$C$20,rate,Sheet1!W$21,0))</f>
        <v>0</v>
      </c>
      <c r="AM183" s="410">
        <f>IF(AM182=0,0,((+$F67/$AZ182)*AM182)*VLOOKUP('1. SUMMARY'!$C$20,rate,Sheet1!X$21,0))</f>
        <v>0</v>
      </c>
      <c r="AN183" s="410">
        <f>IF(AN182=0,0,((+$F67/$AZ182)*AN182)*VLOOKUP('1. SUMMARY'!$C$20,rate,Sheet1!Y$21,0))</f>
        <v>0</v>
      </c>
      <c r="AO183" s="410">
        <f>IF(AO182=0,0,((+$F67/$AZ182)*AO182)*VLOOKUP('1. SUMMARY'!$C$20,rate,Sheet1!Z$21,0))</f>
        <v>0</v>
      </c>
      <c r="AP183" s="410">
        <f>IF(AP182=0,0,((+$F67/$AZ182)*AP182)*VLOOKUP('1. SUMMARY'!$C$20,rate,Sheet1!AA$21,0))</f>
        <v>0</v>
      </c>
      <c r="AQ183" s="410">
        <f>IF(AQ182=0,0,((+$F67/$AZ182)*AQ182)*VLOOKUP('1. SUMMARY'!$C$20,rate,Sheet1!AB$21,0))</f>
        <v>0</v>
      </c>
      <c r="AR183" s="410">
        <f>IF(AR182=0,0,((+$F67/$AZ182)*AR182)*VLOOKUP('1. SUMMARY'!$C$20,rate,Sheet1!AC$21,0))</f>
        <v>0</v>
      </c>
      <c r="AS183" s="410">
        <f>IF(AS182=0,0,((+$F67/$AZ182)*AS182)*VLOOKUP('1. SUMMARY'!$C$20,rate,Sheet1!AD$21,0))</f>
        <v>0</v>
      </c>
      <c r="AT183" s="410">
        <f>IF(AT182=0,0,((+$F67/$AZ182)*AT182)*VLOOKUP('1. SUMMARY'!$C$20,rate,Sheet1!AE$21,0))</f>
        <v>0</v>
      </c>
      <c r="AU183" s="410">
        <f>IF(AU182=0,0,((+$F67/$AZ182)*AU182)*VLOOKUP('1. SUMMARY'!$C$20,rate,Sheet1!AF$21,0))</f>
        <v>0</v>
      </c>
      <c r="AV183" s="410">
        <f>IF(AV182=0,0,((+$F67/$AZ182)*AV182)*VLOOKUP('1. SUMMARY'!$C$20,rate,Sheet1!AG$21,0))</f>
        <v>0</v>
      </c>
      <c r="AW183" s="410">
        <f>IF(AW182=0,0,((+$F67/$AZ182)*AW182)*VLOOKUP('1. SUMMARY'!$C$20,rate,Sheet1!AH$21,0))</f>
        <v>0</v>
      </c>
      <c r="AX183" s="410">
        <f>IF(AX182=0,0,((+$F67/$AZ182)*AX182)*VLOOKUP('1. SUMMARY'!$C$20,rate,Sheet1!AI$21,0))</f>
        <v>0</v>
      </c>
      <c r="AY183" s="410">
        <f>IF(AY182=0,0,((+$F67/$AZ182)*AY182)*VLOOKUP('1. SUMMARY'!$C$20,rate,Sheet1!AJ$21,0))</f>
        <v>0</v>
      </c>
      <c r="AZ183" s="219">
        <f>SUM(AI183:AY183)</f>
        <v>0</v>
      </c>
    </row>
    <row r="184" spans="1:52" ht="12.75" customHeight="1">
      <c r="A184" s="221" t="s">
        <v>151</v>
      </c>
      <c r="B184" s="227"/>
      <c r="C184" s="227"/>
      <c r="D184" s="227"/>
      <c r="E184" s="227"/>
      <c r="F184" s="227"/>
      <c r="G184" s="228"/>
      <c r="H184" s="228"/>
      <c r="I184" s="228"/>
      <c r="J184" s="228"/>
      <c r="K184" s="228"/>
      <c r="L184" s="229">
        <f>SUM(B184:K184)</f>
        <v>0</v>
      </c>
      <c r="P184" s="207">
        <f t="shared" si="76"/>
        <v>1</v>
      </c>
      <c r="Q184" s="410">
        <f>+Q183/VLOOKUP('1. SUMMARY'!$C$20,rate,Sheet1!T$21,0)</f>
        <v>0</v>
      </c>
      <c r="R184" s="410">
        <f>+R183/VLOOKUP('1. SUMMARY'!$C$20,rate,Sheet1!U$21,0)</f>
        <v>0</v>
      </c>
      <c r="S184" s="410">
        <f>+S183/VLOOKUP('1. SUMMARY'!$C$20,rate,Sheet1!V$21,0)</f>
        <v>0</v>
      </c>
      <c r="T184" s="410">
        <f>+T183/VLOOKUP('1. SUMMARY'!$C$20,rate,Sheet1!W$21,0)</f>
        <v>0</v>
      </c>
      <c r="U184" s="410">
        <f>+U183/VLOOKUP('1. SUMMARY'!$C$20,rate,Sheet1!X$21,0)</f>
        <v>0</v>
      </c>
      <c r="V184" s="410">
        <f>+V183/VLOOKUP('1. SUMMARY'!$C$20,rate,Sheet1!Y$21,0)</f>
        <v>0</v>
      </c>
      <c r="W184" s="410">
        <f>+W183/VLOOKUP('1. SUMMARY'!$C$20,rate,Sheet1!Z$21,0)</f>
        <v>0</v>
      </c>
      <c r="X184" s="410">
        <f>+X183/VLOOKUP('1. SUMMARY'!$C$20,rate,Sheet1!AA$21,0)</f>
        <v>0</v>
      </c>
      <c r="Y184" s="410">
        <f>+Y183/VLOOKUP('1. SUMMARY'!$C$20,rate,Sheet1!AB$21,0)</f>
        <v>0</v>
      </c>
      <c r="Z184" s="410">
        <f>+Z183/VLOOKUP('1. SUMMARY'!$C$20,rate,Sheet1!AC$21,0)</f>
        <v>0</v>
      </c>
      <c r="AA184" s="410">
        <f>+AA183/VLOOKUP('1. SUMMARY'!$C$20,rate,Sheet1!AD$21,0)</f>
        <v>0</v>
      </c>
      <c r="AB184" s="410">
        <f>+AB183/VLOOKUP('1. SUMMARY'!$C$20,rate,Sheet1!AE$21,0)</f>
        <v>0</v>
      </c>
      <c r="AC184" s="410">
        <f>+AC183/VLOOKUP('1. SUMMARY'!$C$20,rate,Sheet1!AF$21,0)</f>
        <v>0</v>
      </c>
      <c r="AD184" s="410">
        <f>+AD183/VLOOKUP('1. SUMMARY'!$C$20,rate,Sheet1!AG$21,0)</f>
        <v>0</v>
      </c>
      <c r="AE184" s="410">
        <f>+AE183/VLOOKUP('1. SUMMARY'!$C$20,rate,Sheet1!AH$21,0)</f>
        <v>0</v>
      </c>
      <c r="AF184" s="410">
        <f>+AF183/VLOOKUP('1. SUMMARY'!$C$20,rate,Sheet1!AI$21,0)</f>
        <v>0</v>
      </c>
      <c r="AG184" s="410">
        <f>+AG183/VLOOKUP('1. SUMMARY'!$C$20,rate,Sheet1!AJ$21,0)</f>
        <v>0</v>
      </c>
      <c r="AH184" s="219"/>
      <c r="AI184" s="410">
        <v>0</v>
      </c>
      <c r="AJ184" s="410">
        <v>0</v>
      </c>
      <c r="AK184" s="410">
        <v>0</v>
      </c>
      <c r="AL184" s="410">
        <v>0</v>
      </c>
      <c r="AM184" s="410">
        <v>0</v>
      </c>
      <c r="AN184" s="410">
        <v>0</v>
      </c>
      <c r="AO184" s="410">
        <v>0</v>
      </c>
      <c r="AP184" s="410">
        <v>0</v>
      </c>
      <c r="AQ184" s="410"/>
      <c r="AR184" s="410"/>
      <c r="AS184" s="410"/>
      <c r="AT184" s="410"/>
      <c r="AU184" s="410"/>
      <c r="AV184" s="410"/>
      <c r="AW184" s="410"/>
      <c r="AX184" s="410"/>
      <c r="AY184" s="410"/>
      <c r="AZ184" s="219"/>
    </row>
    <row r="185" spans="1:52" ht="12.75" customHeight="1">
      <c r="A185" s="216"/>
      <c r="B185" s="217"/>
      <c r="C185" s="217"/>
      <c r="D185" s="217"/>
      <c r="E185" s="217"/>
      <c r="F185" s="217"/>
      <c r="G185" s="217"/>
      <c r="H185" s="217"/>
      <c r="I185" s="217"/>
      <c r="J185" s="217"/>
      <c r="K185" s="217"/>
      <c r="L185" s="218"/>
      <c r="Q185" s="413">
        <f>Sheet1!$T$8</f>
        <v>44105</v>
      </c>
      <c r="R185" s="413">
        <f>Sheet1!$U$8</f>
        <v>44470</v>
      </c>
      <c r="S185" s="413">
        <f>Sheet1!$V$8</f>
        <v>44835</v>
      </c>
      <c r="T185" s="413">
        <f>Sheet1!$W$8</f>
        <v>45200</v>
      </c>
      <c r="U185" s="413">
        <f>Sheet1!$X$8</f>
        <v>45566</v>
      </c>
      <c r="V185" s="413">
        <f>Sheet1!$Y$8</f>
        <v>45931</v>
      </c>
      <c r="W185" s="413">
        <f>Sheet1!$Z$8</f>
        <v>46296</v>
      </c>
      <c r="X185" s="413">
        <f>Sheet1!$AA$8</f>
        <v>46661</v>
      </c>
      <c r="Y185" s="413">
        <f>Sheet1!$AB$8</f>
        <v>47027</v>
      </c>
      <c r="Z185" s="413">
        <f>Sheet1!$AC$8</f>
        <v>47392</v>
      </c>
      <c r="AA185" s="413">
        <f>$AA$5</f>
        <v>47757</v>
      </c>
      <c r="AB185" s="413">
        <f>$AB$5</f>
        <v>48122</v>
      </c>
      <c r="AC185" s="413">
        <f>$AC$5</f>
        <v>48488</v>
      </c>
      <c r="AD185" s="413">
        <f>$AD$5</f>
        <v>48853</v>
      </c>
      <c r="AE185" s="413">
        <f>$AE$5</f>
        <v>49218</v>
      </c>
      <c r="AF185" s="413">
        <f>$AF$5</f>
        <v>49583</v>
      </c>
      <c r="AG185" s="413">
        <f>$AG$5</f>
        <v>49949</v>
      </c>
      <c r="AH185" s="219"/>
      <c r="AI185" s="413">
        <f t="shared" ref="AI185:AR187" si="86">+Q185</f>
        <v>44105</v>
      </c>
      <c r="AJ185" s="413">
        <f t="shared" si="86"/>
        <v>44470</v>
      </c>
      <c r="AK185" s="413">
        <f t="shared" si="86"/>
        <v>44835</v>
      </c>
      <c r="AL185" s="413">
        <f t="shared" si="86"/>
        <v>45200</v>
      </c>
      <c r="AM185" s="413">
        <f t="shared" si="86"/>
        <v>45566</v>
      </c>
      <c r="AN185" s="413">
        <f t="shared" si="86"/>
        <v>45931</v>
      </c>
      <c r="AO185" s="413">
        <f t="shared" si="86"/>
        <v>46296</v>
      </c>
      <c r="AP185" s="413">
        <f t="shared" si="86"/>
        <v>46661</v>
      </c>
      <c r="AQ185" s="413">
        <f t="shared" si="86"/>
        <v>47027</v>
      </c>
      <c r="AR185" s="413">
        <f t="shared" si="86"/>
        <v>47392</v>
      </c>
      <c r="AS185" s="413">
        <f t="shared" ref="AS185:AY187" si="87">+AA185</f>
        <v>47757</v>
      </c>
      <c r="AT185" s="413">
        <f t="shared" si="87"/>
        <v>48122</v>
      </c>
      <c r="AU185" s="413">
        <f t="shared" si="87"/>
        <v>48488</v>
      </c>
      <c r="AV185" s="413">
        <f t="shared" si="87"/>
        <v>48853</v>
      </c>
      <c r="AW185" s="413">
        <f t="shared" si="87"/>
        <v>49218</v>
      </c>
      <c r="AX185" s="413">
        <f t="shared" si="87"/>
        <v>49583</v>
      </c>
      <c r="AY185" s="413">
        <f t="shared" si="87"/>
        <v>49949</v>
      </c>
      <c r="AZ185" s="211"/>
    </row>
    <row r="186" spans="1:52" ht="12.75" customHeight="1">
      <c r="A186" s="231" t="s">
        <v>152</v>
      </c>
      <c r="B186" s="146">
        <f t="shared" ref="B186:K186" si="88">SUM(B183:B184)</f>
        <v>0</v>
      </c>
      <c r="C186" s="146">
        <f t="shared" si="88"/>
        <v>0</v>
      </c>
      <c r="D186" s="146">
        <f t="shared" si="88"/>
        <v>0</v>
      </c>
      <c r="E186" s="146">
        <f t="shared" si="88"/>
        <v>0</v>
      </c>
      <c r="F186" s="146">
        <f t="shared" si="88"/>
        <v>0</v>
      </c>
      <c r="G186" s="146">
        <f t="shared" si="88"/>
        <v>0</v>
      </c>
      <c r="H186" s="146">
        <f t="shared" si="88"/>
        <v>0</v>
      </c>
      <c r="I186" s="146">
        <f t="shared" si="88"/>
        <v>0</v>
      </c>
      <c r="J186" s="146">
        <f t="shared" si="88"/>
        <v>0</v>
      </c>
      <c r="K186" s="146">
        <f t="shared" si="88"/>
        <v>0</v>
      </c>
      <c r="L186" s="229">
        <f>SUM(B186:K186)</f>
        <v>0</v>
      </c>
      <c r="Q186" s="413">
        <f>Sheet1!$T$9</f>
        <v>44469</v>
      </c>
      <c r="R186" s="413">
        <f>Sheet1!$U$9</f>
        <v>44834</v>
      </c>
      <c r="S186" s="413">
        <f>Sheet1!$V$9</f>
        <v>45199</v>
      </c>
      <c r="T186" s="413">
        <f>Sheet1!$W$9</f>
        <v>45565</v>
      </c>
      <c r="U186" s="413">
        <f>Sheet1!$X$9</f>
        <v>45930</v>
      </c>
      <c r="V186" s="413">
        <f>Sheet1!$Y$9</f>
        <v>46295</v>
      </c>
      <c r="W186" s="413">
        <f>Sheet1!$Z$9</f>
        <v>46660</v>
      </c>
      <c r="X186" s="413">
        <f>Sheet1!$AA$9</f>
        <v>47026</v>
      </c>
      <c r="Y186" s="413">
        <f>Sheet1!$AB$9</f>
        <v>47391</v>
      </c>
      <c r="Z186" s="413">
        <f>Sheet1!$AC$9</f>
        <v>47756</v>
      </c>
      <c r="AA186" s="413">
        <f>$AA$6</f>
        <v>48121</v>
      </c>
      <c r="AB186" s="413">
        <f>$AB$6</f>
        <v>48487</v>
      </c>
      <c r="AC186" s="413">
        <f>$AC$6</f>
        <v>48852</v>
      </c>
      <c r="AD186" s="413">
        <f>$AD$6</f>
        <v>49217</v>
      </c>
      <c r="AE186" s="413">
        <f>$AE$6</f>
        <v>49582</v>
      </c>
      <c r="AF186" s="413">
        <f>$AF$6</f>
        <v>49948</v>
      </c>
      <c r="AG186" s="413">
        <f>$AG$6</f>
        <v>50313</v>
      </c>
      <c r="AH186" s="219"/>
      <c r="AI186" s="413">
        <f t="shared" si="86"/>
        <v>44469</v>
      </c>
      <c r="AJ186" s="413">
        <f t="shared" si="86"/>
        <v>44834</v>
      </c>
      <c r="AK186" s="413">
        <f t="shared" si="86"/>
        <v>45199</v>
      </c>
      <c r="AL186" s="413">
        <f t="shared" si="86"/>
        <v>45565</v>
      </c>
      <c r="AM186" s="413">
        <f t="shared" si="86"/>
        <v>45930</v>
      </c>
      <c r="AN186" s="413">
        <f t="shared" si="86"/>
        <v>46295</v>
      </c>
      <c r="AO186" s="413">
        <f t="shared" si="86"/>
        <v>46660</v>
      </c>
      <c r="AP186" s="413">
        <f t="shared" si="86"/>
        <v>47026</v>
      </c>
      <c r="AQ186" s="413">
        <f t="shared" si="86"/>
        <v>47391</v>
      </c>
      <c r="AR186" s="413">
        <f t="shared" si="86"/>
        <v>47756</v>
      </c>
      <c r="AS186" s="413">
        <f t="shared" si="87"/>
        <v>48121</v>
      </c>
      <c r="AT186" s="413">
        <f t="shared" si="87"/>
        <v>48487</v>
      </c>
      <c r="AU186" s="413">
        <f t="shared" si="87"/>
        <v>48852</v>
      </c>
      <c r="AV186" s="413">
        <f t="shared" si="87"/>
        <v>49217</v>
      </c>
      <c r="AW186" s="413">
        <f t="shared" si="87"/>
        <v>49582</v>
      </c>
      <c r="AX186" s="413">
        <f t="shared" si="87"/>
        <v>49948</v>
      </c>
      <c r="AY186" s="413">
        <f t="shared" si="87"/>
        <v>50313</v>
      </c>
      <c r="AZ186" s="211"/>
    </row>
    <row r="187" spans="1:52" ht="12.75" customHeight="1">
      <c r="A187" s="216"/>
      <c r="B187" s="217"/>
      <c r="C187" s="217"/>
      <c r="D187" s="217"/>
      <c r="E187" s="217"/>
      <c r="F187" s="217"/>
      <c r="G187" s="217"/>
      <c r="H187" s="217"/>
      <c r="I187" s="217"/>
      <c r="J187" s="217"/>
      <c r="K187" s="217"/>
      <c r="L187" s="218"/>
      <c r="O187" s="207">
        <v>6</v>
      </c>
      <c r="Q187" s="414">
        <f>IF(IF(Q186&lt;$G$27,0,DATEDIF($G$27,Q186+1,"m"))&lt;0,0,IF(Q186&lt;$G$27,0,DATEDIF($G$27,Q186+1,"m")))</f>
        <v>0</v>
      </c>
      <c r="R187" s="414">
        <f>IF(IF(Q187=12,0,IF(R186&gt;$G$28,12-DATEDIF($G$28,R186+1,"m"),IF(R186&lt;$G$27,0,DATEDIF($G$27,R186+1,"m"))))&lt;0,0,IF(Q187=12,0,IF(R186&gt;$G$28,12-DATEDIF($G$28,R186+1,"m"),IF(R186&lt;$G$27,0,DATEDIF($G$27,R186+1,"m")))))</f>
        <v>0</v>
      </c>
      <c r="S187" s="414">
        <f>IF(IF(Q187+R187=12,0,IF(S186&gt;$G$28,12-DATEDIF($G$28,S186+1,"m"),IF(S186&lt;$G$27,0,DATEDIF($G$27,S186+1,"m"))))&lt;0,0,IF(Q187+R187=12,0,IF(S186&gt;$G$28,12-DATEDIF($G$28,S186+1,"m"),IF(S186&lt;$G$27,0,DATEDIF($G$27,S186+1,"m")))))</f>
        <v>0</v>
      </c>
      <c r="T187" s="414">
        <f>IF(IF(R187+S187+Q187=12,0,IF(T186&gt;$G$28,12-DATEDIF($G$28,T186+1,"m"),IF(T186&lt;$G$27,0,DATEDIF($G$27,T186+1,"m"))))&lt;0,0,IF(R187+S187+Q187=12,0,IF(T186&gt;$G$28,12-DATEDIF($G$28,T186+1,"m"),IF(T186&lt;$G$27,0,DATEDIF($G$27,T186+1,"m")))))</f>
        <v>0</v>
      </c>
      <c r="U187" s="414">
        <f>IF(IF(S187+T187+R187+Q187=12,0,IF(U186&gt;$G$28,12-DATEDIF($G$28,U186+1,"m"),IF(U186&lt;$G$27,0,DATEDIF($G$27,U186+1,"m"))))&lt;0,0,IF(S187+T187+R187+Q187=12,0,IF(U186&gt;$G$28,12-DATEDIF($G$28,U186+1,"m"),IF(U186&lt;$G$27,0,DATEDIF($G$27,U186+1,"m")))))</f>
        <v>0</v>
      </c>
      <c r="V187" s="414">
        <f>IF(IF(T187+U187+S187+R187+Q187=12,0,IF(V186&gt;$G$28,12-DATEDIF($G$28,V186+1,"m"),IF(V186&lt;$G$27,0,DATEDIF($G$27,V186+1,"m"))))&lt;0,0,IF(T187+U187+S187+R187+Q187=12,0,IF(V186&gt;$G$28,12-DATEDIF($G$28,V186+1,"m"),IF(V186&lt;$G$27,0,DATEDIF($G$27,V186+1,"m")))))</f>
        <v>0</v>
      </c>
      <c r="W187" s="414">
        <f>IF(IF(U187+V187+T187+S187+R187+Q187=12,0,IF(W186&gt;$G$28,12-DATEDIF($G$28,W186+1,"m"),IF(W186&lt;$G$27,0,DATEDIF($G$27,W186+1,"m"))))&lt;0,0,IF(U187+V187+T187+S187+R187+Q187=12,0,IF(W186&gt;$G$28,12-DATEDIF($G$28,W186+1,"m"),IF(W186&lt;$G$27,0,DATEDIF($G$27,W186+1,"m")))))</f>
        <v>0</v>
      </c>
      <c r="X187" s="414">
        <f>IF(IF(V187+W187+U187+T187+S187+R187+Q187=12,0,IF(X186&gt;$G$28,12-DATEDIF($G$28,X186+1,"m"),IF(X186&lt;$G$27,0,DATEDIF($G$27,X186+1,"m"))))&lt;0,0,IF(V187+W187+U187+T187+S187+R187+Q187=12,0,IF(X186&gt;$G$28,12-DATEDIF($G$28,X186+1,"m"),IF(X186&lt;$G$27,0,DATEDIF($G$27,X186+1,"m")))))</f>
        <v>0</v>
      </c>
      <c r="Y187" s="414">
        <f>IF(IF(W187+X187+V187+U187+T187+S187+R187+Q187=12,0,IF(Y186&gt;$G$28,12-DATEDIF($G$28,Y186+1,"m"),IF(Y186&lt;$G$27,0,DATEDIF($G$27,Y186+1,"m"))))&lt;0,0,IF(W187+X187+V187+U187+T187+S187+R187+Q187=12,0,IF(Y186&gt;$G$28,12-DATEDIF($G$28,Y186+1,"m"),IF(Y186&lt;$G$27,0,DATEDIF($G$27,Y186+1,"m")))))</f>
        <v>0</v>
      </c>
      <c r="Z187" s="414">
        <f>IF(IF(X187+Y187+W187+V187+U187+T187+S187+R187+Q187=12,0,IF(Z186&gt;$G$28,12-DATEDIF($G$28,Z186+1,"m"),IF(Z186&lt;$G$27,0,DATEDIF($G$27,Z186+1,"m"))))&lt;0,0,IF(X187+Y187+W187+V187+U187+T187+S187+R187+Q187=12,0,IF(Z186&gt;$G$28,12-DATEDIF($G$28,Z186+1,"m"),IF(Z186&lt;$G$27,0,DATEDIF($G$27,Z186+1,"m")))))</f>
        <v>0</v>
      </c>
      <c r="AA187" s="414">
        <f>IF(IF(Q187+R187+S187+Y187+Z187+X187+W187+V187+U187+T187=12,0,IF(AA186&gt;$G$28,12-DATEDIF($G$28,AA186+1,"m"),IF(AA186&lt;$G$27,0,DATEDIF($G$27,AA186+1,"m"))))&lt;0,0,IF(Q187+R187+S187+Y187+Z187+X187+W187+V187+U187+T187=12,0,IF(AA186&gt;$G$28,12-DATEDIF($G$28,AA186+1,"m"),IF(AA186&lt;$G$27,0,DATEDIF($G$27,AA186+1,"m")))))</f>
        <v>0</v>
      </c>
      <c r="AB187" s="414">
        <f>IF(IF(Q187+R187+S187+T187+Z187+AA187+Y187+X187+W187+V187+U187=12,0,IF(AB186&gt;$G$28,12-DATEDIF($G$28,AB186+1,"m"),IF(AB186&lt;$G$27,0,DATEDIF($G$27,AB186+1,"m"))))&lt;0,0,IF(Q187+R187+S187+T187+Z187+AA187+Y187+X187+W187+V187+U187=12,0,IF(AB186&gt;$G$28,12-DATEDIF($G$28,AB186+1,"m"),IF(AB186&lt;$G$27,0,DATEDIF($G$27,AB186+1,"m")))))</f>
        <v>0</v>
      </c>
      <c r="AC187" s="414">
        <f>IF(IF(Q187+R187+S187+T187+U187+AA187+AB187+Z187+Y187+X187+W187+V187=12,0,IF(AC186&gt;$G$28,12-DATEDIF($G$28,AC186+1,"m"),IF(AC186&lt;$G$27,0,DATEDIF($G$27,AC186+1,"m"))))&lt;0,0,IF(Q187+R187+S187+T187+U187+AA187+AB187+Z187+Y187+X187+W187+V187=12,0,IF(AC186&gt;$G$28,12-DATEDIF($G$28,AC186+1,"m"),IF(AC186&lt;$G$27,0,DATEDIF($G$27,AC186+1,"m")))))</f>
        <v>0</v>
      </c>
      <c r="AD187" s="414">
        <f>IF(IF(Q187+R187+S187+T187+U187+V187+AB187+AC187+AA187+Z187+Y187+X187+W187=12,0,IF(AD186&gt;$G$28,12-DATEDIF($G$28,AD186+1,"m"),IF(AD186&lt;$G$27,0,DATEDIF($G$27,AD186+1,"m"))))&lt;0,0,IF(Q187+R187+S187+T187+U187+V187+AB187+AC187+AA187+Z187+Y187+X187+W187=12,0,IF(AD186&gt;$G$28,12-DATEDIF($G$28,AD186+1,"m"),IF(AD186&lt;$G$27,0,DATEDIF($G$27,AD186+1,"m")))))</f>
        <v>0</v>
      </c>
      <c r="AE187" s="414"/>
      <c r="AF187" s="414"/>
      <c r="AG187" s="414"/>
      <c r="AH187" s="423">
        <f>SUM(Q187:AG187)</f>
        <v>0</v>
      </c>
      <c r="AI187" s="414">
        <f t="shared" si="86"/>
        <v>0</v>
      </c>
      <c r="AJ187" s="414">
        <f t="shared" si="86"/>
        <v>0</v>
      </c>
      <c r="AK187" s="414">
        <f t="shared" si="86"/>
        <v>0</v>
      </c>
      <c r="AL187" s="414">
        <f t="shared" si="86"/>
        <v>0</v>
      </c>
      <c r="AM187" s="414">
        <f t="shared" si="86"/>
        <v>0</v>
      </c>
      <c r="AN187" s="414">
        <f t="shared" si="86"/>
        <v>0</v>
      </c>
      <c r="AO187" s="414">
        <f t="shared" si="86"/>
        <v>0</v>
      </c>
      <c r="AP187" s="414">
        <f t="shared" si="86"/>
        <v>0</v>
      </c>
      <c r="AQ187" s="414">
        <f t="shared" si="86"/>
        <v>0</v>
      </c>
      <c r="AR187" s="414">
        <f t="shared" si="86"/>
        <v>0</v>
      </c>
      <c r="AS187" s="414">
        <f t="shared" si="87"/>
        <v>0</v>
      </c>
      <c r="AT187" s="414">
        <f t="shared" si="87"/>
        <v>0</v>
      </c>
      <c r="AU187" s="414">
        <f t="shared" si="87"/>
        <v>0</v>
      </c>
      <c r="AV187" s="414">
        <f t="shared" si="87"/>
        <v>0</v>
      </c>
      <c r="AW187" s="414">
        <f t="shared" si="87"/>
        <v>0</v>
      </c>
      <c r="AX187" s="414">
        <f t="shared" si="87"/>
        <v>0</v>
      </c>
      <c r="AY187" s="414">
        <f t="shared" si="87"/>
        <v>0</v>
      </c>
      <c r="AZ187" s="219">
        <f>SUM(AI187:AY187)</f>
        <v>0</v>
      </c>
    </row>
    <row r="188" spans="1:52" ht="12.75" customHeight="1">
      <c r="A188" s="226" t="s">
        <v>153</v>
      </c>
      <c r="B188" s="233">
        <f>IF(B180="No "&amp;B179,0,IF('1. SUMMARY'!$Q$20=1,$AH523,$AZ523))</f>
        <v>0</v>
      </c>
      <c r="C188" s="233">
        <f>IF(C180="No "&amp;C179,0,IF('1. SUMMARY'!$Q$20=1,$AH528,$AZ528))</f>
        <v>0</v>
      </c>
      <c r="D188" s="233">
        <f>IF(D180="No "&amp;D179,0,IF('1. SUMMARY'!$Q$20=1,$AH533,$AZ533))</f>
        <v>0</v>
      </c>
      <c r="E188" s="233">
        <f>IF(E180="No "&amp;E179,0,IF('1. SUMMARY'!$Q$20=1,$AH538,$AZ538))</f>
        <v>0</v>
      </c>
      <c r="F188" s="233">
        <f>IF(F180="No "&amp;F179,0,IF('1. SUMMARY'!$Q$20=1,$AH543,$AZ543))</f>
        <v>0</v>
      </c>
      <c r="G188" s="233">
        <f>IF(G180="No "&amp;G179,0,IF('1. SUMMARY'!$Q$20=1,$AH548,$AZ548))</f>
        <v>0</v>
      </c>
      <c r="H188" s="233">
        <f>IF(H180="No "&amp;H179,0,IF('1. SUMMARY'!$Q$20=1,$AH553,$AZ553))</f>
        <v>0</v>
      </c>
      <c r="I188" s="233">
        <f>IF(I180="No "&amp;I179,0,IF('1. SUMMARY'!$Q$20=1,$AH558,$AZ558))</f>
        <v>0</v>
      </c>
      <c r="J188" s="233">
        <f>IF(J180="No "&amp;J179,0,IF('1. SUMMARY'!$Q$20=1,$AH563,$AZ563))</f>
        <v>0</v>
      </c>
      <c r="K188" s="233">
        <f>IF(K180="No "&amp;K179,0,IF('1. SUMMARY'!$Q$20=1,$AH568,$AZ568))</f>
        <v>0</v>
      </c>
      <c r="L188" s="229">
        <f>SUM(B188:K188)</f>
        <v>0</v>
      </c>
      <c r="Q188" s="415">
        <f>IF(Q187=0,0,(IF(($B$67+$C$67+$D$67+$E$67+$F$67+$G$67)&lt;=25000,(($G$67/+$AH187)*Q187)*VLOOKUP('1. SUMMARY'!$C$20,rate,Sheet1!T$21,0),((IF(($F$67+$B$67+$C$67+$D$67+$E$67)&gt;=25000,0,(((25000-($B$67+$C$67+$D$67+$E$67+$F$67))/+$AH187)*Q187)*(VLOOKUP('1. SUMMARY'!$C$20,rate,Sheet1!T$21,0))))))))</f>
        <v>0</v>
      </c>
      <c r="R188" s="415">
        <f>IF(R187=0,0,(IF(($B$67+$C$67+$D$67+$E$67+$F$67+$G$67)&lt;=25000,(($G$67/+$AH187)*R187)*VLOOKUP('1. SUMMARY'!$C$20,rate,Sheet1!U$21,0),((IF(($F$67+$B$67+$C$67+$D$67+$E$67)&gt;=25000,0,(((25000-($B$67+$C$67+$D$67+$E$67+$F$67))/+$AH187)*R187)*(VLOOKUP('1. SUMMARY'!$C$20,rate,Sheet1!U$21,0))))))))</f>
        <v>0</v>
      </c>
      <c r="S188" s="415">
        <f>IF(S187=0,0,(IF(($B$67+$C$67+$D$67+$E$67+$F$67+$G$67)&lt;=25000,(($G$67/+$AH187)*S187)*VLOOKUP('1. SUMMARY'!$C$20,rate,Sheet1!V$21,0),((IF(($F$67+$B$67+$C$67+$D$67+$E$67)&gt;=25000,0,(((25000-($B$67+$C$67+$D$67+$E$67+$F$67))/+$AH187)*S187)*(VLOOKUP('1. SUMMARY'!$C$20,rate,Sheet1!V$21,0))))))))</f>
        <v>0</v>
      </c>
      <c r="T188" s="415">
        <f>IF(T187=0,0,(IF(($B$67+$C$67+$D$67+$E$67+$F$67+$G$67)&lt;=25000,(($G$67/+$AH187)*T187)*VLOOKUP('1. SUMMARY'!$C$20,rate,Sheet1!W$21,0),((IF(($F$67+$B$67+$C$67+$D$67+$E$67)&gt;=25000,0,(((25000-($B$67+$C$67+$D$67+$E$67+$F$67))/+$AH187)*T187)*(VLOOKUP('1. SUMMARY'!$C$20,rate,Sheet1!W$21,0))))))))</f>
        <v>0</v>
      </c>
      <c r="U188" s="415">
        <f>IF(U187=0,0,(IF(($B$67+$C$67+$D$67+$E$67+$F$67+$G$67)&lt;=25000,(($G$67/+$AH187)*U187)*VLOOKUP('1. SUMMARY'!$C$20,rate,Sheet1!X$21,0),((IF(($F$67+$B$67+$C$67+$D$67+$E$67)&gt;=25000,0,(((25000-($B$67+$C$67+$D$67+$E$67+$F$67))/+$AH187)*U187)*(VLOOKUP('1. SUMMARY'!$C$20,rate,Sheet1!X$21,0))))))))</f>
        <v>0</v>
      </c>
      <c r="V188" s="415">
        <f>IF(V187=0,0,(IF(($B$67+$C$67+$D$67+$E$67+$F$67+$G$67)&lt;=25000,(($G$67/+$AH187)*V187)*VLOOKUP('1. SUMMARY'!$C$20,rate,Sheet1!Y$21,0),((IF(($F$67+$B$67+$C$67+$D$67+$E$67)&gt;=25000,0,(((25000-($B$67+$C$67+$D$67+$E$67+$F$67))/+$AH187)*V187)*(VLOOKUP('1. SUMMARY'!$C$20,rate,Sheet1!Y$21,0))))))))</f>
        <v>0</v>
      </c>
      <c r="W188" s="415">
        <f>IF(W187=0,0,(IF(($B$67+$C$67+$D$67+$E$67+$F$67+$G$67)&lt;=25000,(($G$67/+$AH187)*W187)*VLOOKUP('1. SUMMARY'!$C$20,rate,Sheet1!Z$21,0),((IF(($F$67+$B$67+$C$67+$D$67+$E$67)&gt;=25000,0,(((25000-($B$67+$C$67+$D$67+$E$67+$F$67))/+$AH187)*W187)*(VLOOKUP('1. SUMMARY'!$C$20,rate,Sheet1!Z$21,0))))))))</f>
        <v>0</v>
      </c>
      <c r="X188" s="415">
        <f>IF(X187=0,0,(IF(($B$67+$C$67+$D$67+$E$67+$F$67+$G$67)&lt;=25000,(($G$67/+$AH187)*X187)*VLOOKUP('1. SUMMARY'!$C$20,rate,Sheet1!AA$21,0),((IF(($F$67+$B$67+$C$67+$D$67+$E$67)&gt;=25000,0,(((25000-($B$67+$C$67+$D$67+$E$67+$F$67))/+$AH187)*X187)*(VLOOKUP('1. SUMMARY'!$C$20,rate,Sheet1!AA$21,0))))))))</f>
        <v>0</v>
      </c>
      <c r="Y188" s="415">
        <f>IF(Y187=0,0,(IF(($B$67+$C$67+$D$67+$E$67+$F$67+$G$67)&lt;=25000,(($G$67/+$AH187)*Y187)*VLOOKUP('1. SUMMARY'!$C$20,rate,Sheet1!AB$21,0),((IF(($F$67+$B$67+$C$67+$D$67+$E$67)&gt;=25000,0,(((25000-($B$67+$C$67+$D$67+$E$67+$F$67))/+$AH187)*Y187)*(VLOOKUP('1. SUMMARY'!$C$20,rate,Sheet1!AB$21,0))))))))</f>
        <v>0</v>
      </c>
      <c r="Z188" s="415">
        <f>IF(Z187=0,0,(IF(($B$67+$C$67+$D$67+$E$67+$F$67+$G$67)&lt;=25000,(($G$67/+$AH187)*Z187)*VLOOKUP('1. SUMMARY'!$C$20,rate,Sheet1!AC$21,0),((IF(($F$67+$B$67+$C$67+$D$67+$E$67)&gt;=25000,0,(((25000-($B$67+$C$67+$D$67+$E$67+$F$67))/+$AH187)*Z187)*(VLOOKUP('1. SUMMARY'!$C$20,rate,Sheet1!AC$21,0))))))))</f>
        <v>0</v>
      </c>
      <c r="AA188" s="415">
        <f>IF(AA187=0,0,(IF(($B$67+$C$67+$D$67+$E$67+$F$67+$G$67)&lt;=25000,(($G$67/+$AH187)*AA187)*VLOOKUP('1. SUMMARY'!$C$20,rate,Sheet1!AD$21,0),((IF(($F$67+$B$67+$C$67+$D$67+$E$67)&gt;=25000,0,(((25000-($B$67+$C$67+$D$67+$E$67+$F$67))/+$AH187)*AA187)*(VLOOKUP('1. SUMMARY'!$C$20,rate,Sheet1!AD$21,0))))))))</f>
        <v>0</v>
      </c>
      <c r="AB188" s="415">
        <f>IF(AB187=0,0,(IF(($B$67+$C$67+$D$67+$E$67+$F$67+$G$67)&lt;=25000,(($G$67/+$AH187)*AB187)*VLOOKUP('1. SUMMARY'!$C$20,rate,Sheet1!AE$21,0),((IF(($F$67+$B$67+$C$67+$D$67+$E$67)&gt;=25000,0,(((25000-($B$67+$C$67+$D$67+$E$67+$F$67))/+$AH187)*AB187)*(VLOOKUP('1. SUMMARY'!$C$20,rate,Sheet1!AE$21,0))))))))</f>
        <v>0</v>
      </c>
      <c r="AC188" s="415">
        <f>IF(AC187=0,0,(IF(($B$67+$C$67+$D$67+$E$67+$F$67+$G$67)&lt;=25000,(($G$67/+$AH187)*AC187)*VLOOKUP('1. SUMMARY'!$C$20,rate,Sheet1!AF$21,0),((IF(($F$67+$B$67+$C$67+$D$67+$E$67)&gt;=25000,0,(((25000-($B$67+$C$67+$D$67+$E$67+$F$67))/+$AH187)*AC187)*(VLOOKUP('1. SUMMARY'!$C$20,rate,Sheet1!AF$21,0))))))))</f>
        <v>0</v>
      </c>
      <c r="AD188" s="415">
        <f>IF(AD187=0,0,(IF(($B$67+$C$67+$D$67+$E$67+$F$67+$G$67)&lt;=25000,(($G$67/+$AH187)*AD187)*VLOOKUP('1. SUMMARY'!$C$20,rate,Sheet1!AG$21,0),((IF(($F$67+$B$67+$C$67+$D$67+$E$67)&gt;=25000,0,(((25000-($B$67+$C$67+$D$67+$E$67+$F$67))/+$AH187)*AD187)*(VLOOKUP('1. SUMMARY'!$C$20,rate,Sheet1!AG$21,0))))))))</f>
        <v>0</v>
      </c>
      <c r="AE188" s="415">
        <f>IF(AE187=0,0,(IF(($B$67+$C$67+$D$67+$E$67+$F$67+$G$67)&lt;=25000,(($G$67/+$AH187)*AE187)*VLOOKUP('1. SUMMARY'!$C$20,rate,Sheet1!AH$21,0),((IF(($F$67+$B$67+$C$67+$D$67+$E$67)&gt;=25000,0,(((25000-($B$67+$C$67+$D$67+$E$67+$F$67))/+$AH187)*AE187)*(VLOOKUP('1. SUMMARY'!$C$20,rate,Sheet1!AH$21,0))))))))</f>
        <v>0</v>
      </c>
      <c r="AF188" s="415">
        <f>IF(AF187=0,0,(IF(($B$67+$C$67+$D$67+$E$67+$F$67+$G$67)&lt;=25000,(($G$67/+$AH187)*AF187)*VLOOKUP('1. SUMMARY'!$C$20,rate,Sheet1!AI$21,0),((IF(($F$67+$B$67+$C$67+$D$67+$E$67)&gt;=25000,0,(((25000-($B$67+$C$67+$D$67+$E$67+$F$67))/+$AH187)*AF187)*(VLOOKUP('1. SUMMARY'!$C$20,rate,Sheet1!AI$21,0))))))))</f>
        <v>0</v>
      </c>
      <c r="AG188" s="415">
        <f>IF(AG187=0,0,(IF(($B$67+$C$67+$D$67+$E$67+$F$67+$G$67)&lt;=25000,(($G$67/+$AH187)*AG187)*VLOOKUP('1. SUMMARY'!$C$20,rate,Sheet1!AJ$21,0),((IF(($F$67+$B$67+$C$67+$D$67+$E$67)&gt;=25000,0,(((25000-($B$67+$C$67+$D$67+$E$67+$F$67))/+$AH187)*AG187)*(VLOOKUP('1. SUMMARY'!$C$20,rate,Sheet1!AJ$21,0))))))))</f>
        <v>0</v>
      </c>
      <c r="AH188" s="219">
        <f>SUM(Q188:AG188)</f>
        <v>0</v>
      </c>
      <c r="AI188" s="415">
        <f>IF(AI187=0,0,((+$G67/$AZ187)*AI187)*VLOOKUP('1. SUMMARY'!$C$20,rate,Sheet1!T$21,0))</f>
        <v>0</v>
      </c>
      <c r="AJ188" s="415">
        <f>IF(AJ187=0,0,((+$G67/$AZ187)*AJ187)*VLOOKUP('1. SUMMARY'!$C$20,rate,Sheet1!U$21,0))</f>
        <v>0</v>
      </c>
      <c r="AK188" s="415">
        <f>IF(AK187=0,0,((+$G67/$AZ187)*AK187)*VLOOKUP('1. SUMMARY'!$C$20,rate,Sheet1!V$21,0))</f>
        <v>0</v>
      </c>
      <c r="AL188" s="415">
        <f>IF(AL187=0,0,((+$G67/$AZ187)*AL187)*VLOOKUP('1. SUMMARY'!$C$20,rate,Sheet1!W$21,0))</f>
        <v>0</v>
      </c>
      <c r="AM188" s="415">
        <f>IF(AM187=0,0,((+$G67/$AZ187)*AM187)*VLOOKUP('1. SUMMARY'!$C$20,rate,Sheet1!X$21,0))</f>
        <v>0</v>
      </c>
      <c r="AN188" s="415">
        <f>IF(AN187=0,0,((+$G67/$AZ187)*AN187)*VLOOKUP('1. SUMMARY'!$C$20,rate,Sheet1!Y$21,0))</f>
        <v>0</v>
      </c>
      <c r="AO188" s="415">
        <f>IF(AO187=0,0,((+$G67/$AZ187)*AO187)*VLOOKUP('1. SUMMARY'!$C$20,rate,Sheet1!Z$21,0))</f>
        <v>0</v>
      </c>
      <c r="AP188" s="415">
        <f>IF(AP187=0,0,((+$G67/$AZ187)*AP187)*VLOOKUP('1. SUMMARY'!$C$20,rate,Sheet1!AA$21,0))</f>
        <v>0</v>
      </c>
      <c r="AQ188" s="415">
        <f>IF(AQ187=0,0,((+$G67/$AZ187)*AQ187)*VLOOKUP('1. SUMMARY'!$C$20,rate,Sheet1!AB$21,0))</f>
        <v>0</v>
      </c>
      <c r="AR188" s="415">
        <f>IF(AR187=0,0,((+$G67/$AZ187)*AR187)*VLOOKUP('1. SUMMARY'!$C$20,rate,Sheet1!AC$21,0))</f>
        <v>0</v>
      </c>
      <c r="AS188" s="415">
        <f>IF(AS187=0,0,((+$G67/$AZ187)*AS187)*VLOOKUP('1. SUMMARY'!$C$20,rate,Sheet1!AD$21,0))</f>
        <v>0</v>
      </c>
      <c r="AT188" s="415">
        <f>IF(AT187=0,0,((+$G67/$AZ187)*AT187)*VLOOKUP('1. SUMMARY'!$C$20,rate,Sheet1!AE$21,0))</f>
        <v>0</v>
      </c>
      <c r="AU188" s="415">
        <f>IF(AU187=0,0,((+$G67/$AZ187)*AU187)*VLOOKUP('1. SUMMARY'!$C$20,rate,Sheet1!AF$21,0))</f>
        <v>0</v>
      </c>
      <c r="AV188" s="415">
        <f>IF(AV187=0,0,((+$G67/$AZ187)*AV187)*VLOOKUP('1. SUMMARY'!$C$20,rate,Sheet1!AG$21,0))</f>
        <v>0</v>
      </c>
      <c r="AW188" s="415">
        <f>IF(AW187=0,0,((+$G67/$AZ187)*AW187)*VLOOKUP('1. SUMMARY'!$C$20,rate,Sheet1!AH$21,0))</f>
        <v>0</v>
      </c>
      <c r="AX188" s="415">
        <f>IF(AX187=0,0,((+$G67/$AZ187)*AX187)*VLOOKUP('1. SUMMARY'!$C$20,rate,Sheet1!AI$21,0))</f>
        <v>0</v>
      </c>
      <c r="AY188" s="415">
        <f>IF(AY187=0,0,((+$G67/$AZ187)*AY187)*VLOOKUP('1. SUMMARY'!$C$20,rate,Sheet1!AJ$21,0))</f>
        <v>0</v>
      </c>
      <c r="AZ188" s="219">
        <f>SUM(AI188:AY188)</f>
        <v>0</v>
      </c>
    </row>
    <row r="189" spans="1:52" ht="12.75" customHeight="1">
      <c r="A189" s="216"/>
      <c r="B189" s="234"/>
      <c r="C189" s="234"/>
      <c r="D189" s="234"/>
      <c r="E189" s="234"/>
      <c r="F189" s="234"/>
      <c r="G189" s="234"/>
      <c r="H189" s="234"/>
      <c r="I189" s="234"/>
      <c r="J189" s="234"/>
      <c r="K189" s="234"/>
      <c r="L189" s="235"/>
      <c r="Q189" s="415">
        <f>+Q188/VLOOKUP('1. SUMMARY'!$C$20,rate,Sheet1!T$21,0)</f>
        <v>0</v>
      </c>
      <c r="R189" s="415">
        <f>+R188/VLOOKUP('1. SUMMARY'!$C$20,rate,Sheet1!U$21,0)</f>
        <v>0</v>
      </c>
      <c r="S189" s="415">
        <f>+S188/VLOOKUP('1. SUMMARY'!$C$20,rate,Sheet1!V$21,0)</f>
        <v>0</v>
      </c>
      <c r="T189" s="415">
        <f>+T188/VLOOKUP('1. SUMMARY'!$C$20,rate,Sheet1!W$21,0)</f>
        <v>0</v>
      </c>
      <c r="U189" s="415">
        <f>+U188/VLOOKUP('1. SUMMARY'!$C$20,rate,Sheet1!X$21,0)</f>
        <v>0</v>
      </c>
      <c r="V189" s="415">
        <f>+V188/VLOOKUP('1. SUMMARY'!$C$20,rate,Sheet1!Y$21,0)</f>
        <v>0</v>
      </c>
      <c r="W189" s="415">
        <f>+W188/VLOOKUP('1. SUMMARY'!$C$20,rate,Sheet1!Z$21,0)</f>
        <v>0</v>
      </c>
      <c r="X189" s="415">
        <f>+X188/VLOOKUP('1. SUMMARY'!$C$20,rate,Sheet1!AA$21,0)</f>
        <v>0</v>
      </c>
      <c r="Y189" s="415">
        <f>+Y188/VLOOKUP('1. SUMMARY'!$C$20,rate,Sheet1!AB$21,0)</f>
        <v>0</v>
      </c>
      <c r="Z189" s="415">
        <f>+Z188/VLOOKUP('1. SUMMARY'!$C$20,rate,Sheet1!AC$21,0)</f>
        <v>0</v>
      </c>
      <c r="AA189" s="415">
        <f>+AA188/VLOOKUP('1. SUMMARY'!$C$20,rate,Sheet1!AD$21,0)</f>
        <v>0</v>
      </c>
      <c r="AB189" s="415">
        <f>+AB188/VLOOKUP('1. SUMMARY'!$C$20,rate,Sheet1!AE$21,0)</f>
        <v>0</v>
      </c>
      <c r="AC189" s="415">
        <f>+AC188/VLOOKUP('1. SUMMARY'!$C$20,rate,Sheet1!AF$21,0)</f>
        <v>0</v>
      </c>
      <c r="AD189" s="415">
        <f>+AD188/VLOOKUP('1. SUMMARY'!$C$20,rate,Sheet1!AG$21,0)</f>
        <v>0</v>
      </c>
      <c r="AE189" s="415">
        <f>+AE188/VLOOKUP('1. SUMMARY'!$C$20,rate,Sheet1!AH$21,0)</f>
        <v>0</v>
      </c>
      <c r="AF189" s="415">
        <f>+AF188/VLOOKUP('1. SUMMARY'!$C$20,rate,Sheet1!AI$21,0)</f>
        <v>0</v>
      </c>
      <c r="AG189" s="415">
        <f>+AG188/VLOOKUP('1. SUMMARY'!$C$20,rate,Sheet1!AJ$21,0)</f>
        <v>0</v>
      </c>
      <c r="AH189" s="219"/>
      <c r="AI189" s="415"/>
      <c r="AJ189" s="415"/>
      <c r="AK189" s="415"/>
      <c r="AL189" s="415"/>
      <c r="AM189" s="415"/>
      <c r="AN189" s="415"/>
      <c r="AO189" s="415"/>
      <c r="AP189" s="415"/>
      <c r="AQ189" s="415"/>
      <c r="AR189" s="415"/>
      <c r="AS189" s="415"/>
      <c r="AT189" s="415"/>
      <c r="AU189" s="415"/>
      <c r="AV189" s="415"/>
      <c r="AW189" s="415"/>
      <c r="AX189" s="415"/>
      <c r="AY189" s="415"/>
      <c r="AZ189" s="219"/>
    </row>
    <row r="190" spans="1:52" ht="12.75" customHeight="1" thickBot="1">
      <c r="A190" s="236" t="s">
        <v>154</v>
      </c>
      <c r="B190" s="237">
        <f>SUM(B186:B188)</f>
        <v>0</v>
      </c>
      <c r="C190" s="237" t="str">
        <f>IF(C180="No Year 2","",SUM(C186:C188))</f>
        <v/>
      </c>
      <c r="D190" s="237" t="str">
        <f>IF(D180="No Year 3","",SUM(D186:D188))</f>
        <v/>
      </c>
      <c r="E190" s="237" t="str">
        <f>IF(E180="No Year 4","",SUM(E186:E188))</f>
        <v/>
      </c>
      <c r="F190" s="237" t="str">
        <f>IF(F180="No Year 5","",SUM(F186:F188))</f>
        <v/>
      </c>
      <c r="G190" s="237" t="str">
        <f>IF(G180="No Year 6","",SUM(G186:G188))</f>
        <v/>
      </c>
      <c r="H190" s="237" t="str">
        <f>IF(H180="No Year 7","",SUM(H186:H188))</f>
        <v/>
      </c>
      <c r="I190" s="237" t="str">
        <f>IF(I180="No Year 8","",SUM(I186:I188))</f>
        <v/>
      </c>
      <c r="J190" s="237" t="str">
        <f>IF(J180="No Year 9","",SUM(J186:J188))</f>
        <v/>
      </c>
      <c r="K190" s="237" t="str">
        <f>IF(K180="No Year 10","",SUM(K186:K188))</f>
        <v/>
      </c>
      <c r="L190" s="238">
        <f>SUM(B190:K190)</f>
        <v>0</v>
      </c>
      <c r="N190" s="86">
        <f>IF(L190&gt;0,1,0)</f>
        <v>0</v>
      </c>
      <c r="Q190" s="411">
        <f>Sheet1!$T$8</f>
        <v>44105</v>
      </c>
      <c r="R190" s="411">
        <f>Sheet1!$U$8</f>
        <v>44470</v>
      </c>
      <c r="S190" s="411">
        <f>Sheet1!$V$8</f>
        <v>44835</v>
      </c>
      <c r="T190" s="411">
        <f>Sheet1!$W$8</f>
        <v>45200</v>
      </c>
      <c r="U190" s="411">
        <f>Sheet1!$X$8</f>
        <v>45566</v>
      </c>
      <c r="V190" s="411">
        <f>Sheet1!$Y$8</f>
        <v>45931</v>
      </c>
      <c r="W190" s="411">
        <f>Sheet1!$Z$8</f>
        <v>46296</v>
      </c>
      <c r="X190" s="411">
        <f>Sheet1!$AA$8</f>
        <v>46661</v>
      </c>
      <c r="Y190" s="411">
        <f>Sheet1!$AB$8</f>
        <v>47027</v>
      </c>
      <c r="Z190" s="411">
        <f>Sheet1!$AC$8</f>
        <v>47392</v>
      </c>
      <c r="AA190" s="411">
        <f>$AA$5</f>
        <v>47757</v>
      </c>
      <c r="AB190" s="411">
        <f>$AB$5</f>
        <v>48122</v>
      </c>
      <c r="AC190" s="411">
        <f>$AC$5</f>
        <v>48488</v>
      </c>
      <c r="AD190" s="411">
        <f>$AD$5</f>
        <v>48853</v>
      </c>
      <c r="AE190" s="411">
        <f>$AE$5</f>
        <v>49218</v>
      </c>
      <c r="AF190" s="411">
        <f>$AF$5</f>
        <v>49583</v>
      </c>
      <c r="AG190" s="411">
        <f>$AG$5</f>
        <v>49949</v>
      </c>
      <c r="AH190" s="219"/>
      <c r="AI190" s="411">
        <f t="shared" ref="AI190:AR192" si="89">+Q190</f>
        <v>44105</v>
      </c>
      <c r="AJ190" s="411">
        <f t="shared" si="89"/>
        <v>44470</v>
      </c>
      <c r="AK190" s="411">
        <f t="shared" si="89"/>
        <v>44835</v>
      </c>
      <c r="AL190" s="411">
        <f t="shared" si="89"/>
        <v>45200</v>
      </c>
      <c r="AM190" s="411">
        <f t="shared" si="89"/>
        <v>45566</v>
      </c>
      <c r="AN190" s="411">
        <f t="shared" si="89"/>
        <v>45931</v>
      </c>
      <c r="AO190" s="411">
        <f t="shared" si="89"/>
        <v>46296</v>
      </c>
      <c r="AP190" s="411">
        <f t="shared" si="89"/>
        <v>46661</v>
      </c>
      <c r="AQ190" s="411">
        <f t="shared" si="89"/>
        <v>47027</v>
      </c>
      <c r="AR190" s="411">
        <f t="shared" si="89"/>
        <v>47392</v>
      </c>
      <c r="AS190" s="411">
        <f t="shared" ref="AS190:AY192" si="90">+AA190</f>
        <v>47757</v>
      </c>
      <c r="AT190" s="411">
        <f t="shared" si="90"/>
        <v>48122</v>
      </c>
      <c r="AU190" s="411">
        <f t="shared" si="90"/>
        <v>48488</v>
      </c>
      <c r="AV190" s="411">
        <f t="shared" si="90"/>
        <v>48853</v>
      </c>
      <c r="AW190" s="411">
        <f t="shared" si="90"/>
        <v>49218</v>
      </c>
      <c r="AX190" s="411">
        <f t="shared" si="90"/>
        <v>49583</v>
      </c>
      <c r="AY190" s="411">
        <f t="shared" si="90"/>
        <v>49949</v>
      </c>
      <c r="AZ190" s="219"/>
    </row>
    <row r="191" spans="1:52" ht="12.75" customHeight="1" thickTop="1">
      <c r="Q191" s="411">
        <f>Sheet1!$T$9</f>
        <v>44469</v>
      </c>
      <c r="R191" s="411">
        <f>Sheet1!$U$9</f>
        <v>44834</v>
      </c>
      <c r="S191" s="411">
        <f>Sheet1!$V$9</f>
        <v>45199</v>
      </c>
      <c r="T191" s="411">
        <f>Sheet1!$W$9</f>
        <v>45565</v>
      </c>
      <c r="U191" s="411">
        <f>Sheet1!$X$9</f>
        <v>45930</v>
      </c>
      <c r="V191" s="411">
        <f>Sheet1!$Y$9</f>
        <v>46295</v>
      </c>
      <c r="W191" s="411">
        <f>Sheet1!$Z$9</f>
        <v>46660</v>
      </c>
      <c r="X191" s="411">
        <f>Sheet1!$AA$9</f>
        <v>47026</v>
      </c>
      <c r="Y191" s="411">
        <f>Sheet1!$AB$9</f>
        <v>47391</v>
      </c>
      <c r="Z191" s="411">
        <f>Sheet1!$AC$9</f>
        <v>47756</v>
      </c>
      <c r="AA191" s="411">
        <f>$AA$6</f>
        <v>48121</v>
      </c>
      <c r="AB191" s="411">
        <f>$AB$6</f>
        <v>48487</v>
      </c>
      <c r="AC191" s="411">
        <f>$AC$6</f>
        <v>48852</v>
      </c>
      <c r="AD191" s="411">
        <f>$AD$6</f>
        <v>49217</v>
      </c>
      <c r="AE191" s="411">
        <f>$AE$6</f>
        <v>49582</v>
      </c>
      <c r="AF191" s="411">
        <f>$AF$6</f>
        <v>49948</v>
      </c>
      <c r="AG191" s="411">
        <f>$AG$6</f>
        <v>50313</v>
      </c>
      <c r="AH191" s="219"/>
      <c r="AI191" s="411">
        <f t="shared" si="89"/>
        <v>44469</v>
      </c>
      <c r="AJ191" s="411">
        <f t="shared" si="89"/>
        <v>44834</v>
      </c>
      <c r="AK191" s="411">
        <f t="shared" si="89"/>
        <v>45199</v>
      </c>
      <c r="AL191" s="411">
        <f t="shared" si="89"/>
        <v>45565</v>
      </c>
      <c r="AM191" s="411">
        <f t="shared" si="89"/>
        <v>45930</v>
      </c>
      <c r="AN191" s="411">
        <f t="shared" si="89"/>
        <v>46295</v>
      </c>
      <c r="AO191" s="411">
        <f t="shared" si="89"/>
        <v>46660</v>
      </c>
      <c r="AP191" s="411">
        <f t="shared" si="89"/>
        <v>47026</v>
      </c>
      <c r="AQ191" s="411">
        <f t="shared" si="89"/>
        <v>47391</v>
      </c>
      <c r="AR191" s="411">
        <f t="shared" si="89"/>
        <v>47756</v>
      </c>
      <c r="AS191" s="411">
        <f t="shared" si="90"/>
        <v>48121</v>
      </c>
      <c r="AT191" s="411">
        <f t="shared" si="90"/>
        <v>48487</v>
      </c>
      <c r="AU191" s="411">
        <f t="shared" si="90"/>
        <v>48852</v>
      </c>
      <c r="AV191" s="411">
        <f t="shared" si="90"/>
        <v>49217</v>
      </c>
      <c r="AW191" s="411">
        <f t="shared" si="90"/>
        <v>49582</v>
      </c>
      <c r="AX191" s="411">
        <f t="shared" si="90"/>
        <v>49948</v>
      </c>
      <c r="AY191" s="411">
        <f t="shared" si="90"/>
        <v>50313</v>
      </c>
      <c r="AZ191" s="219"/>
    </row>
    <row r="192" spans="1:52" ht="12.75" customHeight="1" thickBot="1">
      <c r="O192" s="207">
        <v>7</v>
      </c>
      <c r="Q192" s="412">
        <f>IF(IF(Q191&lt;$H$27,0,DATEDIF($H$27,Q191+1,"m"))&lt;0,0,IF(Q191&lt;$H$27,0,DATEDIF($H$27,Q191+1,"m")))</f>
        <v>0</v>
      </c>
      <c r="R192" s="412">
        <f>IF(IF(Q192=12,0,IF(R191&gt;$H$28,12-DATEDIF($H$28,R191+1,"m"),IF(R191&lt;$H$27,0,DATEDIF($H$27,R191+1,"m"))))&lt;0,0,IF(Q192=12,0,IF(R191&gt;$H$28,12-DATEDIF($H$28,R191+1,"m"),IF(R191&lt;$H$27,0,DATEDIF($H$27,R191+1,"m")))))</f>
        <v>0</v>
      </c>
      <c r="S192" s="412">
        <f>IF(IF(Q192+R192=12,0,IF(S191&gt;$H$28,12-DATEDIF($H$28,S191+1,"m"),IF(S191&lt;$H$27,0,DATEDIF($H$27,S191+1,"m"))))&lt;0,0,IF(Q192+R192=12,0,IF(S191&gt;$H$28,12-DATEDIF($H$28,S191+1,"m"),IF(S191&lt;$H$27,0,DATEDIF($H$27,S191+1,"m")))))</f>
        <v>0</v>
      </c>
      <c r="T192" s="412">
        <f>IF(IF(R192+S192+Q192=12,0,IF(T191&gt;$H$28,12-DATEDIF($H$28,T191+1,"m"),IF(T191&lt;$H$27,0,DATEDIF($H$27,T191+1,"m"))))&lt;0,0,IF(R192+S192+Q192=12,0,IF(T191&gt;$H$28,12-DATEDIF($H$28,T191+1,"m"),IF(T191&lt;$H$27,0,DATEDIF($H$27,T191+1,"m")))))</f>
        <v>0</v>
      </c>
      <c r="U192" s="412">
        <f>IF(IF(S192+T192+R192+Q192=12,0,IF(U191&gt;$H$28,12-DATEDIF($H$28,U191+1,"m"),IF(U191&lt;$H$27,0,DATEDIF($H$27,U191+1,"m"))))&lt;0,0,IF(S192+T192+R192+Q192=12,0,IF(U191&gt;$H$28,12-DATEDIF($H$28,U191+1,"m"),IF(U191&lt;$H$27,0,DATEDIF($H$27,U191+1,"m")))))</f>
        <v>0</v>
      </c>
      <c r="V192" s="412">
        <f>IF(IF(T192+U192+S192+R192+Q192=12,0,IF(V191&gt;$H$28,12-DATEDIF($H$28,V191+1,"m"),IF(V191&lt;$H$27,0,DATEDIF($H$27,V191+1,"m"))))&lt;0,0,IF(T192+U192+S192+R192+Q192=12,0,IF(V191&gt;$H$28,12-DATEDIF($H$28,V191+1,"m"),IF(V191&lt;$H$27,0,DATEDIF($H$27,V191+1,"m")))))</f>
        <v>0</v>
      </c>
      <c r="W192" s="412">
        <f>IF(IF(U192+V192+T192+S192+R192+Q192=12,0,IF(W191&gt;$H$28,12-DATEDIF($H$28,W191+1,"m"),IF(W191&lt;$H$27,0,DATEDIF($H$27,W191+1,"m"))))&lt;0,0,IF(U192+V192+T192+S192+R192+Q192=12,0,IF(W191&gt;$H$28,12-DATEDIF($H$28,W191+1,"m"),IF(W191&lt;$H$27,0,DATEDIF($H$27,W191+1,"m")))))</f>
        <v>0</v>
      </c>
      <c r="X192" s="412">
        <f>IF(IF(V192+W192+U192+T192+S192+R192+Q192=12,0,IF(X191&gt;$H$28,12-DATEDIF($H$28,X191+1,"m"),IF(X191&lt;$H$27,0,DATEDIF($H$27,X191+1,"m"))))&lt;0,0,IF(V192+W192+U192+T192+S192+R192+Q192=12,0,IF(X191&gt;$H$28,12-DATEDIF($H$28,X191+1,"m"),IF(X191&lt;$H$27,0,DATEDIF($H$27,X191+1,"m")))))</f>
        <v>0</v>
      </c>
      <c r="Y192" s="412">
        <f>IF(IF(W192+X192+V192+U192+T192+S192+R192+Q192=12,0,IF(Y191&gt;$H$28,12-DATEDIF($H$28,Y191+1,"m"),IF(Y191&lt;$H$27,0,DATEDIF($H$27,Y191+1,"m"))))&lt;0,0,IF(W192+X192+V192+U192+T192+S192+R192+Q192=12,0,IF(Y191&gt;$H$28,12-DATEDIF($H$28,Y191+1,"m"),IF(Y191&lt;$H$27,0,DATEDIF($H$27,Y191+1,"m")))))</f>
        <v>0</v>
      </c>
      <c r="Z192" s="412">
        <f>IF(IF(X192+Y192+W192+V192+U192+T192+S192+R192+Q192=12,0,IF(Z191&gt;$H$28,12-DATEDIF($H$28,Z191+1,"m"),IF(Z191&lt;$H$27,0,DATEDIF($H$27,Z191+1,"m"))))&lt;0,0,IF(X192+Y192+W192+V192+U192+T192+S192+R192+Q192=12,0,IF(Z191&gt;$H$28,12-DATEDIF($H$28,Z191+1,"m"),IF(Z191&lt;$H$27,0,DATEDIF($H$27,Z191+1,"m")))))</f>
        <v>0</v>
      </c>
      <c r="AA192" s="412">
        <f>IF(IF(Q192+R192+S192+Y192+Z192+X192+W192+V192+U192+T192=12,0,IF(AA191&gt;$H$28,12-DATEDIF($H$28,AA191+1,"m"),IF(AA191&lt;$H$27,0,DATEDIF($H$27,AA191+1,"m"))))&lt;0,0,IF(Q192+R192+S192+Y192+Z192+X192+W192+V192+U192+T192=12,0,IF(AA191&gt;$H$28,12-DATEDIF($H$28,AA191+1,"m"),IF(AA191&lt;$H$27,0,DATEDIF($H$27,AA191+1,"m")))))</f>
        <v>0</v>
      </c>
      <c r="AB192" s="412">
        <f>IF(IF(Q192+R192+S192+T192+Z192+AA192+Y192+X192+W192+V192+U192=12,0,IF(AB191&gt;$H$28,12-DATEDIF($H$28,AB191+1,"m"),IF(AB191&lt;$H$27,0,DATEDIF($H$27,AB191+1,"m"))))&lt;0,0,IF(Q192+R192+S192+T192+Z192+AA192+Y192+X192+W192+V192+U192=12,0,IF(AB191&gt;$H$28,12-DATEDIF($H$28,AB191+1,"m"),IF(AB191&lt;$H$27,0,DATEDIF($H$27,AB191+1,"m")))))</f>
        <v>0</v>
      </c>
      <c r="AC192" s="412">
        <f>IF(IF(Q192+R192+S192+T192+U192+AA192+AB192+Z192+Y192+X192+W192+V192=12,0,IF(AC191&gt;$H$28,12-DATEDIF($H$28,AC191+1,"m"),IF(AC191&lt;$H$27,0,DATEDIF($H$27,AC191+1,"m"))))&lt;0,0,IF(Q192+R192+S192+T192+U192+AA192+AB192+Z192+Y192+X192+W192+V192=12,0,IF(AC191&gt;$H$28,12-DATEDIF($H$28,AC191+1,"m"),IF(AC191&lt;$H$27,0,DATEDIF($H$27,AC191+1,"m")))))</f>
        <v>0</v>
      </c>
      <c r="AD192" s="412">
        <f>IF(IF(Q192+R192+S192+T192+U192+V192+AB192+AC192+AA192+Z192+Y192+X192+W192=12,0,IF(AD191&gt;$H$28,12-DATEDIF($H$28,AD191+1,"m"),IF(AD191&lt;$H$27,0,DATEDIF($H$27,AD191+1,"m"))))&lt;0,0,IF(Q192+R192+S192+T192+U192+V192+AB192+AC192+AA192+Z192+Y192+X192+W192=12,0,IF(AD191&gt;$H$28,12-DATEDIF($H$28,AD191+1,"m"),IF(AD191&lt;$H$27,0,DATEDIF($H$27,AD191+1,"m")))))</f>
        <v>0</v>
      </c>
      <c r="AE192" s="412">
        <f>IF(IF(Q192+R192+S192+T192+U192+V192+W192+AC192+AD192+AB192+AA192+Z192+Y192+X192=12,0,IF(AE191&gt;$H$28,12-DATEDIF($H$28,AE191+1,"m"),IF(AE191&lt;$H$27,0,DATEDIF($H$27,AE191+1,"m"))))&lt;0,0,IF(Q192+R192+S192+T192+U192+V192+W192+AC192+AD192+AB192+AA192+Z192+Y192+X192=12,0,IF(AE191&gt;$H$28,12-DATEDIF($H$28,AE191+1,"m"),IF(AE191&lt;$H$27,0,DATEDIF($H$27,AE191+1,"m")))))</f>
        <v>0</v>
      </c>
      <c r="AF192" s="412">
        <f>IF(IF(Q192+R192+S192+T192+U192+V192+W192+X192+AD192+AE192+AC192+AB192+AA192+Z192+Y192=12,0,IF(AF191&gt;$H$28,12-DATEDIF($H$28,AF191+1,"m"),IF(AF191&lt;$H$27,0,DATEDIF($H$27,AF191+1,"m"))))&lt;0,0,IF(Q192+R192+S192+T192+U192+V192+W192+X192+AD192+AE192+AC192+AB192+AA192+Z192+Y192=12,0,IF(AF191&gt;$H$28,12-DATEDIF($H$28,AF191+1,"m"),IF(AF191&lt;$H$27,0,DATEDIF($H$27,AF191+1,"m")))))</f>
        <v>0</v>
      </c>
      <c r="AG192" s="412">
        <f>IF(IF(Q192+R192+S192+T192+U192+V192+W192+X192+Y192+AE192+AF192+AD192+AC192+AB192+AA192+Z192=12,0,IF(AG191&gt;$H$28,12-DATEDIF($H$28,AG191+1,"m"),IF(AG191&lt;$H$27,0,DATEDIF($H$27,AG191+1,"m"))))&lt;0,0,IF(Q192+R192+S192+T192+U192+V192+W192+X192+Y192+AE192+AF192+AD192+AC192+AB192+AA192+Z192=12,0,IF(AG191&gt;$H$28,12-DATEDIF($H$28,AG191+1,"m"),IF(AG191&lt;$H$27,0,DATEDIF($H$27,AG191+1,"m")))))</f>
        <v>0</v>
      </c>
      <c r="AH192" s="423">
        <f>SUM(Q192:AG192)</f>
        <v>0</v>
      </c>
      <c r="AI192" s="412">
        <f t="shared" si="89"/>
        <v>0</v>
      </c>
      <c r="AJ192" s="412">
        <f t="shared" si="89"/>
        <v>0</v>
      </c>
      <c r="AK192" s="412">
        <f t="shared" si="89"/>
        <v>0</v>
      </c>
      <c r="AL192" s="412">
        <f t="shared" si="89"/>
        <v>0</v>
      </c>
      <c r="AM192" s="412">
        <f t="shared" si="89"/>
        <v>0</v>
      </c>
      <c r="AN192" s="412">
        <f t="shared" si="89"/>
        <v>0</v>
      </c>
      <c r="AO192" s="412">
        <f t="shared" si="89"/>
        <v>0</v>
      </c>
      <c r="AP192" s="412">
        <f t="shared" si="89"/>
        <v>0</v>
      </c>
      <c r="AQ192" s="412">
        <f t="shared" si="89"/>
        <v>0</v>
      </c>
      <c r="AR192" s="412">
        <f t="shared" si="89"/>
        <v>0</v>
      </c>
      <c r="AS192" s="412">
        <f t="shared" si="90"/>
        <v>0</v>
      </c>
      <c r="AT192" s="412">
        <f t="shared" si="90"/>
        <v>0</v>
      </c>
      <c r="AU192" s="412">
        <f t="shared" si="90"/>
        <v>0</v>
      </c>
      <c r="AV192" s="412">
        <f t="shared" si="90"/>
        <v>0</v>
      </c>
      <c r="AW192" s="412">
        <f t="shared" si="90"/>
        <v>0</v>
      </c>
      <c r="AX192" s="412">
        <f t="shared" si="90"/>
        <v>0</v>
      </c>
      <c r="AY192" s="412">
        <f t="shared" si="90"/>
        <v>0</v>
      </c>
      <c r="AZ192" s="219">
        <f>SUM(AI192:AY192)</f>
        <v>0</v>
      </c>
    </row>
    <row r="193" spans="1:52" ht="12.75" customHeight="1" thickTop="1">
      <c r="A193" s="212" t="s">
        <v>165</v>
      </c>
      <c r="B193" s="213"/>
      <c r="C193" s="213"/>
      <c r="D193" s="213"/>
      <c r="E193" s="213"/>
      <c r="F193" s="213"/>
      <c r="G193" s="213"/>
      <c r="H193" s="213"/>
      <c r="I193" s="213"/>
      <c r="J193" s="213"/>
      <c r="K193" s="213"/>
      <c r="L193" s="214"/>
      <c r="Q193" s="412">
        <f>IF(Q192=0,0,(IF(($B$67+$C$67+$D$67+$E$67+$F$67+$G$67+$H$67)&lt;=25000,(($H$67/+$AH192)*Q192)*VLOOKUP('1. SUMMARY'!$C$20,rate,Sheet1!T$21,0),((IF(($F$67+$B$67+$C$67+$D$67+$E$67+$G$67)&gt;=25000,0,(((25000-($B$67+$C$67+$D$67+$E$67+$F$67+$G$67))/+$AH192)*Q192)*(VLOOKUP('1. SUMMARY'!$C$20,rate,Sheet1!T$21,0))))))))</f>
        <v>0</v>
      </c>
      <c r="R193" s="412">
        <f>IF(R192=0,0,(IF(($B$67+$C$67+$D$67+$E$67+$F$67+$G$67+$H$67)&lt;=25000,(($H$67/+$AH192)*R192)*VLOOKUP('1. SUMMARY'!$C$20,rate,Sheet1!U$21,0),((IF(($F$67+$B$67+$C$67+$D$67+$E$67+$G$67)&gt;=25000,0,(((25000-($B$67+$C$67+$D$67+$E$67+$F$67+$G$67))/+$AH192)*R192)*(VLOOKUP('1. SUMMARY'!$C$20,rate,Sheet1!U$21,0))))))))</f>
        <v>0</v>
      </c>
      <c r="S193" s="412">
        <f>IF(S192=0,0,(IF(($B$67+$C$67+$D$67+$E$67+$F$67+$G$67+$H$67)&lt;=25000,(($H$67/+$AH192)*S192)*VLOOKUP('1. SUMMARY'!$C$20,rate,Sheet1!V$21,0),((IF(($F$67+$B$67+$C$67+$D$67+$E$67+$G$67)&gt;=25000,0,(((25000-($B$67+$C$67+$D$67+$E$67+$F$67+$G$67))/+$AH192)*S192)*(VLOOKUP('1. SUMMARY'!$C$20,rate,Sheet1!V$21,0))))))))</f>
        <v>0</v>
      </c>
      <c r="T193" s="412">
        <f>IF(T192=0,0,(IF(($B$67+$C$67+$D$67+$E$67+$F$67+$G$67+$H$67)&lt;=25000,(($H$67/+$AH192)*T192)*VLOOKUP('1. SUMMARY'!$C$20,rate,Sheet1!W$21,0),((IF(($F$67+$B$67+$C$67+$D$67+$E$67+$G$67)&gt;=25000,0,(((25000-($B$67+$C$67+$D$67+$E$67+$F$67+$G$67))/+$AH192)*T192)*(VLOOKUP('1. SUMMARY'!$C$20,rate,Sheet1!W$21,0))))))))</f>
        <v>0</v>
      </c>
      <c r="U193" s="412">
        <f>IF(U192=0,0,(IF(($B$67+$C$67+$D$67+$E$67+$F$67+$G$67+$H$67)&lt;=25000,(($H$67/+$AH192)*U192)*VLOOKUP('1. SUMMARY'!$C$20,rate,Sheet1!X$21,0),((IF(($F$67+$B$67+$C$67+$D$67+$E$67+$G$67)&gt;=25000,0,(((25000-($B$67+$C$67+$D$67+$E$67+$F$67+$G$67))/+$AH192)*U192)*(VLOOKUP('1. SUMMARY'!$C$20,rate,Sheet1!X$21,0))))))))</f>
        <v>0</v>
      </c>
      <c r="V193" s="412">
        <f>IF(V192=0,0,(IF(($B$67+$C$67+$D$67+$E$67+$F$67+$G$67+$H$67)&lt;=25000,(($H$67/+$AH192)*V192)*VLOOKUP('1. SUMMARY'!$C$20,rate,Sheet1!Y$21,0),((IF(($F$67+$B$67+$C$67+$D$67+$E$67+$G$67)&gt;=25000,0,(((25000-($B$67+$C$67+$D$67+$E$67+$F$67+$G$67))/+$AH192)*V192)*(VLOOKUP('1. SUMMARY'!$C$20,rate,Sheet1!Y$21,0))))))))</f>
        <v>0</v>
      </c>
      <c r="W193" s="412">
        <f>IF(W192=0,0,(IF(($B$67+$C$67+$D$67+$E$67+$F$67+$G$67+$H$67)&lt;=25000,(($H$67/+$AH192)*W192)*VLOOKUP('1. SUMMARY'!$C$20,rate,Sheet1!Z$21,0),((IF(($F$67+$B$67+$C$67+$D$67+$E$67+$G$67)&gt;=25000,0,(((25000-($B$67+$C$67+$D$67+$E$67+$F$67+$G$67))/+$AH192)*W192)*(VLOOKUP('1. SUMMARY'!$C$20,rate,Sheet1!Z$21,0))))))))</f>
        <v>0</v>
      </c>
      <c r="X193" s="412">
        <f>IF(X192=0,0,(IF(($B$67+$C$67+$D$67+$E$67+$F$67+$G$67+$H$67)&lt;=25000,(($H$67/+$AH192)*X192)*VLOOKUP('1. SUMMARY'!$C$20,rate,Sheet1!AA$21,0),((IF(($F$67+$B$67+$C$67+$D$67+$E$67+$G$67)&gt;=25000,0,(((25000-($B$67+$C$67+$D$67+$E$67+$F$67+$G$67))/+$AH192)*X192)*(VLOOKUP('1. SUMMARY'!$C$20,rate,Sheet1!AA$21,0))))))))</f>
        <v>0</v>
      </c>
      <c r="Y193" s="412">
        <f>IF(Y192=0,0,(IF(($B$67+$C$67+$D$67+$E$67+$F$67+$G$67+$H$67)&lt;=25000,(($H$67/+$AH192)*Y192)*VLOOKUP('1. SUMMARY'!$C$20,rate,Sheet1!AB$21,0),((IF(($F$67+$B$67+$C$67+$D$67+$E$67+$G$67)&gt;=25000,0,(((25000-($B$67+$C$67+$D$67+$E$67+$F$67+$G$67))/+$AH192)*Y192)*(VLOOKUP('1. SUMMARY'!$C$20,rate,Sheet1!AB$21,0))))))))</f>
        <v>0</v>
      </c>
      <c r="Z193" s="412">
        <f>IF(Z192=0,0,(IF(($B$67+$C$67+$D$67+$E$67+$F$67+$G$67+$H$67)&lt;=25000,(($H$67/+$AH192)*Z192)*VLOOKUP('1. SUMMARY'!$C$20,rate,Sheet1!AC$21,0),((IF(($F$67+$B$67+$C$67+$D$67+$E$67+$G$67)&gt;=25000,0,(((25000-($B$67+$C$67+$D$67+$E$67+$F$67+$G$67))/+$AH192)*Z192)*(VLOOKUP('1. SUMMARY'!$C$20,rate,Sheet1!AC$21,0))))))))</f>
        <v>0</v>
      </c>
      <c r="AA193" s="412">
        <f>IF(AA192=0,0,(IF(($B$67+$C$67+$D$67+$E$67+$F$67+$G$67+$H$67)&lt;=25000,(($H$67/+$AH192)*AA192)*VLOOKUP('1. SUMMARY'!$C$20,rate,Sheet1!AD$21,0),((IF(($F$67+$B$67+$C$67+$D$67+$E$67+$G$67)&gt;=25000,0,(((25000-($B$67+$C$67+$D$67+$E$67+$F$67+$G$67))/+$AH192)*AA192)*(VLOOKUP('1. SUMMARY'!$C$20,rate,Sheet1!AD$21,0))))))))</f>
        <v>0</v>
      </c>
      <c r="AB193" s="412">
        <f>IF(AB192=0,0,(IF(($B$67+$C$67+$D$67+$E$67+$F$67+$G$67+$H$67)&lt;=25000,(($H$67/+$AH192)*AB192)*VLOOKUP('1. SUMMARY'!$C$20,rate,Sheet1!AE$21,0),((IF(($F$67+$B$67+$C$67+$D$67+$E$67+$G$67)&gt;=25000,0,(((25000-($B$67+$C$67+$D$67+$E$67+$F$67+$G$67))/+$AH192)*AB192)*(VLOOKUP('1. SUMMARY'!$C$20,rate,Sheet1!AE$21,0))))))))</f>
        <v>0</v>
      </c>
      <c r="AC193" s="412">
        <f>IF(AC192=0,0,(IF(($B$67+$C$67+$D$67+$E$67+$F$67+$G$67+$H$67)&lt;=25000,(($H$67/+$AH192)*AC192)*VLOOKUP('1. SUMMARY'!$C$20,rate,Sheet1!AF$21,0),((IF(($F$67+$B$67+$C$67+$D$67+$E$67+$G$67)&gt;=25000,0,(((25000-($B$67+$C$67+$D$67+$E$67+$F$67+$G$67))/+$AH192)*AC192)*(VLOOKUP('1. SUMMARY'!$C$20,rate,Sheet1!AF$21,0))))))))</f>
        <v>0</v>
      </c>
      <c r="AD193" s="412">
        <f>IF(AD192=0,0,(IF(($B$67+$C$67+$D$67+$E$67+$F$67+$G$67+$H$67)&lt;=25000,(($H$67/+$AH192)*AD192)*VLOOKUP('1. SUMMARY'!$C$20,rate,Sheet1!AG$21,0),((IF(($F$67+$B$67+$C$67+$D$67+$E$67+$G$67)&gt;=25000,0,(((25000-($B$67+$C$67+$D$67+$E$67+$F$67+$G$67))/+$AH192)*AD192)*(VLOOKUP('1. SUMMARY'!$C$20,rate,Sheet1!AG$21,0))))))))</f>
        <v>0</v>
      </c>
      <c r="AE193" s="412">
        <f>IF(AE192=0,0,(IF(($B$67+$C$67+$D$67+$E$67+$F$67+$G$67+$H$67)&lt;=25000,(($H$67/+$AH192)*AE192)*VLOOKUP('1. SUMMARY'!$C$20,rate,Sheet1!AH$21,0),((IF(($F$67+$B$67+$C$67+$D$67+$E$67+$G$67)&gt;=25000,0,(((25000-($B$67+$C$67+$D$67+$E$67+$F$67+$G$67))/+$AH192)*AE192)*(VLOOKUP('1. SUMMARY'!$C$20,rate,Sheet1!AH$21,0))))))))</f>
        <v>0</v>
      </c>
      <c r="AF193" s="412">
        <f>IF(AF192=0,0,(IF(($B$67+$C$67+$D$67+$E$67+$F$67+$G$67+$H$67)&lt;=25000,(($H$67/+$AH192)*AF192)*VLOOKUP('1. SUMMARY'!$C$20,rate,Sheet1!AI$21,0),((IF(($F$67+$B$67+$C$67+$D$67+$E$67+$G$67)&gt;=25000,0,(((25000-($B$67+$C$67+$D$67+$E$67+$F$67+$G$67))/+$AH192)*AF192)*(VLOOKUP('1. SUMMARY'!$C$20,rate,Sheet1!AI$21,0))))))))</f>
        <v>0</v>
      </c>
      <c r="AG193" s="412">
        <f>IF(AG192=0,0,(IF(($B$67+$C$67+$D$67+$E$67+$F$67+$G$67+$H$67)&lt;=25000,(($H$67/+$AH192)*AG192)*VLOOKUP('1. SUMMARY'!$C$20,rate,Sheet1!AJ$21,0),((IF(($F$67+$B$67+$C$67+$D$67+$E$67+$G$67)&gt;=25000,0,(((25000-($B$67+$C$67+$D$67+$E$67+$F$67+$G$67))/+$AH192)*AG192)*(VLOOKUP('1. SUMMARY'!$C$20,rate,Sheet1!AJ$21,0))))))))</f>
        <v>0</v>
      </c>
      <c r="AH193" s="219">
        <f>SUM(Q193:AG193)</f>
        <v>0</v>
      </c>
      <c r="AI193" s="412">
        <f>IF(AI192=0,0,((+$H67/$AZ192)*AI192)*VLOOKUP('1. SUMMARY'!$C$20,rate,Sheet1!T$21,0))</f>
        <v>0</v>
      </c>
      <c r="AJ193" s="412">
        <f>IF(AJ192=0,0,((+$H67/$AZ192)*AJ192)*VLOOKUP('1. SUMMARY'!$C$20,rate,Sheet1!U$21,0))</f>
        <v>0</v>
      </c>
      <c r="AK193" s="412">
        <f>IF(AK192=0,0,((+$H67/$AZ192)*AK192)*VLOOKUP('1. SUMMARY'!$C$20,rate,Sheet1!V$21,0))</f>
        <v>0</v>
      </c>
      <c r="AL193" s="412">
        <f>IF(AL192=0,0,((+$H67/$AZ192)*AL192)*VLOOKUP('1. SUMMARY'!$C$20,rate,Sheet1!W$21,0))</f>
        <v>0</v>
      </c>
      <c r="AM193" s="412">
        <f>IF(AM192=0,0,((+$H67/$AZ192)*AM192)*VLOOKUP('1. SUMMARY'!$C$20,rate,Sheet1!X$21,0))</f>
        <v>0</v>
      </c>
      <c r="AN193" s="412">
        <f>IF(AN192=0,0,((+$H67/$AZ192)*AN192)*VLOOKUP('1. SUMMARY'!$C$20,rate,Sheet1!Y$21,0))</f>
        <v>0</v>
      </c>
      <c r="AO193" s="412">
        <f>IF(AO192=0,0,((+$H67/$AZ192)*AO192)*VLOOKUP('1. SUMMARY'!$C$20,rate,Sheet1!Z$21,0))</f>
        <v>0</v>
      </c>
      <c r="AP193" s="412">
        <f>IF(AP192=0,0,((+$H67/$AZ192)*AP192)*VLOOKUP('1. SUMMARY'!$C$20,rate,Sheet1!AA$21,0))</f>
        <v>0</v>
      </c>
      <c r="AQ193" s="412">
        <f>IF(AQ192=0,0,((+$H67/$AZ192)*AQ192)*VLOOKUP('1. SUMMARY'!$C$20,rate,Sheet1!AB$21,0))</f>
        <v>0</v>
      </c>
      <c r="AR193" s="412">
        <f>IF(AR192=0,0,((+$H67/$AZ192)*AR192)*VLOOKUP('1. SUMMARY'!$C$20,rate,Sheet1!AC$21,0))</f>
        <v>0</v>
      </c>
      <c r="AS193" s="412">
        <f>IF(AS192=0,0,((+$H67/$AZ192)*AS192)*VLOOKUP('1. SUMMARY'!$C$20,rate,Sheet1!AD$21,0))</f>
        <v>0</v>
      </c>
      <c r="AT193" s="412">
        <f>IF(AT192=0,0,((+$H67/$AZ192)*AT192)*VLOOKUP('1. SUMMARY'!$C$20,rate,Sheet1!AE$21,0))</f>
        <v>0</v>
      </c>
      <c r="AU193" s="412">
        <f>IF(AU192=0,0,((+$H67/$AZ192)*AU192)*VLOOKUP('1. SUMMARY'!$C$20,rate,Sheet1!AF$21,0))</f>
        <v>0</v>
      </c>
      <c r="AV193" s="412">
        <f>IF(AV192=0,0,((+$H67/$AZ192)*AV192)*VLOOKUP('1. SUMMARY'!$C$20,rate,Sheet1!AG$21,0))</f>
        <v>0</v>
      </c>
      <c r="AW193" s="412">
        <f>IF(AW192=0,0,((+$H67/$AZ192)*AW192)*VLOOKUP('1. SUMMARY'!$C$20,rate,Sheet1!AH$21,0))</f>
        <v>0</v>
      </c>
      <c r="AX193" s="412">
        <f>IF(AX192=0,0,((+$H67/$AZ192)*AX192)*VLOOKUP('1. SUMMARY'!$C$20,rate,Sheet1!AI$21,0))</f>
        <v>0</v>
      </c>
      <c r="AY193" s="412">
        <f>IF(AY192=0,0,((+$H67/$AZ192)*AY192)*VLOOKUP('1. SUMMARY'!$C$20,rate,Sheet1!AJ$21,0))</f>
        <v>0</v>
      </c>
      <c r="AZ193" s="219">
        <f>SUM(AI193:AY193)</f>
        <v>0</v>
      </c>
    </row>
    <row r="194" spans="1:52" ht="23.25" customHeight="1">
      <c r="A194" s="215" t="s">
        <v>149</v>
      </c>
      <c r="B194" s="575"/>
      <c r="C194" s="575"/>
      <c r="D194" s="575"/>
      <c r="E194" s="575"/>
      <c r="F194" s="575"/>
      <c r="G194" s="575"/>
      <c r="H194" s="575"/>
      <c r="I194" s="575"/>
      <c r="J194" s="575"/>
      <c r="K194" s="575"/>
      <c r="L194" s="576"/>
      <c r="Q194" s="412">
        <f>+Q193/VLOOKUP('1. SUMMARY'!$C$20,rate,Sheet1!T$21,0)</f>
        <v>0</v>
      </c>
      <c r="R194" s="412">
        <f>+R193/VLOOKUP('1. SUMMARY'!$C$20,rate,Sheet1!U$21,0)</f>
        <v>0</v>
      </c>
      <c r="S194" s="412">
        <f>+S193/VLOOKUP('1. SUMMARY'!$C$20,rate,Sheet1!V$21,0)</f>
        <v>0</v>
      </c>
      <c r="T194" s="412">
        <f>+T193/VLOOKUP('1. SUMMARY'!$C$20,rate,Sheet1!W$21,0)</f>
        <v>0</v>
      </c>
      <c r="U194" s="412">
        <f>+U193/VLOOKUP('1. SUMMARY'!$C$20,rate,Sheet1!X$21,0)</f>
        <v>0</v>
      </c>
      <c r="V194" s="412">
        <f>+V193/VLOOKUP('1. SUMMARY'!$C$20,rate,Sheet1!Y$21,0)</f>
        <v>0</v>
      </c>
      <c r="W194" s="412">
        <f>+W193/VLOOKUP('1. SUMMARY'!$C$20,rate,Sheet1!Z$21,0)</f>
        <v>0</v>
      </c>
      <c r="X194" s="412">
        <f>+X193/VLOOKUP('1. SUMMARY'!$C$20,rate,Sheet1!AA$21,0)</f>
        <v>0</v>
      </c>
      <c r="Y194" s="412">
        <f>+Y193/VLOOKUP('1. SUMMARY'!$C$20,rate,Sheet1!AB$21,0)</f>
        <v>0</v>
      </c>
      <c r="Z194" s="412">
        <f>+Z193/VLOOKUP('1. SUMMARY'!$C$20,rate,Sheet1!AC$21,0)</f>
        <v>0</v>
      </c>
      <c r="AA194" s="412">
        <f>+AA193/VLOOKUP('1. SUMMARY'!$C$20,rate,Sheet1!AD$21,0)</f>
        <v>0</v>
      </c>
      <c r="AB194" s="412">
        <f>+AB193/VLOOKUP('1. SUMMARY'!$C$20,rate,Sheet1!AE$21,0)</f>
        <v>0</v>
      </c>
      <c r="AC194" s="412">
        <f>+AC193/VLOOKUP('1. SUMMARY'!$C$20,rate,Sheet1!AF$21,0)</f>
        <v>0</v>
      </c>
      <c r="AD194" s="412">
        <f>+AD193/VLOOKUP('1. SUMMARY'!$C$20,rate,Sheet1!AG$21,0)</f>
        <v>0</v>
      </c>
      <c r="AE194" s="412">
        <f>+AE193/VLOOKUP('1. SUMMARY'!$C$20,rate,Sheet1!AH$21,0)</f>
        <v>0</v>
      </c>
      <c r="AF194" s="412">
        <f>+AF193/VLOOKUP('1. SUMMARY'!$C$20,rate,Sheet1!AI$21,0)</f>
        <v>0</v>
      </c>
      <c r="AG194" s="412">
        <f>+AG193/VLOOKUP('1. SUMMARY'!$C$20,rate,Sheet1!AJ$21,0)</f>
        <v>0</v>
      </c>
      <c r="AH194" s="219"/>
      <c r="AI194" s="412"/>
      <c r="AJ194" s="412"/>
      <c r="AK194" s="412"/>
      <c r="AL194" s="412"/>
      <c r="AM194" s="412"/>
      <c r="AN194" s="412"/>
      <c r="AO194" s="412"/>
      <c r="AP194" s="412"/>
      <c r="AQ194" s="412"/>
      <c r="AR194" s="412"/>
      <c r="AS194" s="412"/>
      <c r="AT194" s="412"/>
      <c r="AU194" s="412"/>
      <c r="AV194" s="412"/>
      <c r="AW194" s="412"/>
      <c r="AX194" s="412"/>
      <c r="AY194" s="412"/>
      <c r="AZ194" s="219"/>
    </row>
    <row r="195" spans="1:52" ht="12.75" customHeight="1">
      <c r="A195" s="216"/>
      <c r="B195" s="217"/>
      <c r="C195" s="217"/>
      <c r="D195" s="217"/>
      <c r="E195" s="217"/>
      <c r="F195" s="217"/>
      <c r="G195" s="217"/>
      <c r="H195" s="217"/>
      <c r="I195" s="217"/>
      <c r="J195" s="217"/>
      <c r="K195" s="217"/>
      <c r="L195" s="218"/>
      <c r="Q195" s="418">
        <f>Sheet1!$T$8</f>
        <v>44105</v>
      </c>
      <c r="R195" s="418">
        <f>Sheet1!$U$8</f>
        <v>44470</v>
      </c>
      <c r="S195" s="418">
        <f>Sheet1!$V$8</f>
        <v>44835</v>
      </c>
      <c r="T195" s="418">
        <f>Sheet1!$W$8</f>
        <v>45200</v>
      </c>
      <c r="U195" s="418">
        <f>Sheet1!$X$8</f>
        <v>45566</v>
      </c>
      <c r="V195" s="418">
        <f>Sheet1!$Y$8</f>
        <v>45931</v>
      </c>
      <c r="W195" s="418">
        <f>Sheet1!$Z$8</f>
        <v>46296</v>
      </c>
      <c r="X195" s="418">
        <f>Sheet1!$AA$8</f>
        <v>46661</v>
      </c>
      <c r="Y195" s="418">
        <f>Sheet1!$AB$8</f>
        <v>47027</v>
      </c>
      <c r="Z195" s="418">
        <f>Sheet1!$AC$8</f>
        <v>47392</v>
      </c>
      <c r="AA195" s="418">
        <f>$AA$5</f>
        <v>47757</v>
      </c>
      <c r="AB195" s="418">
        <f>$AB$5</f>
        <v>48122</v>
      </c>
      <c r="AC195" s="418">
        <f>$AC$5</f>
        <v>48488</v>
      </c>
      <c r="AD195" s="418">
        <f>$AD$5</f>
        <v>48853</v>
      </c>
      <c r="AE195" s="418">
        <f>$AE$5</f>
        <v>49218</v>
      </c>
      <c r="AF195" s="418">
        <f>$AF$5</f>
        <v>49583</v>
      </c>
      <c r="AG195" s="418">
        <f>$AG$5</f>
        <v>49949</v>
      </c>
      <c r="AH195" s="219"/>
      <c r="AI195" s="418">
        <f t="shared" ref="AI195:AR197" si="91">+Q195</f>
        <v>44105</v>
      </c>
      <c r="AJ195" s="418">
        <f t="shared" si="91"/>
        <v>44470</v>
      </c>
      <c r="AK195" s="418">
        <f t="shared" si="91"/>
        <v>44835</v>
      </c>
      <c r="AL195" s="418">
        <f t="shared" si="91"/>
        <v>45200</v>
      </c>
      <c r="AM195" s="418">
        <f t="shared" si="91"/>
        <v>45566</v>
      </c>
      <c r="AN195" s="418">
        <f t="shared" si="91"/>
        <v>45931</v>
      </c>
      <c r="AO195" s="418">
        <f t="shared" si="91"/>
        <v>46296</v>
      </c>
      <c r="AP195" s="418">
        <f t="shared" si="91"/>
        <v>46661</v>
      </c>
      <c r="AQ195" s="418">
        <f t="shared" si="91"/>
        <v>47027</v>
      </c>
      <c r="AR195" s="418">
        <f t="shared" si="91"/>
        <v>47392</v>
      </c>
      <c r="AS195" s="418">
        <f t="shared" ref="AS195:AY197" si="92">+AA195</f>
        <v>47757</v>
      </c>
      <c r="AT195" s="418">
        <f t="shared" si="92"/>
        <v>48122</v>
      </c>
      <c r="AU195" s="418">
        <f t="shared" si="92"/>
        <v>48488</v>
      </c>
      <c r="AV195" s="418">
        <f t="shared" si="92"/>
        <v>48853</v>
      </c>
      <c r="AW195" s="418">
        <f t="shared" si="92"/>
        <v>49218</v>
      </c>
      <c r="AX195" s="418">
        <f t="shared" si="92"/>
        <v>49583</v>
      </c>
      <c r="AY195" s="418">
        <f t="shared" si="92"/>
        <v>49949</v>
      </c>
      <c r="AZ195" s="211"/>
    </row>
    <row r="196" spans="1:52" ht="12.75" customHeight="1">
      <c r="A196" s="216"/>
      <c r="B196" s="175" t="s">
        <v>81</v>
      </c>
      <c r="C196" s="175" t="s">
        <v>82</v>
      </c>
      <c r="D196" s="175" t="s">
        <v>83</v>
      </c>
      <c r="E196" s="175" t="s">
        <v>84</v>
      </c>
      <c r="F196" s="175" t="s">
        <v>85</v>
      </c>
      <c r="G196" s="175" t="s">
        <v>86</v>
      </c>
      <c r="H196" s="175" t="s">
        <v>87</v>
      </c>
      <c r="I196" s="175" t="s">
        <v>224</v>
      </c>
      <c r="J196" s="175" t="s">
        <v>225</v>
      </c>
      <c r="K196" s="175" t="s">
        <v>226</v>
      </c>
      <c r="L196" s="220" t="s">
        <v>47</v>
      </c>
      <c r="Q196" s="418">
        <f>Sheet1!$T$9</f>
        <v>44469</v>
      </c>
      <c r="R196" s="418">
        <f>Sheet1!$U$9</f>
        <v>44834</v>
      </c>
      <c r="S196" s="418">
        <f>Sheet1!$V$9</f>
        <v>45199</v>
      </c>
      <c r="T196" s="418">
        <f>Sheet1!$W$9</f>
        <v>45565</v>
      </c>
      <c r="U196" s="418">
        <f>Sheet1!$X$9</f>
        <v>45930</v>
      </c>
      <c r="V196" s="418">
        <f>Sheet1!$Y$9</f>
        <v>46295</v>
      </c>
      <c r="W196" s="418">
        <f>Sheet1!$Z$9</f>
        <v>46660</v>
      </c>
      <c r="X196" s="418">
        <f>Sheet1!$AA$9</f>
        <v>47026</v>
      </c>
      <c r="Y196" s="418">
        <f>Sheet1!$AB$9</f>
        <v>47391</v>
      </c>
      <c r="Z196" s="418">
        <f>Sheet1!$AC$9</f>
        <v>47756</v>
      </c>
      <c r="AA196" s="418">
        <f>$AA$6</f>
        <v>48121</v>
      </c>
      <c r="AB196" s="418">
        <f>$AB$6</f>
        <v>48487</v>
      </c>
      <c r="AC196" s="418">
        <f>$AC$6</f>
        <v>48852</v>
      </c>
      <c r="AD196" s="418">
        <f>$AD$6</f>
        <v>49217</v>
      </c>
      <c r="AE196" s="418">
        <f>$AE$6</f>
        <v>49582</v>
      </c>
      <c r="AF196" s="418">
        <f>$AF$6</f>
        <v>49948</v>
      </c>
      <c r="AG196" s="418">
        <f>$AG$6</f>
        <v>50313</v>
      </c>
      <c r="AH196" s="219"/>
      <c r="AI196" s="418">
        <f t="shared" si="91"/>
        <v>44469</v>
      </c>
      <c r="AJ196" s="418">
        <f t="shared" si="91"/>
        <v>44834</v>
      </c>
      <c r="AK196" s="418">
        <f t="shared" si="91"/>
        <v>45199</v>
      </c>
      <c r="AL196" s="418">
        <f t="shared" si="91"/>
        <v>45565</v>
      </c>
      <c r="AM196" s="418">
        <f t="shared" si="91"/>
        <v>45930</v>
      </c>
      <c r="AN196" s="418">
        <f t="shared" si="91"/>
        <v>46295</v>
      </c>
      <c r="AO196" s="418">
        <f t="shared" si="91"/>
        <v>46660</v>
      </c>
      <c r="AP196" s="418">
        <f t="shared" si="91"/>
        <v>47026</v>
      </c>
      <c r="AQ196" s="418">
        <f t="shared" si="91"/>
        <v>47391</v>
      </c>
      <c r="AR196" s="418">
        <f t="shared" si="91"/>
        <v>47756</v>
      </c>
      <c r="AS196" s="418">
        <f t="shared" si="92"/>
        <v>48121</v>
      </c>
      <c r="AT196" s="418">
        <f t="shared" si="92"/>
        <v>48487</v>
      </c>
      <c r="AU196" s="418">
        <f t="shared" si="92"/>
        <v>48852</v>
      </c>
      <c r="AV196" s="418">
        <f t="shared" si="92"/>
        <v>49217</v>
      </c>
      <c r="AW196" s="418">
        <f t="shared" si="92"/>
        <v>49582</v>
      </c>
      <c r="AX196" s="418">
        <f t="shared" si="92"/>
        <v>49948</v>
      </c>
      <c r="AY196" s="418">
        <f t="shared" si="92"/>
        <v>50313</v>
      </c>
      <c r="AZ196" s="211"/>
    </row>
    <row r="197" spans="1:52" ht="12.75" customHeight="1">
      <c r="A197" s="221"/>
      <c r="B197" s="222">
        <f>'1. SUMMARY'!C17</f>
        <v>0</v>
      </c>
      <c r="C197" s="222" t="str">
        <f>IF(+B198+1&gt;'1. SUMMARY'!$C$18,"No "&amp;C196,+B198+1)</f>
        <v>No Year 2</v>
      </c>
      <c r="D197" s="222" t="str">
        <f>IF(C197="No "&amp;C196,"No "&amp;D196,IF(+C198+1&gt;'1. SUMMARY'!$C$18,"No "&amp;D196,+C198+1))</f>
        <v>No Year 3</v>
      </c>
      <c r="E197" s="222" t="str">
        <f>IF(D197="No "&amp;D196,"No "&amp;E196,IF(+D198+1&gt;'1. SUMMARY'!$C$18,"No "&amp;E196,+D198+1))</f>
        <v>No Year 4</v>
      </c>
      <c r="F197" s="222" t="str">
        <f>IF(E197="No "&amp;E196,"No "&amp;F196,IF(+E198+1&gt;'1. SUMMARY'!$C$18,"No "&amp;F196,+E198+1))</f>
        <v>No Year 5</v>
      </c>
      <c r="G197" s="222" t="str">
        <f>IF(F197="No "&amp;F196,"No "&amp;G196,IF(+F198+1&gt;'1. SUMMARY'!$C$18,"No "&amp;G196,+F198+1))</f>
        <v>No Year 6</v>
      </c>
      <c r="H197" s="222" t="str">
        <f>IF(G197="No "&amp;G196,"No "&amp;H196,IF(+G198+1&gt;'1. SUMMARY'!$C$18,"No "&amp;H196,+G198+1))</f>
        <v>No Year 7</v>
      </c>
      <c r="I197" s="222" t="str">
        <f>IF(H197="No "&amp;H196,"No "&amp;I196,IF(+H198+1&gt;'1. SUMMARY'!$C$18,"No "&amp;I196,+H198+1))</f>
        <v>No Year 8</v>
      </c>
      <c r="J197" s="222" t="str">
        <f>IF(I197="No "&amp;I196,"No "&amp;J196,IF(+I198+1&gt;'1. SUMMARY'!$C$18,"No "&amp;J196,+I198+1))</f>
        <v>No Year 9</v>
      </c>
      <c r="K197" s="222" t="str">
        <f>IF(J197="No "&amp;J196,"No "&amp;K196,IF(+J198+1&gt;'1. SUMMARY'!$C$18,"No "&amp;K196,+J198+1))</f>
        <v>No Year 10</v>
      </c>
      <c r="L197" s="223"/>
      <c r="O197" s="207">
        <v>8</v>
      </c>
      <c r="Q197" s="419">
        <f>IF(IF(Q196&lt;$I$27,0,DATEDIF($I$27,Q196+1,"m"))&lt;0,0,IF(Q196&lt;$I$27,0,DATEDIF($I$27,Q196+1,"m")))</f>
        <v>0</v>
      </c>
      <c r="R197" s="419">
        <f>IF(IF(Q197=12,0,IF(R196&gt;$I$28,12-DATEDIF($I$28,R196+1,"m"),IF(R196&lt;$I$27,0,DATEDIF($I$27,R196+1,"m"))))&lt;0,0,IF(Q197=12,0,IF(R196&gt;$I$28,12-DATEDIF($I$28,R196+1,"m"),IF(R196&lt;$I$27,0,DATEDIF($I$27,R196+1,"m")))))</f>
        <v>0</v>
      </c>
      <c r="S197" s="419">
        <f>IF(IF(Q197+R197=12,0,IF(S196&gt;$I$28,12-DATEDIF($I$28,S196+1,"m"),IF(S196&lt;$I$27,0,DATEDIF($I$27,S196+1,"m"))))&lt;0,0,IF(Q197+R197=12,0,IF(S196&gt;$I$28,12-DATEDIF($I$28,S196+1,"m"),IF(S196&lt;$I$27,0,DATEDIF($I$27,S196+1,"m")))))</f>
        <v>0</v>
      </c>
      <c r="T197" s="419">
        <f>IF(IF(R197+S197+Q197=12,0,IF(T196&gt;$I$28,12-DATEDIF($I$28,T196+1,"m"),IF(T196&lt;$I$27,0,DATEDIF($I$27,T196+1,"m"))))&lt;0,0,IF(R197+S197+Q197=12,0,IF(T196&gt;$I$28,12-DATEDIF($I$28,T196+1,"m"),IF(T196&lt;$I$27,0,DATEDIF($I$27,T196+1,"m")))))</f>
        <v>0</v>
      </c>
      <c r="U197" s="419">
        <f>IF(IF(S197+T197+R197+Q197=12,0,IF(U196&gt;$I$28,12-DATEDIF($I$28,U196+1,"m"),IF(U196&lt;$I$27,0,DATEDIF($I$27,U196+1,"m"))))&lt;0,0,IF(S197+T197+R197+Q197=12,0,IF(U196&gt;$I$28,12-DATEDIF($I$28,U196+1,"m"),IF(U196&lt;$I$27,0,DATEDIF($I$27,U196+1,"m")))))</f>
        <v>0</v>
      </c>
      <c r="V197" s="419">
        <f>IF(IF(T197+U197+S197+R197+Q197=12,0,IF(V196&gt;$I$28,12-DATEDIF($I$28,V196+1,"m"),IF(V196&lt;$I$27,0,DATEDIF($I$27,V196+1,"m"))))&lt;0,0,IF(T197+U197+S197+R197+Q197=12,0,IF(V196&gt;$I$28,12-DATEDIF($I$28,V196+1,"m"),IF(V196&lt;$I$27,0,DATEDIF($I$27,V196+1,"m")))))</f>
        <v>0</v>
      </c>
      <c r="W197" s="419">
        <f>IF(IF(U197+V197+T197+S197+R197+Q197=12,0,IF(W196&gt;$I$28,12-DATEDIF($I$28,W196+1,"m"),IF(W196&lt;$I$27,0,DATEDIF($I$27,W196+1,"m"))))&lt;0,0,IF(U197+V197+T197+S197+R197+Q197=12,0,IF(W196&gt;$I$28,12-DATEDIF($I$28,W196+1,"m"),IF(W196&lt;$I$27,0,DATEDIF($I$27,W196+1,"m")))))</f>
        <v>0</v>
      </c>
      <c r="X197" s="419">
        <f>IF(IF(V197+W197+U197+T197+S197+R197+Q197=12,0,IF(X196&gt;$I$28,12-DATEDIF($I$28,X196+1,"m"),IF(X196&lt;$I$27,0,DATEDIF($I$27,X196+1,"m"))))&lt;0,0,IF(V197+W197+U197+T197+S197+R197+Q197=12,0,IF(X196&gt;$I$28,12-DATEDIF($I$28,X196+1,"m"),IF(X196&lt;$I$27,0,DATEDIF($I$27,X196+1,"m")))))</f>
        <v>0</v>
      </c>
      <c r="Y197" s="419">
        <f>IF(IF(W197+X197+V197+U197+T197+S197+R197+Q197=12,0,IF(Y196&gt;$I$28,12-DATEDIF($I$28,Y196+1,"m"),IF(Y196&lt;$I$27,0,DATEDIF($I$27,Y196+1,"m"))))&lt;0,0,IF(W197+X197+V197+U197+T197+S197+R197+Q197=12,0,IF(Y196&gt;$I$28,12-DATEDIF($I$28,Y196+1,"m"),IF(Y196&lt;$I$27,0,DATEDIF($I$27,Y196+1,"m")))))</f>
        <v>0</v>
      </c>
      <c r="Z197" s="419">
        <f>IF(IF(X197+Y197+W197+V197+U197+T197+S197+R197+Q197=12,0,IF(Z196&gt;$I$28,12-DATEDIF($I$28,Z196+1,"m"),IF(Z196&lt;$I$27,0,DATEDIF($I$27,Z196+1,"m"))))&lt;0,0,IF(X197+Y197+W197+V197+U197+T197+S197+R197+Q197=12,0,IF(Z196&gt;$I$28,12-DATEDIF($I$28,Z196+1,"m"),IF(Z196&lt;$I$27,0,DATEDIF($I$27,Z196+1,"m")))))</f>
        <v>0</v>
      </c>
      <c r="AA197" s="419">
        <f>IF(IF(Q197+R197+S197+Y197+Z197+X197+W197+V197+U197+T197=12,0,IF(AA196&gt;$I$28,12-DATEDIF($I$28,AA196+1,"m"),IF(AA196&lt;$I$27,0,DATEDIF($I$27,AA196+1,"m"))))&lt;0,0,IF(Q197+R197+S197+Y197+Z197+X197+W197+V197+U197+T197=12,0,IF(AA196&gt;$I$28,12-DATEDIF($I$28,AA196+1,"m"),IF(AA196&lt;$I$27,0,DATEDIF($I$27,AA196+1,"m")))))</f>
        <v>0</v>
      </c>
      <c r="AB197" s="419">
        <f>IF(IF(Q197+R197+S197+T197+Z197+AA197+Y197+X197+W197+V197+U197=12,0,IF(AB196&gt;$I$28,12-DATEDIF($I$28,AB196+1,"m"),IF(AB196&lt;$I$27,0,DATEDIF($I$27,AB196+1,"m"))))&lt;0,0,IF(Q197+R197+S197+T197+Z197+AA197+Y197+X197+W197+V197+U197=12,0,IF(AB196&gt;$I$28,12-DATEDIF($I$28,AB196+1,"m"),IF(AB196&lt;$I$27,0,DATEDIF($I$27,AB196+1,"m")))))</f>
        <v>0</v>
      </c>
      <c r="AC197" s="419">
        <f>IF(IF(Q197+R197+S197+T197+U197+AA197+AB197+Z197+Y197+X197+W197+V197=12,0,IF(AC196&gt;$I$28,12-DATEDIF($I$28,AC196+1,"m"),IF(AC196&lt;$I$27,0,DATEDIF($I$27,AC196+1,"m"))))&lt;0,0,IF(Q197+R197+S197+T197+U197+AA197+AB197+Z197+Y197+X197+W197+V197=12,0,IF(AC196&gt;$I$28,12-DATEDIF($I$28,AC196+1,"m"),IF(AC196&lt;$I$27,0,DATEDIF($I$27,AC196+1,"m")))))</f>
        <v>0</v>
      </c>
      <c r="AD197" s="419">
        <f>IF(IF(Q197+R197+S197+T197+U197+V197+AB197+AC197+AA197+Z197+Y197+X197+W197=12,0,IF(AD196&gt;$I$28,12-DATEDIF($I$28,AD196+1,"m"),IF(AD196&lt;$I$27,0,DATEDIF($I$27,AD196+1,"m"))))&lt;0,0,IF(Q197+R197+S197+T197+U197+V197+AB197+AC197+AA197+Z197+Y197+X197+W197=12,0,IF(AD196&gt;$I$28,12-DATEDIF($I$28,AD196+1,"m"),IF(AD196&lt;$I$27,0,DATEDIF($I$27,AD196+1,"m")))))</f>
        <v>0</v>
      </c>
      <c r="AE197" s="419">
        <f>IF(IF(Q197+R197+S197+T197+U197+V197+W197+AC197+AD197+AB197+AA197+Z197+Y197+X197=12,0,IF(AE196&gt;$I$28,12-DATEDIF($I$28,AE196+1,"m"),IF(AE196&lt;$I$27,0,DATEDIF($I$27,AE196+1,"m"))))&lt;0,0,IF(Q197+R197+S197+T197+U197+V197+W197+AC197+AD197+AB197+AA197+Z197+Y197+X197=12,0,IF(AE196&gt;$I$28,12-DATEDIF($I$28,AE196+1,"m"),IF(AE196&lt;$I$27,0,DATEDIF($I$27,AE196+1,"m")))))</f>
        <v>0</v>
      </c>
      <c r="AF197" s="419">
        <f>IF(IF(Q197+R197+S197+T197+U197+V197+W197+X197+AD197+AE197+AC197+AB197+AA197+Z197+Y197=12,0,IF(AF196&gt;$I$28,12-DATEDIF($I$28,AF196+1,"m"),IF(AF196&lt;$I$27,0,DATEDIF($I$27,AF196+1,"m"))))&lt;0,0,IF(Q197+R197+S197+T197+U197+V197+W197+X197+AD197+AE197+AC197+AB197+AA197+Z197+Y197=12,0,IF(AF196&gt;$I$28,12-DATEDIF($I$28,AF196+1,"m"),IF(AF196&lt;$I$27,0,DATEDIF($I$27,AF196+1,"m")))))</f>
        <v>0</v>
      </c>
      <c r="AG197" s="419">
        <f>IF(IF(Q197+R197+S197+T197+U197+V197+W197+X197+Y197+AE197+AF197+AD197+AC197+AB197+AA197+Z197=12,0,IF(AG196&gt;$I$28,12-DATEDIF($I$28,AG196+1,"m"),IF(AG196&lt;$I$27,0,DATEDIF($I$27,AG196+1,"m"))))&lt;0,0,IF(Q197+R197+S197+T197+U197+V197+W197+X197+Y197+AE197+AF197+AD197+AC197+AB197+AA197+Z197=12,0,IF(AG196&gt;$I$28,12-DATEDIF($I$28,AG196+1,"m"),IF(AG196&lt;$I$27,0,DATEDIF($I$27,AG196+1,"m")))))</f>
        <v>0</v>
      </c>
      <c r="AH197" s="423">
        <f>SUM(Q197:AG197)</f>
        <v>0</v>
      </c>
      <c r="AI197" s="419">
        <f t="shared" si="91"/>
        <v>0</v>
      </c>
      <c r="AJ197" s="419">
        <f t="shared" si="91"/>
        <v>0</v>
      </c>
      <c r="AK197" s="419">
        <f t="shared" si="91"/>
        <v>0</v>
      </c>
      <c r="AL197" s="419">
        <f t="shared" si="91"/>
        <v>0</v>
      </c>
      <c r="AM197" s="419">
        <f t="shared" si="91"/>
        <v>0</v>
      </c>
      <c r="AN197" s="419">
        <f t="shared" si="91"/>
        <v>0</v>
      </c>
      <c r="AO197" s="419">
        <f t="shared" si="91"/>
        <v>0</v>
      </c>
      <c r="AP197" s="419">
        <f t="shared" si="91"/>
        <v>0</v>
      </c>
      <c r="AQ197" s="419">
        <f t="shared" si="91"/>
        <v>0</v>
      </c>
      <c r="AR197" s="419">
        <f t="shared" si="91"/>
        <v>0</v>
      </c>
      <c r="AS197" s="419">
        <f t="shared" si="92"/>
        <v>0</v>
      </c>
      <c r="AT197" s="419">
        <f t="shared" si="92"/>
        <v>0</v>
      </c>
      <c r="AU197" s="419">
        <f t="shared" si="92"/>
        <v>0</v>
      </c>
      <c r="AV197" s="419">
        <f t="shared" si="92"/>
        <v>0</v>
      </c>
      <c r="AW197" s="419">
        <f t="shared" si="92"/>
        <v>0</v>
      </c>
      <c r="AX197" s="419">
        <f t="shared" si="92"/>
        <v>0</v>
      </c>
      <c r="AY197" s="419">
        <f t="shared" si="92"/>
        <v>0</v>
      </c>
      <c r="AZ197" s="219">
        <f>SUM(AI197:AY197)</f>
        <v>0</v>
      </c>
    </row>
    <row r="198" spans="1:52" ht="12.75" customHeight="1">
      <c r="A198" s="221"/>
      <c r="B198" s="224">
        <f>IF((DATE(YEAR(B197), MONTH(B197)+12, DAY(B197)-1))&lt;=('1. SUMMARY'!$C$18),DATE(YEAR(B197), MONTH(B197)+12, DAY(B197)-1),'1. SUMMARY'!$C$18)</f>
        <v>0</v>
      </c>
      <c r="C198" s="224" t="str">
        <f>IF(C197="No "&amp;C196,"No "&amp;C196,IF(B198='1. SUMMARY'!B183,"a",IF((DATE(YEAR(C197),MONTH(C197)+12,DAY(C197)-1))&lt;=('1. SUMMARY'!$C$18),DATE(YEAR(C197),MONTH(C197)+12,DAY(C197)-1),'1. SUMMARY'!$C$18)))</f>
        <v>No Year 2</v>
      </c>
      <c r="D198" s="224" t="str">
        <f>IF(D197="No "&amp;D196,"No "&amp;D196,IF(C198='1. SUMMARY'!C183,"a",IF((DATE(YEAR(D197),MONTH(D197)+12,DAY(D197)-1))&lt;=('1. SUMMARY'!$C$18),DATE(YEAR(D197),MONTH(D197)+12,DAY(D197)-1),'1. SUMMARY'!$C$18)))</f>
        <v>No Year 3</v>
      </c>
      <c r="E198" s="224" t="str">
        <f>IF(E197="No "&amp;E196,"No "&amp;E196,IF(D198='1. SUMMARY'!E183,"a",IF((DATE(YEAR(E197),MONTH(E197)+12,DAY(E197)-1))&lt;=('1. SUMMARY'!$C$18),DATE(YEAR(E197),MONTH(E197)+12,DAY(E197)-1),'1. SUMMARY'!$C$18)))</f>
        <v>No Year 4</v>
      </c>
      <c r="F198" s="224" t="str">
        <f>IF(F197="No "&amp;F196,"No "&amp;F196,IF(E198='1. SUMMARY'!F183,"a",IF((DATE(YEAR(F197),MONTH(F197)+12,DAY(F197)-1))&lt;=('1. SUMMARY'!$C$18),DATE(YEAR(F197),MONTH(F197)+12,DAY(F197)-1),'1. SUMMARY'!$C$18)))</f>
        <v>No Year 5</v>
      </c>
      <c r="G198" s="224" t="str">
        <f>IF(G197="No "&amp;G196,"No "&amp;G196,IF(F198='1. SUMMARY'!G183,"a",IF((DATE(YEAR(G197),MONTH(G197)+12,DAY(G197)-1))&lt;=('1. SUMMARY'!$C$18),DATE(YEAR(G197),MONTH(G197)+12,DAY(G197)-1),'1. SUMMARY'!$C$18)))</f>
        <v>No Year 6</v>
      </c>
      <c r="H198" s="224" t="str">
        <f>IF(H197="No "&amp;H196,"No "&amp;H196,IF(G198='1. SUMMARY'!H183,"a",IF((DATE(YEAR(H197),MONTH(H197)+12,DAY(H197)-1))&lt;=('1. SUMMARY'!$C$18),DATE(YEAR(H197),MONTH(H197)+12,DAY(H197)-1),'1. SUMMARY'!$C$18)))</f>
        <v>No Year 7</v>
      </c>
      <c r="I198" s="224" t="str">
        <f>IF(I197="No "&amp;I196,"No "&amp;I196,IF(H198='1. SUMMARY'!N183,"a",IF((DATE(YEAR(I197),MONTH(I197)+12,DAY(I197)-1))&lt;=('1. SUMMARY'!$C$18),DATE(YEAR(I197),MONTH(I197)+12,DAY(I197)-1),'1. SUMMARY'!$C$18)))</f>
        <v>No Year 8</v>
      </c>
      <c r="J198" s="224" t="str">
        <f>IF(J197="No "&amp;J196,"No "&amp;J196,IF(I198='1. SUMMARY'!O183,"a",IF((DATE(YEAR(J197),MONTH(J197)+12,DAY(J197)-1))&lt;=('1. SUMMARY'!$C$18),DATE(YEAR(J197),MONTH(J197)+12,DAY(J197)-1),'1. SUMMARY'!$C$18)))</f>
        <v>No Year 9</v>
      </c>
      <c r="K198" s="224" t="str">
        <f>IF(K197="No "&amp;K196,"No "&amp;K196,IF(J198='1. SUMMARY'!P181,"a",IF((DATE(YEAR(K197),MONTH(K197)+12,DAY(K197)-1))&lt;=('1. SUMMARY'!$C$18),DATE(YEAR(K197),MONTH(K197)+12,DAY(K197)-1),'1. SUMMARY'!$C$18)))</f>
        <v>No Year 10</v>
      </c>
      <c r="L198" s="218"/>
      <c r="Q198" s="419">
        <f>IF(Q197=0,0,(IF(($B$67+$C$67+$D$67+$E$67+$F$67+$G$67+$H$67+$I$67)&lt;=25000,(($I$67/+$AH197)*Q197)*VLOOKUP('1. SUMMARY'!$C$20,rate,Sheet1!T$21,0),((IF(($F$67+$B$67+$C$67+$D$67+$E$67+$G$67+$H$67)&gt;=25000,0,(((25000-($B$67+$C$67+$D$67+$E$67+$F$67+$G$67+$H$67))/+$AH197)*Q197)*(VLOOKUP('1. SUMMARY'!$C$20,rate,Sheet1!T$21,0))))))))</f>
        <v>0</v>
      </c>
      <c r="R198" s="419">
        <f>IF(R197=0,0,(IF(($B$67+$C$67+$D$67+$E$67+$F$67+$G$67+$H$67+$I$67)&lt;=25000,(($I$67/+$AH197)*R197)*VLOOKUP('1. SUMMARY'!$C$20,rate,Sheet1!U$21,0),((IF(($F$67+$B$67+$C$67+$D$67+$E$67+$G$67+$H$67)&gt;=25000,0,(((25000-($B$67+$C$67+$D$67+$E$67+$F$67+$G$67+$H$67))/+$AH197)*R197)*(VLOOKUP('1. SUMMARY'!$C$20,rate,Sheet1!U$21,0))))))))</f>
        <v>0</v>
      </c>
      <c r="S198" s="419">
        <f>IF(S197=0,0,(IF(($B$67+$C$67+$D$67+$E$67+$F$67+$G$67+$H$67+$I$67)&lt;=25000,(($I$67/+$AH197)*S197)*VLOOKUP('1. SUMMARY'!$C$20,rate,Sheet1!V$21,0),((IF(($F$67+$B$67+$C$67+$D$67+$E$67+$G$67+$H$67)&gt;=25000,0,(((25000-($B$67+$C$67+$D$67+$E$67+$F$67+$G$67+$H$67))/+$AH197)*S197)*(VLOOKUP('1. SUMMARY'!$C$20,rate,Sheet1!V$21,0))))))))</f>
        <v>0</v>
      </c>
      <c r="T198" s="419">
        <f>IF(T197=0,0,(IF(($B$67+$C$67+$D$67+$E$67+$F$67+$G$67+$H$67+$I$67)&lt;=25000,(($I$67/+$AH197)*T197)*VLOOKUP('1. SUMMARY'!$C$20,rate,Sheet1!W$21,0),((IF(($F$67+$B$67+$C$67+$D$67+$E$67+$G$67+$H$67)&gt;=25000,0,(((25000-($B$67+$C$67+$D$67+$E$67+$F$67+$G$67+$H$67))/+$AH197)*T197)*(VLOOKUP('1. SUMMARY'!$C$20,rate,Sheet1!W$21,0))))))))</f>
        <v>0</v>
      </c>
      <c r="U198" s="419">
        <f>IF(U197=0,0,(IF(($B$67+$C$67+$D$67+$E$67+$F$67+$G$67+$H$67+$I$67)&lt;=25000,(($I$67/+$AH197)*U197)*VLOOKUP('1. SUMMARY'!$C$20,rate,Sheet1!X$21,0),((IF(($F$67+$B$67+$C$67+$D$67+$E$67+$G$67+$H$67)&gt;=25000,0,(((25000-($B$67+$C$67+$D$67+$E$67+$F$67+$G$67+$H$67))/+$AH197)*U197)*(VLOOKUP('1. SUMMARY'!$C$20,rate,Sheet1!X$21,0))))))))</f>
        <v>0</v>
      </c>
      <c r="V198" s="419">
        <f>IF(V197=0,0,(IF(($B$67+$C$67+$D$67+$E$67+$F$67+$G$67+$H$67+$I$67)&lt;=25000,(($I$67/+$AH197)*V197)*VLOOKUP('1. SUMMARY'!$C$20,rate,Sheet1!Y$21,0),((IF(($F$67+$B$67+$C$67+$D$67+$E$67+$G$67+$H$67)&gt;=25000,0,(((25000-($B$67+$C$67+$D$67+$E$67+$F$67+$G$67+$H$67))/+$AH197)*V197)*(VLOOKUP('1. SUMMARY'!$C$20,rate,Sheet1!Y$21,0))))))))</f>
        <v>0</v>
      </c>
      <c r="W198" s="419">
        <f>IF(W197=0,0,(IF(($B$67+$C$67+$D$67+$E$67+$F$67+$G$67+$H$67+$I$67)&lt;=25000,(($I$67/+$AH197)*W197)*VLOOKUP('1. SUMMARY'!$C$20,rate,Sheet1!Z$21,0),((IF(($F$67+$B$67+$C$67+$D$67+$E$67+$G$67+$H$67)&gt;=25000,0,(((25000-($B$67+$C$67+$D$67+$E$67+$F$67+$G$67+$H$67))/+$AH197)*W197)*(VLOOKUP('1. SUMMARY'!$C$20,rate,Sheet1!Z$21,0))))))))</f>
        <v>0</v>
      </c>
      <c r="X198" s="419">
        <f>IF(X197=0,0,(IF(($B$67+$C$67+$D$67+$E$67+$F$67+$G$67+$H$67+$I$67)&lt;=25000,(($I$67/+$AH197)*X197)*VLOOKUP('1. SUMMARY'!$C$20,rate,Sheet1!AA$21,0),((IF(($F$67+$B$67+$C$67+$D$67+$E$67+$G$67+$H$67)&gt;=25000,0,(((25000-($B$67+$C$67+$D$67+$E$67+$F$67+$G$67+$H$67))/+$AH197)*X197)*(VLOOKUP('1. SUMMARY'!$C$20,rate,Sheet1!AA$21,0))))))))</f>
        <v>0</v>
      </c>
      <c r="Y198" s="419">
        <f>IF(Y197=0,0,(IF(($B$67+$C$67+$D$67+$E$67+$F$67+$G$67+$H$67+$I$67)&lt;=25000,(($I$67/+$AH197)*Y197)*VLOOKUP('1. SUMMARY'!$C$20,rate,Sheet1!AB$21,0),((IF(($F$67+$B$67+$C$67+$D$67+$E$67+$G$67+$H$67)&gt;=25000,0,(((25000-($B$67+$C$67+$D$67+$E$67+$F$67+$G$67+$H$67))/+$AH197)*Y197)*(VLOOKUP('1. SUMMARY'!$C$20,rate,Sheet1!AB$21,0))))))))</f>
        <v>0</v>
      </c>
      <c r="Z198" s="419">
        <f>IF(Z197=0,0,(IF(($B$67+$C$67+$D$67+$E$67+$F$67+$G$67+$H$67+$I$67)&lt;=25000,(($I$67/+$AH197)*Z197)*VLOOKUP('1. SUMMARY'!$C$20,rate,Sheet1!AC$21,0),((IF(($F$67+$B$67+$C$67+$D$67+$E$67+$G$67+$H$67)&gt;=25000,0,(((25000-($B$67+$C$67+$D$67+$E$67+$F$67+$G$67+$H$67))/+$AH197)*Z197)*(VLOOKUP('1. SUMMARY'!$C$20,rate,Sheet1!AC$21,0))))))))</f>
        <v>0</v>
      </c>
      <c r="AA198" s="419">
        <f>IF(AA197=0,0,(IF(($B$67+$C$67+$D$67+$E$67+$F$67+$G$67+$H$67+$I$67)&lt;=25000,(($I$67/+$AH197)*AA197)*VLOOKUP('1. SUMMARY'!$C$20,rate,Sheet1!AD$21,0),((IF(($F$67+$B$67+$C$67+$D$67+$E$67+$G$67+$H$67)&gt;=25000,0,(((25000-($B$67+$C$67+$D$67+$E$67+$F$67+$G$67+$H$67))/+$AH197)*AA197)*(VLOOKUP('1. SUMMARY'!$C$20,rate,Sheet1!AD$21,0))))))))</f>
        <v>0</v>
      </c>
      <c r="AB198" s="419">
        <f>IF(AB197=0,0,(IF(($B$67+$C$67+$D$67+$E$67+$F$67+$G$67+$H$67+$I$67)&lt;=25000,(($I$67/+$AH197)*AB197)*VLOOKUP('1. SUMMARY'!$C$20,rate,Sheet1!AE$21,0),((IF(($F$67+$B$67+$C$67+$D$67+$E$67+$G$67+$H$67)&gt;=25000,0,(((25000-($B$67+$C$67+$D$67+$E$67+$F$67+$G$67+$H$67))/+$AH197)*AB197)*(VLOOKUP('1. SUMMARY'!$C$20,rate,Sheet1!AE$21,0))))))))</f>
        <v>0</v>
      </c>
      <c r="AC198" s="419">
        <f>IF(AC197=0,0,(IF(($B$67+$C$67+$D$67+$E$67+$F$67+$G$67+$H$67+$I$67)&lt;=25000,(($I$67/+$AH197)*AC197)*VLOOKUP('1. SUMMARY'!$C$20,rate,Sheet1!AF$21,0),((IF(($F$67+$B$67+$C$67+$D$67+$E$67+$G$67+$H$67)&gt;=25000,0,(((25000-($B$67+$C$67+$D$67+$E$67+$F$67+$G$67+$H$67))/+$AH197)*AC197)*(VLOOKUP('1. SUMMARY'!$C$20,rate,Sheet1!AF$21,0))))))))</f>
        <v>0</v>
      </c>
      <c r="AD198" s="419">
        <f>IF(AD197=0,0,(IF(($B$67+$C$67+$D$67+$E$67+$F$67+$G$67+$H$67+$I$67)&lt;=25000,(($I$67/+$AH197)*AD197)*VLOOKUP('1. SUMMARY'!$C$20,rate,Sheet1!AG$21,0),((IF(($F$67+$B$67+$C$67+$D$67+$E$67+$G$67+$H$67)&gt;=25000,0,(((25000-($B$67+$C$67+$D$67+$E$67+$F$67+$G$67+$H$67))/+$AH197)*AD197)*(VLOOKUP('1. SUMMARY'!$C$20,rate,Sheet1!AG$21,0))))))))</f>
        <v>0</v>
      </c>
      <c r="AE198" s="419">
        <f>IF(AE197=0,0,(IF(($B$67+$C$67+$D$67+$E$67+$F$67+$G$67+$H$67+$I$67)&lt;=25000,(($I$67/+$AH197)*AE197)*VLOOKUP('1. SUMMARY'!$C$20,rate,Sheet1!AH$21,0),((IF(($F$67+$B$67+$C$67+$D$67+$E$67+$G$67+$H$67)&gt;=25000,0,(((25000-($B$67+$C$67+$D$67+$E$67+$F$67+$G$67+$H$67))/+$AH197)*AE197)*(VLOOKUP('1. SUMMARY'!$C$20,rate,Sheet1!AH$21,0))))))))</f>
        <v>0</v>
      </c>
      <c r="AF198" s="419">
        <f>IF(AF197=0,0,(IF(($B$67+$C$67+$D$67+$E$67+$F$67+$G$67+$H$67+$I$67)&lt;=25000,(($I$67/+$AH197)*AF197)*VLOOKUP('1. SUMMARY'!$C$20,rate,Sheet1!AI$21,0),((IF(($F$67+$B$67+$C$67+$D$67+$E$67+$G$67+$H$67)&gt;=25000,0,(((25000-($B$67+$C$67+$D$67+$E$67+$F$67+$G$67+$H$67))/+$AH197)*AF197)*(VLOOKUP('1. SUMMARY'!$C$20,rate,Sheet1!AI$21,0))))))))</f>
        <v>0</v>
      </c>
      <c r="AG198" s="419">
        <f>IF(AG197=0,0,(IF(($B$67+$C$67+$D$67+$E$67+$F$67+$G$67+$H$67+$I$67)&lt;=25000,(($I$67/+$AH197)*AG197)*VLOOKUP('1. SUMMARY'!$C$20,rate,Sheet1!AJ$21,0),((IF(($F$67+$B$67+$C$67+$D$67+$E$67+$G$67+$H$67)&gt;=25000,0,(((25000-($B$67+$C$67+$D$67+$E$67+$F$67+$G$67+$H$67))/+$AH197)*AG197)*(VLOOKUP('1. SUMMARY'!$C$20,rate,Sheet1!AJ$21,0))))))))</f>
        <v>0</v>
      </c>
      <c r="AH198" s="219">
        <f>SUM(Q198:AG198)</f>
        <v>0</v>
      </c>
      <c r="AI198" s="419">
        <f>IF(AI197=0,0,((+$I67/$AZ197)*AI197)*VLOOKUP('1. SUMMARY'!$C$20,rate,Sheet1!T$21,0))</f>
        <v>0</v>
      </c>
      <c r="AJ198" s="419">
        <f>IF(AJ197=0,0,((+$I67/$AZ197)*AJ197)*VLOOKUP('1. SUMMARY'!$C$20,rate,Sheet1!U$21,0))</f>
        <v>0</v>
      </c>
      <c r="AK198" s="419">
        <f>IF(AK197=0,0,((+$I67/$AZ197)*AK197)*VLOOKUP('1. SUMMARY'!$C$20,rate,Sheet1!V$21,0))</f>
        <v>0</v>
      </c>
      <c r="AL198" s="419">
        <f>IF(AL197=0,0,((+$I67/$AZ197)*AL197)*VLOOKUP('1. SUMMARY'!$C$20,rate,Sheet1!W$21,0))</f>
        <v>0</v>
      </c>
      <c r="AM198" s="419">
        <f>IF(AM197=0,0,((+$I67/$AZ197)*AM197)*VLOOKUP('1. SUMMARY'!$C$20,rate,Sheet1!X$21,0))</f>
        <v>0</v>
      </c>
      <c r="AN198" s="419">
        <f>IF(AN197=0,0,((+$I67/$AZ197)*AN197)*VLOOKUP('1. SUMMARY'!$C$20,rate,Sheet1!Y$21,0))</f>
        <v>0</v>
      </c>
      <c r="AO198" s="419">
        <f>IF(AO197=0,0,((+$I67/$AZ197)*AO197)*VLOOKUP('1. SUMMARY'!$C$20,rate,Sheet1!Z$21,0))</f>
        <v>0</v>
      </c>
      <c r="AP198" s="419">
        <f>IF(AP197=0,0,((+$I67/$AZ197)*AP197)*VLOOKUP('1. SUMMARY'!$C$20,rate,Sheet1!AA$21,0))</f>
        <v>0</v>
      </c>
      <c r="AQ198" s="419">
        <f>IF(AQ197=0,0,((+$I67/$AZ197)*AQ197)*VLOOKUP('1. SUMMARY'!$C$20,rate,Sheet1!AB$21,0))</f>
        <v>0</v>
      </c>
      <c r="AR198" s="419">
        <f>IF(AR197=0,0,((+$I67/$AZ197)*AR197)*VLOOKUP('1. SUMMARY'!$C$20,rate,Sheet1!AC$21,0))</f>
        <v>0</v>
      </c>
      <c r="AS198" s="419">
        <f>IF(AS197=0,0,((+$I67/$AZ197)*AS197)*VLOOKUP('1. SUMMARY'!$C$20,rate,Sheet1!AD$21,0))</f>
        <v>0</v>
      </c>
      <c r="AT198" s="419">
        <f>IF(AT197=0,0,((+$I67/$AZ197)*AT197)*VLOOKUP('1. SUMMARY'!$C$20,rate,Sheet1!AE$21,0))</f>
        <v>0</v>
      </c>
      <c r="AU198" s="419">
        <f>IF(AU197=0,0,((+$I67/$AZ197)*AU197)*VLOOKUP('1. SUMMARY'!$C$20,rate,Sheet1!AF$21,0))</f>
        <v>0</v>
      </c>
      <c r="AV198" s="419">
        <f>IF(AV197=0,0,((+$I67/$AZ197)*AV197)*VLOOKUP('1. SUMMARY'!$C$20,rate,Sheet1!AG$21,0))</f>
        <v>0</v>
      </c>
      <c r="AW198" s="419">
        <f>IF(AW197=0,0,((+$I67/$AZ197)*AW197)*VLOOKUP('1. SUMMARY'!$C$20,rate,Sheet1!AH$21,0))</f>
        <v>0</v>
      </c>
      <c r="AX198" s="419">
        <f>IF(AX197=0,0,((+$I67/$AZ197)*AX197)*VLOOKUP('1. SUMMARY'!$C$20,rate,Sheet1!AI$21,0))</f>
        <v>0</v>
      </c>
      <c r="AY198" s="419">
        <f>IF(AY197=0,0,((+$I67/$AZ197)*AY197)*VLOOKUP('1. SUMMARY'!$C$20,rate,Sheet1!AJ$21,0))</f>
        <v>0</v>
      </c>
      <c r="AZ198" s="219">
        <f>SUM(AI198:AY198)</f>
        <v>0</v>
      </c>
    </row>
    <row r="199" spans="1:52" ht="12.75" customHeight="1">
      <c r="A199" s="216"/>
      <c r="B199" s="225"/>
      <c r="C199" s="225"/>
      <c r="D199" s="225"/>
      <c r="E199" s="225"/>
      <c r="F199" s="225"/>
      <c r="G199" s="225"/>
      <c r="H199" s="225"/>
      <c r="I199" s="225"/>
      <c r="J199" s="225"/>
      <c r="K199" s="225"/>
      <c r="L199" s="223"/>
      <c r="Q199" s="419">
        <f>+Q198/VLOOKUP('1. SUMMARY'!$C$20,rate,Sheet1!T$21,0)</f>
        <v>0</v>
      </c>
      <c r="R199" s="419">
        <f>+R198/VLOOKUP('1. SUMMARY'!$C$20,rate,Sheet1!U$21,0)</f>
        <v>0</v>
      </c>
      <c r="S199" s="419">
        <f>+S198/VLOOKUP('1. SUMMARY'!$C$20,rate,Sheet1!V$21,0)</f>
        <v>0</v>
      </c>
      <c r="T199" s="419">
        <f>+T198/VLOOKUP('1. SUMMARY'!$C$20,rate,Sheet1!W$21,0)</f>
        <v>0</v>
      </c>
      <c r="U199" s="419">
        <f>+U198/VLOOKUP('1. SUMMARY'!$C$20,rate,Sheet1!X$21,0)</f>
        <v>0</v>
      </c>
      <c r="V199" s="419">
        <f>+V198/VLOOKUP('1. SUMMARY'!$C$20,rate,Sheet1!Y$21,0)</f>
        <v>0</v>
      </c>
      <c r="W199" s="419">
        <f>+W198/VLOOKUP('1. SUMMARY'!$C$20,rate,Sheet1!Z$21,0)</f>
        <v>0</v>
      </c>
      <c r="X199" s="419">
        <f>+X198/VLOOKUP('1. SUMMARY'!$C$20,rate,Sheet1!AA$21,0)</f>
        <v>0</v>
      </c>
      <c r="Y199" s="419">
        <f>+Y198/VLOOKUP('1. SUMMARY'!$C$20,rate,Sheet1!AB$21,0)</f>
        <v>0</v>
      </c>
      <c r="Z199" s="419">
        <f>+Z198/VLOOKUP('1. SUMMARY'!$C$20,rate,Sheet1!AC$21,0)</f>
        <v>0</v>
      </c>
      <c r="AA199" s="419">
        <f>+AA198/VLOOKUP('1. SUMMARY'!$C$20,rate,Sheet1!AD$21,0)</f>
        <v>0</v>
      </c>
      <c r="AB199" s="419">
        <f>+AB198/VLOOKUP('1. SUMMARY'!$C$20,rate,Sheet1!AE$21,0)</f>
        <v>0</v>
      </c>
      <c r="AC199" s="419">
        <f>+AC198/VLOOKUP('1. SUMMARY'!$C$20,rate,Sheet1!AF$21,0)</f>
        <v>0</v>
      </c>
      <c r="AD199" s="419">
        <f>+AD198/VLOOKUP('1. SUMMARY'!$C$20,rate,Sheet1!AG$21,0)</f>
        <v>0</v>
      </c>
      <c r="AE199" s="419">
        <f>+AE198/VLOOKUP('1. SUMMARY'!$C$20,rate,Sheet1!AH$21,0)</f>
        <v>0</v>
      </c>
      <c r="AF199" s="419">
        <f>+AF198/VLOOKUP('1. SUMMARY'!$C$20,rate,Sheet1!AI$21,0)</f>
        <v>0</v>
      </c>
      <c r="AG199" s="419">
        <f>+AG198/VLOOKUP('1. SUMMARY'!$C$20,rate,Sheet1!AJ$21,0)</f>
        <v>0</v>
      </c>
      <c r="AH199" s="219"/>
      <c r="AI199" s="419"/>
      <c r="AJ199" s="419"/>
      <c r="AK199" s="419"/>
      <c r="AL199" s="419"/>
      <c r="AM199" s="419"/>
      <c r="AN199" s="419"/>
      <c r="AO199" s="419"/>
      <c r="AP199" s="419"/>
      <c r="AQ199" s="419"/>
      <c r="AR199" s="419"/>
      <c r="AS199" s="419"/>
      <c r="AT199" s="419"/>
      <c r="AU199" s="419"/>
      <c r="AV199" s="419"/>
      <c r="AW199" s="419"/>
      <c r="AX199" s="419"/>
      <c r="AY199" s="419"/>
      <c r="AZ199" s="219"/>
    </row>
    <row r="200" spans="1:52" ht="12.75" customHeight="1">
      <c r="A200" s="226" t="s">
        <v>150</v>
      </c>
      <c r="B200" s="227"/>
      <c r="C200" s="227"/>
      <c r="D200" s="227"/>
      <c r="E200" s="227"/>
      <c r="F200" s="227"/>
      <c r="G200" s="228"/>
      <c r="H200" s="228"/>
      <c r="I200" s="228"/>
      <c r="J200" s="228"/>
      <c r="K200" s="228"/>
      <c r="L200" s="229">
        <f>SUM(B200:K200)</f>
        <v>0</v>
      </c>
      <c r="Q200" s="416">
        <f>Sheet1!$T$8</f>
        <v>44105</v>
      </c>
      <c r="R200" s="416">
        <f>Sheet1!$U$8</f>
        <v>44470</v>
      </c>
      <c r="S200" s="416">
        <f>Sheet1!$V$8</f>
        <v>44835</v>
      </c>
      <c r="T200" s="416">
        <f>Sheet1!$W$8</f>
        <v>45200</v>
      </c>
      <c r="U200" s="416">
        <f>Sheet1!$X$8</f>
        <v>45566</v>
      </c>
      <c r="V200" s="416">
        <f>Sheet1!$Y$8</f>
        <v>45931</v>
      </c>
      <c r="W200" s="416">
        <f>Sheet1!$Z$8</f>
        <v>46296</v>
      </c>
      <c r="X200" s="416">
        <f>Sheet1!$AA$8</f>
        <v>46661</v>
      </c>
      <c r="Y200" s="416">
        <f>Sheet1!$AB$8</f>
        <v>47027</v>
      </c>
      <c r="Z200" s="416">
        <f>Sheet1!$AC$8</f>
        <v>47392</v>
      </c>
      <c r="AA200" s="416">
        <f>$AA$5</f>
        <v>47757</v>
      </c>
      <c r="AB200" s="416">
        <f>$AB$5</f>
        <v>48122</v>
      </c>
      <c r="AC200" s="416">
        <f>$AC$5</f>
        <v>48488</v>
      </c>
      <c r="AD200" s="416">
        <f>$AD$5</f>
        <v>48853</v>
      </c>
      <c r="AE200" s="416">
        <f>$AE$5</f>
        <v>49218</v>
      </c>
      <c r="AF200" s="416">
        <f>$AF$5</f>
        <v>49583</v>
      </c>
      <c r="AG200" s="416">
        <f>$AG$5</f>
        <v>49949</v>
      </c>
      <c r="AH200" s="219"/>
      <c r="AI200" s="416">
        <f t="shared" ref="AI200:AR202" si="93">+Q200</f>
        <v>44105</v>
      </c>
      <c r="AJ200" s="416">
        <f t="shared" si="93"/>
        <v>44470</v>
      </c>
      <c r="AK200" s="416">
        <f t="shared" si="93"/>
        <v>44835</v>
      </c>
      <c r="AL200" s="416">
        <f t="shared" si="93"/>
        <v>45200</v>
      </c>
      <c r="AM200" s="416">
        <f t="shared" si="93"/>
        <v>45566</v>
      </c>
      <c r="AN200" s="416">
        <f t="shared" si="93"/>
        <v>45931</v>
      </c>
      <c r="AO200" s="416">
        <f t="shared" si="93"/>
        <v>46296</v>
      </c>
      <c r="AP200" s="416">
        <f t="shared" si="93"/>
        <v>46661</v>
      </c>
      <c r="AQ200" s="416">
        <f t="shared" si="93"/>
        <v>47027</v>
      </c>
      <c r="AR200" s="416">
        <f t="shared" si="93"/>
        <v>47392</v>
      </c>
      <c r="AS200" s="416">
        <f t="shared" ref="AS200:AY202" si="94">+AA200</f>
        <v>47757</v>
      </c>
      <c r="AT200" s="416">
        <f t="shared" si="94"/>
        <v>48122</v>
      </c>
      <c r="AU200" s="416">
        <f t="shared" si="94"/>
        <v>48488</v>
      </c>
      <c r="AV200" s="416">
        <f t="shared" si="94"/>
        <v>48853</v>
      </c>
      <c r="AW200" s="416">
        <f t="shared" si="94"/>
        <v>49218</v>
      </c>
      <c r="AX200" s="416">
        <f t="shared" si="94"/>
        <v>49583</v>
      </c>
      <c r="AY200" s="416">
        <f t="shared" si="94"/>
        <v>49949</v>
      </c>
      <c r="AZ200" s="211"/>
    </row>
    <row r="201" spans="1:52" ht="12.75" customHeight="1">
      <c r="A201" s="221" t="s">
        <v>151</v>
      </c>
      <c r="B201" s="227"/>
      <c r="C201" s="227"/>
      <c r="D201" s="227"/>
      <c r="E201" s="227"/>
      <c r="F201" s="227"/>
      <c r="G201" s="228"/>
      <c r="H201" s="228"/>
      <c r="I201" s="228"/>
      <c r="J201" s="228"/>
      <c r="K201" s="228"/>
      <c r="L201" s="229">
        <f>SUM(B201:K201)</f>
        <v>0</v>
      </c>
      <c r="Q201" s="416">
        <f>Sheet1!$T$9</f>
        <v>44469</v>
      </c>
      <c r="R201" s="416">
        <f>Sheet1!$U$9</f>
        <v>44834</v>
      </c>
      <c r="S201" s="416">
        <f>Sheet1!$V$9</f>
        <v>45199</v>
      </c>
      <c r="T201" s="416">
        <f>Sheet1!$W$9</f>
        <v>45565</v>
      </c>
      <c r="U201" s="416">
        <f>Sheet1!$X$9</f>
        <v>45930</v>
      </c>
      <c r="V201" s="416">
        <f>Sheet1!$Y$9</f>
        <v>46295</v>
      </c>
      <c r="W201" s="416">
        <f>Sheet1!$Z$9</f>
        <v>46660</v>
      </c>
      <c r="X201" s="416">
        <f>Sheet1!$AA$9</f>
        <v>47026</v>
      </c>
      <c r="Y201" s="416">
        <f>Sheet1!$AB$9</f>
        <v>47391</v>
      </c>
      <c r="Z201" s="416">
        <f>Sheet1!$AC$9</f>
        <v>47756</v>
      </c>
      <c r="AA201" s="416">
        <f>$AA$6</f>
        <v>48121</v>
      </c>
      <c r="AB201" s="416">
        <f>$AB$6</f>
        <v>48487</v>
      </c>
      <c r="AC201" s="416">
        <f>$AC$6</f>
        <v>48852</v>
      </c>
      <c r="AD201" s="416">
        <f>$AD$6</f>
        <v>49217</v>
      </c>
      <c r="AE201" s="416">
        <f>$AE$6</f>
        <v>49582</v>
      </c>
      <c r="AF201" s="416">
        <f>$AF$6</f>
        <v>49948</v>
      </c>
      <c r="AG201" s="416">
        <f>$AG$6</f>
        <v>50313</v>
      </c>
      <c r="AH201" s="219"/>
      <c r="AI201" s="416">
        <f t="shared" si="93"/>
        <v>44469</v>
      </c>
      <c r="AJ201" s="416">
        <f t="shared" si="93"/>
        <v>44834</v>
      </c>
      <c r="AK201" s="416">
        <f t="shared" si="93"/>
        <v>45199</v>
      </c>
      <c r="AL201" s="416">
        <f t="shared" si="93"/>
        <v>45565</v>
      </c>
      <c r="AM201" s="416">
        <f t="shared" si="93"/>
        <v>45930</v>
      </c>
      <c r="AN201" s="416">
        <f t="shared" si="93"/>
        <v>46295</v>
      </c>
      <c r="AO201" s="416">
        <f t="shared" si="93"/>
        <v>46660</v>
      </c>
      <c r="AP201" s="416">
        <f t="shared" si="93"/>
        <v>47026</v>
      </c>
      <c r="AQ201" s="416">
        <f t="shared" si="93"/>
        <v>47391</v>
      </c>
      <c r="AR201" s="416">
        <f t="shared" si="93"/>
        <v>47756</v>
      </c>
      <c r="AS201" s="416">
        <f t="shared" si="94"/>
        <v>48121</v>
      </c>
      <c r="AT201" s="416">
        <f t="shared" si="94"/>
        <v>48487</v>
      </c>
      <c r="AU201" s="416">
        <f t="shared" si="94"/>
        <v>48852</v>
      </c>
      <c r="AV201" s="416">
        <f t="shared" si="94"/>
        <v>49217</v>
      </c>
      <c r="AW201" s="416">
        <f t="shared" si="94"/>
        <v>49582</v>
      </c>
      <c r="AX201" s="416">
        <f t="shared" si="94"/>
        <v>49948</v>
      </c>
      <c r="AY201" s="416">
        <f t="shared" si="94"/>
        <v>50313</v>
      </c>
      <c r="AZ201" s="211"/>
    </row>
    <row r="202" spans="1:52" ht="12.75" customHeight="1">
      <c r="A202" s="216"/>
      <c r="B202" s="217"/>
      <c r="C202" s="217"/>
      <c r="D202" s="217"/>
      <c r="E202" s="217"/>
      <c r="F202" s="217"/>
      <c r="G202" s="217"/>
      <c r="H202" s="217"/>
      <c r="I202" s="217"/>
      <c r="J202" s="217"/>
      <c r="K202" s="217"/>
      <c r="L202" s="218"/>
      <c r="O202" s="207">
        <v>9</v>
      </c>
      <c r="Q202" s="417">
        <f>IF(IF(Q201&lt;$J$27,0,DATEDIF($J$27,Q201+1,"m"))&lt;0,0,IF(Q201&lt;$J$27,0,DATEDIF($J$27,Q201+1,"m")))</f>
        <v>0</v>
      </c>
      <c r="R202" s="417">
        <f>IF(IF(Q202=12,0,IF(R201&gt;$J$28,12-DATEDIF($J$28,R201+1,"m"),IF(R201&lt;$J$27,0,DATEDIF($J$27,R201+1,"m"))))&lt;0,0,IF(Q202=12,0,IF(R201&gt;$J$28,12-DATEDIF($J$28,R201+1,"m"),IF(R201&lt;$J$27,0,DATEDIF($J$27,R201+1,"m")))))</f>
        <v>0</v>
      </c>
      <c r="S202" s="417">
        <f>IF(IF(Q202+R202=12,0,IF(S201&gt;$J$28,12-DATEDIF($J$28,S201+1,"m"),IF(S201&lt;$J$27,0,DATEDIF($J$27,S201+1,"m"))))&lt;0,0,IF(Q202+R202=12,0,IF(S201&gt;$J$28,12-DATEDIF($J$28,S201+1,"m"),IF(S201&lt;$J$27,0,DATEDIF($J$27,S201+1,"m")))))</f>
        <v>0</v>
      </c>
      <c r="T202" s="417">
        <f>IF(IF(R202+S202+Q202=12,0,IF(T201&gt;$J$28,12-DATEDIF($J$28,T201+1,"m"),IF(T201&lt;$J$27,0,DATEDIF($J$27,T201+1,"m"))))&lt;0,0,IF(R202+S202+Q202=12,0,IF(T201&gt;$J$28,12-DATEDIF($J$28,T201+1,"m"),IF(T201&lt;$J$27,0,DATEDIF($J$27,T201+1,"m")))))</f>
        <v>0</v>
      </c>
      <c r="U202" s="417">
        <f>IF(IF(S202+T202+R202+Q202=12,0,IF(U201&gt;$J$28,12-DATEDIF($J$28,U201+1,"m"),IF(U201&lt;$J$27,0,DATEDIF($J$27,U201+1,"m"))))&lt;0,0,IF(S202+T202+R202+Q202=12,0,IF(U201&gt;$J$28,12-DATEDIF($J$28,U201+1,"m"),IF(U201&lt;$J$27,0,DATEDIF($J$27,U201+1,"m")))))</f>
        <v>0</v>
      </c>
      <c r="V202" s="417">
        <f>IF(IF(T202+U202+S202+R202+Q202=12,0,IF(V201&gt;$J$28,12-DATEDIF($J$28,V201+1,"m"),IF(V201&lt;$J$27,0,DATEDIF($J$27,V201+1,"m"))))&lt;0,0,IF(T202+U202+S202+R202+Q202=12,0,IF(V201&gt;$J$28,12-DATEDIF($J$28,V201+1,"m"),IF(V201&lt;$J$27,0,DATEDIF($J$27,V201+1,"m")))))</f>
        <v>0</v>
      </c>
      <c r="W202" s="417">
        <f>IF(IF(U202+V202+T202+S202+R202+Q202=12,0,IF(W201&gt;$J$28,12-DATEDIF($J$28,W201+1,"m"),IF(W201&lt;$J$27,0,DATEDIF($J$27,W201+1,"m"))))&lt;0,0,IF(U202+V202+T202+S202+R202+Q202=12,0,IF(W201&gt;$J$28,12-DATEDIF($J$28,W201+1,"m"),IF(W201&lt;$J$27,0,DATEDIF($J$27,W201+1,"m")))))</f>
        <v>0</v>
      </c>
      <c r="X202" s="417">
        <f>IF(IF(V202+W202+U202+T202+S202+R202+Q202=12,0,IF(X201&gt;$J$28,12-DATEDIF($J$28,X201+1,"m"),IF(X201&lt;$J$27,0,DATEDIF($J$27,X201+1,"m"))))&lt;0,0,IF(V202+W202+U202+T202+S202+R202+Q202=12,0,IF(X201&gt;$J$28,12-DATEDIF($J$28,X201+1,"m"),IF(X201&lt;$J$27,0,DATEDIF($J$27,X201+1,"m")))))</f>
        <v>0</v>
      </c>
      <c r="Y202" s="417">
        <f>IF(IF(W202+X202+V202+U202+T202+S202+R202+Q202=12,0,IF(Y201&gt;$J$28,12-DATEDIF($J$28,Y201+1,"m"),IF(Y201&lt;$J$27,0,DATEDIF($J$27,Y201+1,"m"))))&lt;0,0,IF(W202+X202+V202+U202+T202+S202+R202+Q202=12,0,IF(Y201&gt;$J$28,12-DATEDIF($J$28,Y201+1,"m"),IF(Y201&lt;$J$27,0,DATEDIF($J$27,Y201+1,"m")))))</f>
        <v>0</v>
      </c>
      <c r="Z202" s="417">
        <f>IF(IF(X202+Y202+W202+V202+U202+T202+S202+R202+Q202=12,0,IF(Z201&gt;$J$28,12-DATEDIF($J$28,Z201+1,"m"),IF(Z201&lt;$J$27,0,DATEDIF($J$27,Z201+1,"m"))))&lt;0,0,IF(X202+Y202+W202+V202+U202+T202+S202+R202+Q202=12,0,IF(Z201&gt;$J$28,12-DATEDIF($J$28,Z201+1,"m"),IF(Z201&lt;$J$27,0,DATEDIF($J$27,Z201+1,"m")))))</f>
        <v>0</v>
      </c>
      <c r="AA202" s="417">
        <f>IF(IF(Q202+R202+S202+Y202+Z202+X202+W202+V202+U202+T202=12,0,IF(AA201&gt;$J$28,12-DATEDIF($J$28,AA201+1,"m"),IF(AA201&lt;$J$27,0,DATEDIF($J$27,AA201+1,"m"))))&lt;0,0,IF(Q202+R202+S202+Y202+Z202+X202+W202+V202+U202+T202=12,0,IF(AA201&gt;$J$28,12-DATEDIF($J$28,AA201+1,"m"),IF(AA201&lt;$J$27,0,DATEDIF($J$27,AA201+1,"m")))))</f>
        <v>0</v>
      </c>
      <c r="AB202" s="417">
        <f>IF(IF(Q202+R202+S202+T202+Z202+AA202+Y202+X202+W202+V202+U202=12,0,IF(AB201&gt;$J$28,12-DATEDIF($J$28,AB201+1,"m"),IF(AB201&lt;$J$27,0,DATEDIF($J$27,AB201+1,"m"))))&lt;0,0,IF(Q202+R202+S202+T202+Z202+AA202+Y202+X202+W202+V202+U202=12,0,IF(AB201&gt;$J$28,12-DATEDIF($J$28,AB201+1,"m"),IF(AB201&lt;$J$27,0,DATEDIF($J$27,AB201+1,"m")))))</f>
        <v>0</v>
      </c>
      <c r="AC202" s="417">
        <f>IF(IF(Q202+R202+S202+T202+U202+AA202+AB202+Z202+Y202+X202+W202+V202=12,0,IF(AC201&gt;$J$28,12-DATEDIF($J$28,AC201+1,"m"),IF(AC201&lt;$J$27,0,DATEDIF($J$27,AC201+1,"m"))))&lt;0,0,IF(Q202+R202+S202+T202+U202+AA202+AB202+Z202+Y202+X202+W202+V202=12,0,IF(AC201&gt;$J$28,12-DATEDIF($J$28,AC201+1,"m"),IF(AC201&lt;$J$27,0,DATEDIF($J$27,AC201+1,"m")))))</f>
        <v>0</v>
      </c>
      <c r="AD202" s="417">
        <f>IF(IF(Q202+R202+S202+T202+U202+V202+AB202+AC202+AA202+Z202+Y202+X202+W202=12,0,IF(AD201&gt;$J$28,12-DATEDIF($J$28,AD201+1,"m"),IF(AD201&lt;$J$27,0,DATEDIF($J$27,AD201+1,"m"))))&lt;0,0,IF(Q202+R202+S202+T202+U202+V202+AB202+AC202+AA202+Z202+Y202+X202+W202=12,0,IF(AD201&gt;$J$28,12-DATEDIF($J$28,AD201+1,"m"),IF(AD201&lt;$J$27,0,DATEDIF($J$27,AD201+1,"m")))))</f>
        <v>0</v>
      </c>
      <c r="AE202" s="417">
        <f>IF(IF(Q202+R202+S202+T202+U202+V202+W202+AC202+AD202+AB202+AA202+Z202+Y202+X202=12,0,IF(AE201&gt;$J$28,12-DATEDIF($J$28,AE201+1,"m"),IF(AE201&lt;$J$27,0,DATEDIF($J$27,AE201+1,"m"))))&lt;0,0,IF(Q202+R202+S202+T202+U202+V202+W202+AC202+AD202+AB202+AA202+Z202+Y202+X202=12,0,IF(AE201&gt;$J$28,12-DATEDIF($J$28,AE201+1,"m"),IF(AE201&lt;$J$27,0,DATEDIF($J$27,AE201+1,"m")))))</f>
        <v>0</v>
      </c>
      <c r="AF202" s="417">
        <f>IF(IF(Q202+R202+S202+T202+U202+V202+W202+X202+AD202+AE202+AC202+AB202+AA202+Z202+Y202=12,0,IF(AF201&gt;$J$28,12-DATEDIF($J$28,AF201+1,"m"),IF(AF201&lt;$J$27,0,DATEDIF($J$27,AF201+1,"m"))))&lt;0,0,IF(Q202+R202+S202+T202+U202+V202+W202+X202+AD202+AE202+AC202+AB202+AA202+Z202+Y202=12,0,IF(AF201&gt;$J$28,12-DATEDIF($J$28,AF201+1,"m"),IF(AF201&lt;$J$27,0,DATEDIF($J$27,AF201+1,"m")))))</f>
        <v>0</v>
      </c>
      <c r="AG202" s="417">
        <f>IF(IF(Q202+R202+S202+T202+U202+V202+W202+X202+Y202+AE202+AF202+AD202+AC202+AB202+AA202+Z202=12,0,IF(AG201&gt;$J$28,12-DATEDIF($J$28,AG201+1,"m"),IF(AG201&lt;$J$27,0,DATEDIF($J$27,AG201+1,"m"))))&lt;0,0,IF(Q202+R202+S202+T202+U202+V202+W202+X202+Y202+AE202+AF202+AD202+AC202+AB202+AA202+Z202=12,0,IF(AG201&gt;$J$28,12-DATEDIF($J$28,AG201+1,"m"),IF(AG201&lt;$J$27,0,DATEDIF($J$27,AG201+1,"m")))))</f>
        <v>0</v>
      </c>
      <c r="AH202" s="219">
        <f>SUM(Q202:AG202)</f>
        <v>0</v>
      </c>
      <c r="AI202" s="417">
        <f t="shared" si="93"/>
        <v>0</v>
      </c>
      <c r="AJ202" s="417">
        <f t="shared" si="93"/>
        <v>0</v>
      </c>
      <c r="AK202" s="417">
        <f t="shared" si="93"/>
        <v>0</v>
      </c>
      <c r="AL202" s="417">
        <f t="shared" si="93"/>
        <v>0</v>
      </c>
      <c r="AM202" s="417">
        <f t="shared" si="93"/>
        <v>0</v>
      </c>
      <c r="AN202" s="417">
        <f t="shared" si="93"/>
        <v>0</v>
      </c>
      <c r="AO202" s="417">
        <f t="shared" si="93"/>
        <v>0</v>
      </c>
      <c r="AP202" s="417">
        <f t="shared" si="93"/>
        <v>0</v>
      </c>
      <c r="AQ202" s="417">
        <f t="shared" si="93"/>
        <v>0</v>
      </c>
      <c r="AR202" s="417">
        <f t="shared" si="93"/>
        <v>0</v>
      </c>
      <c r="AS202" s="417">
        <f t="shared" si="94"/>
        <v>0</v>
      </c>
      <c r="AT202" s="417">
        <f t="shared" si="94"/>
        <v>0</v>
      </c>
      <c r="AU202" s="417">
        <f t="shared" si="94"/>
        <v>0</v>
      </c>
      <c r="AV202" s="417">
        <f t="shared" si="94"/>
        <v>0</v>
      </c>
      <c r="AW202" s="417">
        <f t="shared" si="94"/>
        <v>0</v>
      </c>
      <c r="AX202" s="417">
        <f t="shared" si="94"/>
        <v>0</v>
      </c>
      <c r="AY202" s="417">
        <f t="shared" si="94"/>
        <v>0</v>
      </c>
      <c r="AZ202" s="219">
        <f>SUM(AI202:AY202)</f>
        <v>0</v>
      </c>
    </row>
    <row r="203" spans="1:52" ht="12.75" customHeight="1">
      <c r="A203" s="231" t="s">
        <v>152</v>
      </c>
      <c r="B203" s="146">
        <f t="shared" ref="B203:K203" si="95">SUM(B200:B201)</f>
        <v>0</v>
      </c>
      <c r="C203" s="146">
        <f t="shared" si="95"/>
        <v>0</v>
      </c>
      <c r="D203" s="146">
        <f t="shared" si="95"/>
        <v>0</v>
      </c>
      <c r="E203" s="146">
        <f t="shared" si="95"/>
        <v>0</v>
      </c>
      <c r="F203" s="146">
        <f t="shared" si="95"/>
        <v>0</v>
      </c>
      <c r="G203" s="146">
        <f t="shared" si="95"/>
        <v>0</v>
      </c>
      <c r="H203" s="146">
        <f t="shared" si="95"/>
        <v>0</v>
      </c>
      <c r="I203" s="146">
        <f t="shared" si="95"/>
        <v>0</v>
      </c>
      <c r="J203" s="146">
        <f t="shared" si="95"/>
        <v>0</v>
      </c>
      <c r="K203" s="146">
        <f t="shared" si="95"/>
        <v>0</v>
      </c>
      <c r="L203" s="229">
        <f>SUM(B203:K203)</f>
        <v>0</v>
      </c>
      <c r="Q203" s="417">
        <f>IF(Q202=0,0,(IF(($B$67+$C$67+$D$67+$E$67+$F$67+$G$67+$H$67+$I$67+$J$67)&lt;=25000,(($J$67/+$AH202)*Q202)*VLOOKUP('1. SUMMARY'!$C$20,rate,Sheet1!T$21,0),((IF(($F$67+$B$67+$C$67+$D$67+$E$67+$G$67+$H$67+$I$67)&gt;=25000,0,(((25000-($B$67+$C$67+$D$67+$E$67+$F$67+$G$67+$H$67+$I$67))/+$AH202)*Q202)*(VLOOKUP('1. SUMMARY'!$C$20,rate,Sheet1!T$21,0))))))))</f>
        <v>0</v>
      </c>
      <c r="R203" s="417">
        <f>IF(R202=0,0,(IF(($B$67+$C$67+$D$67+$E$67+$F$67+$G$67+$H$67+$I$67+$J$67)&lt;=25000,(($J$67/+$AH202)*R202)*VLOOKUP('1. SUMMARY'!$C$20,rate,Sheet1!U$21,0),((IF(($F$67+$B$67+$C$67+$D$67+$E$67+$G$67+$H$67+$I$67)&gt;=25000,0,(((25000-($B$67+$C$67+$D$67+$E$67+$F$67+$G$67+$H$67+$I$67))/+$AH202)*R202)*(VLOOKUP('1. SUMMARY'!$C$20,rate,Sheet1!U$21,0))))))))</f>
        <v>0</v>
      </c>
      <c r="S203" s="417">
        <f>IF(S202=0,0,(IF(($B$67+$C$67+$D$67+$E$67+$F$67+$G$67+$H$67+$I$67+$J$67)&lt;=25000,(($J$67/+$AH202)*S202)*VLOOKUP('1. SUMMARY'!$C$20,rate,Sheet1!V$21,0),((IF(($F$67+$B$67+$C$67+$D$67+$E$67+$G$67+$H$67+$I$67)&gt;=25000,0,(((25000-($B$67+$C$67+$D$67+$E$67+$F$67+$G$67+$H$67+$I$67))/+$AH202)*S202)*(VLOOKUP('1. SUMMARY'!$C$20,rate,Sheet1!V$21,0))))))))</f>
        <v>0</v>
      </c>
      <c r="T203" s="417">
        <f>IF(T202=0,0,(IF(($B$67+$C$67+$D$67+$E$67+$F$67+$G$67+$H$67+$I$67+$J$67)&lt;=25000,(($J$67/+$AH202)*T202)*VLOOKUP('1. SUMMARY'!$C$20,rate,Sheet1!W$21,0),((IF(($F$67+$B$67+$C$67+$D$67+$E$67+$G$67+$H$67+$I$67)&gt;=25000,0,(((25000-($B$67+$C$67+$D$67+$E$67+$F$67+$G$67+$H$67+$I$67))/+$AH202)*T202)*(VLOOKUP('1. SUMMARY'!$C$20,rate,Sheet1!W$21,0))))))))</f>
        <v>0</v>
      </c>
      <c r="U203" s="417">
        <f>IF(U202=0,0,(IF(($B$67+$C$67+$D$67+$E$67+$F$67+$G$67+$H$67+$I$67+$J$67)&lt;=25000,(($J$67/+$AH202)*U202)*VLOOKUP('1. SUMMARY'!$C$20,rate,Sheet1!X$21,0),((IF(($F$67+$B$67+$C$67+$D$67+$E$67+$G$67+$H$67+$I$67)&gt;=25000,0,(((25000-($B$67+$C$67+$D$67+$E$67+$F$67+$G$67+$H$67+$I$67))/+$AH202)*U202)*(VLOOKUP('1. SUMMARY'!$C$20,rate,Sheet1!X$21,0))))))))</f>
        <v>0</v>
      </c>
      <c r="V203" s="417">
        <f>IF(V202=0,0,(IF(($B$67+$C$67+$D$67+$E$67+$F$67+$G$67+$H$67+$I$67+$J$67)&lt;=25000,(($J$67/+$AH202)*V202)*VLOOKUP('1. SUMMARY'!$C$20,rate,Sheet1!Y$21,0),((IF(($F$67+$B$67+$C$67+$D$67+$E$67+$G$67+$H$67+$I$67)&gt;=25000,0,(((25000-($B$67+$C$67+$D$67+$E$67+$F$67+$G$67+$H$67+$I$67))/+$AH202)*V202)*(VLOOKUP('1. SUMMARY'!$C$20,rate,Sheet1!Y$21,0))))))))</f>
        <v>0</v>
      </c>
      <c r="W203" s="417">
        <f>IF(W202=0,0,(IF(($B$67+$C$67+$D$67+$E$67+$F$67+$G$67+$H$67+$I$67+$J$67)&lt;=25000,(($J$67/+$AH202)*W202)*VLOOKUP('1. SUMMARY'!$C$20,rate,Sheet1!Z$21,0),((IF(($F$67+$B$67+$C$67+$D$67+$E$67+$G$67+$H$67+$I$67)&gt;=25000,0,(((25000-($B$67+$C$67+$D$67+$E$67+$F$67+$G$67+$H$67+$I$67))/+$AH202)*W202)*(VLOOKUP('1. SUMMARY'!$C$20,rate,Sheet1!Z$21,0))))))))</f>
        <v>0</v>
      </c>
      <c r="X203" s="417">
        <f>IF(X202=0,0,(IF(($B$67+$C$67+$D$67+$E$67+$F$67+$G$67+$H$67+$I$67+$J$67)&lt;=25000,(($J$67/+$AH202)*X202)*VLOOKUP('1. SUMMARY'!$C$20,rate,Sheet1!AA$21,0),((IF(($F$67+$B$67+$C$67+$D$67+$E$67+$G$67+$H$67+$I$67)&gt;=25000,0,(((25000-($B$67+$C$67+$D$67+$E$67+$F$67+$G$67+$H$67+$I$67))/+$AH202)*X202)*(VLOOKUP('1. SUMMARY'!$C$20,rate,Sheet1!AA$21,0))))))))</f>
        <v>0</v>
      </c>
      <c r="Y203" s="417">
        <f>IF(Y202=0,0,(IF(($B$67+$C$67+$D$67+$E$67+$F$67+$G$67+$H$67+$I$67+$J$67)&lt;=25000,(($J$67/+$AH202)*Y202)*VLOOKUP('1. SUMMARY'!$C$20,rate,Sheet1!AB$21,0),((IF(($F$67+$B$67+$C$67+$D$67+$E$67+$G$67+$H$67+$I$67)&gt;=25000,0,(((25000-($B$67+$C$67+$D$67+$E$67+$F$67+$G$67+$H$67+$I$67))/+$AH202)*Y202)*(VLOOKUP('1. SUMMARY'!$C$20,rate,Sheet1!AB$21,0))))))))</f>
        <v>0</v>
      </c>
      <c r="Z203" s="417">
        <f>IF(Z202=0,0,(IF(($B$67+$C$67+$D$67+$E$67+$F$67+$G$67+$H$67+$I$67+$J$67)&lt;=25000,(($J$67/+$AH202)*Z202)*VLOOKUP('1. SUMMARY'!$C$20,rate,Sheet1!AC$21,0),((IF(($F$67+$B$67+$C$67+$D$67+$E$67+$G$67+$H$67+$I$67)&gt;=25000,0,(((25000-($B$67+$C$67+$D$67+$E$67+$F$67+$G$67+$H$67+$I$67))/+$AH202)*Z202)*(VLOOKUP('1. SUMMARY'!$C$20,rate,Sheet1!AC$21,0))))))))</f>
        <v>0</v>
      </c>
      <c r="AA203" s="417">
        <f>IF(AA202=0,0,(IF(($B$67+$C$67+$D$67+$E$67+$F$67+$G$67+$H$67+$I$67+$J$67)&lt;=25000,(($J$67/+$AH202)*AA202)*VLOOKUP('1. SUMMARY'!$C$20,rate,Sheet1!AD$21,0),((IF(($F$67+$B$67+$C$67+$D$67+$E$67+$G$67+$H$67+$I$67)&gt;=25000,0,(((25000-($B$67+$C$67+$D$67+$E$67+$F$67+$G$67+$H$67+$I$67))/+$AH202)*AA202)*(VLOOKUP('1. SUMMARY'!$C$20,rate,Sheet1!AD$21,0))))))))</f>
        <v>0</v>
      </c>
      <c r="AB203" s="417">
        <f>IF(AB202=0,0,(IF(($B$67+$C$67+$D$67+$E$67+$F$67+$G$67+$H$67+$I$67+$J$67)&lt;=25000,(($J$67/+$AH202)*AB202)*VLOOKUP('1. SUMMARY'!$C$20,rate,Sheet1!AE$21,0),((IF(($F$67+$B$67+$C$67+$D$67+$E$67+$G$67+$H$67+$I$67)&gt;=25000,0,(((25000-($B$67+$C$67+$D$67+$E$67+$F$67+$G$67+$H$67+$I$67))/+$AH202)*AB202)*(VLOOKUP('1. SUMMARY'!$C$20,rate,Sheet1!AE$21,0))))))))</f>
        <v>0</v>
      </c>
      <c r="AC203" s="417">
        <f>IF(AC202=0,0,(IF(($B$67+$C$67+$D$67+$E$67+$F$67+$G$67+$H$67+$I$67+$J$67)&lt;=25000,(($J$67/+$AH202)*AC202)*VLOOKUP('1. SUMMARY'!$C$20,rate,Sheet1!AF$21,0),((IF(($F$67+$B$67+$C$67+$D$67+$E$67+$G$67+$H$67+$I$67)&gt;=25000,0,(((25000-($B$67+$C$67+$D$67+$E$67+$F$67+$G$67+$H$67+$I$67))/+$AH202)*AC202)*(VLOOKUP('1. SUMMARY'!$C$20,rate,Sheet1!AF$21,0))))))))</f>
        <v>0</v>
      </c>
      <c r="AD203" s="417">
        <f>IF(AD202=0,0,(IF(($B$67+$C$67+$D$67+$E$67+$F$67+$G$67+$H$67+$I$67+$J$67)&lt;=25000,(($J$67/+$AH202)*AD202)*VLOOKUP('1. SUMMARY'!$C$20,rate,Sheet1!AG$21,0),((IF(($F$67+$B$67+$C$67+$D$67+$E$67+$G$67+$H$67+$I$67)&gt;=25000,0,(((25000-($B$67+$C$67+$D$67+$E$67+$F$67+$G$67+$H$67+$I$67))/+$AH202)*AD202)*(VLOOKUP('1. SUMMARY'!$C$20,rate,Sheet1!AG$21,0))))))))</f>
        <v>0</v>
      </c>
      <c r="AE203" s="417">
        <f>IF(AE202=0,0,(IF(($B$67+$C$67+$D$67+$E$67+$F$67+$G$67+$H$67+$I$67+$J$67)&lt;=25000,(($J$67/+$AH202)*AE202)*VLOOKUP('1. SUMMARY'!$C$20,rate,Sheet1!AH$21,0),((IF(($F$67+$B$67+$C$67+$D$67+$E$67+$G$67+$H$67+$I$67)&gt;=25000,0,(((25000-($B$67+$C$67+$D$67+$E$67+$F$67+$G$67+$H$67+$I$67))/+$AH202)*AE202)*(VLOOKUP('1. SUMMARY'!$C$20,rate,Sheet1!AH$21,0))))))))</f>
        <v>0</v>
      </c>
      <c r="AF203" s="417">
        <f>IF(AF202=0,0,(IF(($B$67+$C$67+$D$67+$E$67+$F$67+$G$67+$H$67+$I$67+$J$67)&lt;=25000,(($J$67/+$AH202)*AF202)*VLOOKUP('1. SUMMARY'!$C$20,rate,Sheet1!AI$21,0),((IF(($F$67+$B$67+$C$67+$D$67+$E$67+$G$67+$H$67+$I$67)&gt;=25000,0,(((25000-($B$67+$C$67+$D$67+$E$67+$F$67+$G$67+$H$67+$I$67))/+$AH202)*AF202)*(VLOOKUP('1. SUMMARY'!$C$20,rate,Sheet1!AI$21,0))))))))</f>
        <v>0</v>
      </c>
      <c r="AG203" s="417">
        <f>IF(AG202=0,0,(IF(($B$67+$C$67+$D$67+$E$67+$F$67+$G$67+$H$67+$I$67+$J$67)&lt;=25000,(($J$67/+$AH202)*AG202)*VLOOKUP('1. SUMMARY'!$C$20,rate,Sheet1!AJ$21,0),((IF(($F$67+$B$67+$C$67+$D$67+$E$67+$G$67+$H$67+$I$67)&gt;=25000,0,(((25000-($B$67+$C$67+$D$67+$E$67+$F$67+$G$67+$H$67+$I$67))/+$AH202)*AG202)*(VLOOKUP('1. SUMMARY'!$C$20,rate,Sheet1!AJ$21,0))))))))</f>
        <v>0</v>
      </c>
      <c r="AH203" s="219">
        <f>SUM(Q203:AG203)</f>
        <v>0</v>
      </c>
      <c r="AI203" s="417">
        <f>IF(AI202=0,0,((+$J67/$AZ202)*AI202)*VLOOKUP('1. SUMMARY'!$C$20,rate,Sheet1!T$21,0))</f>
        <v>0</v>
      </c>
      <c r="AJ203" s="417">
        <f>IF(AJ202=0,0,((+$J67/$AZ202)*AJ202)*VLOOKUP('1. SUMMARY'!$C$20,rate,Sheet1!U$21,0))</f>
        <v>0</v>
      </c>
      <c r="AK203" s="417">
        <f>IF(AK202=0,0,((+$J67/$AZ202)*AK202)*VLOOKUP('1. SUMMARY'!$C$20,rate,Sheet1!V$21,0))</f>
        <v>0</v>
      </c>
      <c r="AL203" s="417">
        <f>IF(AL202=0,0,((+$J67/$AZ202)*AL202)*VLOOKUP('1. SUMMARY'!$C$20,rate,Sheet1!W$21,0))</f>
        <v>0</v>
      </c>
      <c r="AM203" s="417">
        <f>IF(AM202=0,0,((+$J67/$AZ202)*AM202)*VLOOKUP('1. SUMMARY'!$C$20,rate,Sheet1!X$21,0))</f>
        <v>0</v>
      </c>
      <c r="AN203" s="417">
        <f>IF(AN202=0,0,((+$J67/$AZ202)*AN202)*VLOOKUP('1. SUMMARY'!$C$20,rate,Sheet1!Y$21,0))</f>
        <v>0</v>
      </c>
      <c r="AO203" s="417">
        <f>IF(AO202=0,0,((+$J67/$AZ202)*AO202)*VLOOKUP('1. SUMMARY'!$C$20,rate,Sheet1!Z$21,0))</f>
        <v>0</v>
      </c>
      <c r="AP203" s="417">
        <f>IF(AP202=0,0,((+$J67/$AZ202)*AP202)*VLOOKUP('1. SUMMARY'!$C$20,rate,Sheet1!AA$21,0))</f>
        <v>0</v>
      </c>
      <c r="AQ203" s="417">
        <f>IF(AQ202=0,0,((+$J67/$AZ202)*AQ202)*VLOOKUP('1. SUMMARY'!$C$20,rate,Sheet1!AB$21,0))</f>
        <v>0</v>
      </c>
      <c r="AR203" s="417">
        <f>IF(AR202=0,0,((+$J67/$AZ202)*AR202)*VLOOKUP('1. SUMMARY'!$C$20,rate,Sheet1!AC$21,0))</f>
        <v>0</v>
      </c>
      <c r="AS203" s="417">
        <f>IF(AS202=0,0,((+$J67/$AZ202)*AS202)*VLOOKUP('1. SUMMARY'!$C$20,rate,Sheet1!AD$21,0))</f>
        <v>0</v>
      </c>
      <c r="AT203" s="417">
        <f>IF(AT202=0,0,((+$J67/$AZ202)*AT202)*VLOOKUP('1. SUMMARY'!$C$20,rate,Sheet1!AE$21,0))</f>
        <v>0</v>
      </c>
      <c r="AU203" s="417">
        <f>IF(AU202=0,0,((+$J67/$AZ202)*AU202)*VLOOKUP('1. SUMMARY'!$C$20,rate,Sheet1!AF$21,0))</f>
        <v>0</v>
      </c>
      <c r="AV203" s="417">
        <f>IF(AV202=0,0,((+$J67/$AZ202)*AV202)*VLOOKUP('1. SUMMARY'!$C$20,rate,Sheet1!AG$21,0))</f>
        <v>0</v>
      </c>
      <c r="AW203" s="417">
        <f>IF(AW202=0,0,((+$J67/$AZ202)*AW202)*VLOOKUP('1. SUMMARY'!$C$20,rate,Sheet1!AH$21,0))</f>
        <v>0</v>
      </c>
      <c r="AX203" s="417">
        <f>IF(AX202=0,0,((+$J67/$AZ202)*AX202)*VLOOKUP('1. SUMMARY'!$C$20,rate,Sheet1!AI$21,0))</f>
        <v>0</v>
      </c>
      <c r="AY203" s="417">
        <f>IF(AY202=0,0,((+$J67/$AZ202)*AY202)*VLOOKUP('1. SUMMARY'!$C$20,rate,Sheet1!AJ$21,0))</f>
        <v>0</v>
      </c>
      <c r="AZ203" s="219">
        <f>SUM(AI203:AY203)</f>
        <v>0</v>
      </c>
    </row>
    <row r="204" spans="1:52" ht="12.75" customHeight="1">
      <c r="A204" s="216"/>
      <c r="B204" s="217"/>
      <c r="C204" s="217"/>
      <c r="D204" s="217"/>
      <c r="E204" s="217"/>
      <c r="F204" s="217"/>
      <c r="G204" s="217"/>
      <c r="H204" s="217"/>
      <c r="I204" s="217"/>
      <c r="J204" s="217"/>
      <c r="K204" s="217"/>
      <c r="L204" s="218"/>
      <c r="Q204" s="417">
        <f>+Q203/VLOOKUP('1. SUMMARY'!$C$20,rate,Sheet1!T$21,0)</f>
        <v>0</v>
      </c>
      <c r="R204" s="417">
        <f>+R203/VLOOKUP('1. SUMMARY'!$C$20,rate,Sheet1!U$21,0)</f>
        <v>0</v>
      </c>
      <c r="S204" s="417">
        <f>+S203/VLOOKUP('1. SUMMARY'!$C$20,rate,Sheet1!V$21,0)</f>
        <v>0</v>
      </c>
      <c r="T204" s="417">
        <f>+T203/VLOOKUP('1. SUMMARY'!$C$20,rate,Sheet1!W$21,0)</f>
        <v>0</v>
      </c>
      <c r="U204" s="417">
        <f>+U203/VLOOKUP('1. SUMMARY'!$C$20,rate,Sheet1!X$21,0)</f>
        <v>0</v>
      </c>
      <c r="V204" s="417">
        <f>+V203/VLOOKUP('1. SUMMARY'!$C$20,rate,Sheet1!Y$21,0)</f>
        <v>0</v>
      </c>
      <c r="W204" s="417">
        <f>+W203/VLOOKUP('1. SUMMARY'!$C$20,rate,Sheet1!Z$21,0)</f>
        <v>0</v>
      </c>
      <c r="X204" s="417">
        <f>+X203/VLOOKUP('1. SUMMARY'!$C$20,rate,Sheet1!AA$21,0)</f>
        <v>0</v>
      </c>
      <c r="Y204" s="417">
        <f>+Y203/VLOOKUP('1. SUMMARY'!$C$20,rate,Sheet1!AB$21,0)</f>
        <v>0</v>
      </c>
      <c r="Z204" s="417">
        <f>+Z203/VLOOKUP('1. SUMMARY'!$C$20,rate,Sheet1!AC$21,0)</f>
        <v>0</v>
      </c>
      <c r="AA204" s="417">
        <f>+AA203/VLOOKUP('1. SUMMARY'!$C$20,rate,Sheet1!AD$21,0)</f>
        <v>0</v>
      </c>
      <c r="AB204" s="417">
        <f>+AB203/VLOOKUP('1. SUMMARY'!$C$20,rate,Sheet1!AE$21,0)</f>
        <v>0</v>
      </c>
      <c r="AC204" s="417">
        <f>+AC203/VLOOKUP('1. SUMMARY'!$C$20,rate,Sheet1!AF$21,0)</f>
        <v>0</v>
      </c>
      <c r="AD204" s="417">
        <f>+AD203/VLOOKUP('1. SUMMARY'!$C$20,rate,Sheet1!AG$21,0)</f>
        <v>0</v>
      </c>
      <c r="AE204" s="417">
        <f>+AE203/VLOOKUP('1. SUMMARY'!$C$20,rate,Sheet1!AH$21,0)</f>
        <v>0</v>
      </c>
      <c r="AF204" s="417">
        <f>+AF203/VLOOKUP('1. SUMMARY'!$C$20,rate,Sheet1!AI$21,0)</f>
        <v>0</v>
      </c>
      <c r="AG204" s="417">
        <f>+AG203/VLOOKUP('1. SUMMARY'!$C$20,rate,Sheet1!AJ$21,0)</f>
        <v>0</v>
      </c>
      <c r="AH204" s="219"/>
      <c r="AI204" s="417"/>
      <c r="AJ204" s="417"/>
      <c r="AK204" s="417"/>
      <c r="AL204" s="417"/>
      <c r="AM204" s="417"/>
      <c r="AN204" s="417"/>
      <c r="AO204" s="417"/>
      <c r="AP204" s="417"/>
      <c r="AQ204" s="417"/>
      <c r="AR204" s="417"/>
      <c r="AS204" s="417"/>
      <c r="AT204" s="417"/>
      <c r="AU204" s="417"/>
      <c r="AV204" s="417"/>
      <c r="AW204" s="417"/>
      <c r="AX204" s="417"/>
      <c r="AY204" s="417"/>
      <c r="AZ204" s="219"/>
    </row>
    <row r="205" spans="1:52" ht="12.75" customHeight="1">
      <c r="A205" s="226" t="s">
        <v>153</v>
      </c>
      <c r="B205" s="233">
        <f>IF(B197="No "&amp;B196,0,IF('1. SUMMARY'!$Q$20=1,$AH573,$AZ573))</f>
        <v>0</v>
      </c>
      <c r="C205" s="233">
        <f>IF(C197="No "&amp;C196,0,IF('1. SUMMARY'!$Q$20=1,$AH578,$AZ578))</f>
        <v>0</v>
      </c>
      <c r="D205" s="233">
        <f>IF(D197="No "&amp;D196,0,IF('1. SUMMARY'!$Q$20=1,$AH583,$AZ583))</f>
        <v>0</v>
      </c>
      <c r="E205" s="233">
        <f>IF(E197="No "&amp;E196,0,IF('1. SUMMARY'!$Q$20=1,$AH588,$AZ588))</f>
        <v>0</v>
      </c>
      <c r="F205" s="233">
        <f>IF(F197="No "&amp;F196,0,IF('1. SUMMARY'!$Q$20=1,$AH593,$AZ593))</f>
        <v>0</v>
      </c>
      <c r="G205" s="233">
        <f>IF(G197="No "&amp;G196,0,IF('1. SUMMARY'!$Q$20=1,$AH598,$AZ598))</f>
        <v>0</v>
      </c>
      <c r="H205" s="233">
        <f>IF(H197="No "&amp;H196,0,IF('1. SUMMARY'!$Q$20=1,$AH603,$AZ603))</f>
        <v>0</v>
      </c>
      <c r="I205" s="233">
        <f>IF(I197="No "&amp;I196,0,IF('1. SUMMARY'!$Q$20=1,$AH608,$AZ608))</f>
        <v>0</v>
      </c>
      <c r="J205" s="233">
        <f>IF(J197="No "&amp;J196,0,IF('1. SUMMARY'!$Q$20=1,$AH613,$AZ613))</f>
        <v>0</v>
      </c>
      <c r="K205" s="233">
        <f>IF(K197="No "&amp;K196,0,IF('1. SUMMARY'!$Q$20=1,$AH618,$AZ618))</f>
        <v>0</v>
      </c>
      <c r="L205" s="229">
        <f>SUM(B205:K205)</f>
        <v>0</v>
      </c>
      <c r="Q205" s="420">
        <f>Sheet1!$T$8</f>
        <v>44105</v>
      </c>
      <c r="R205" s="420">
        <f>Sheet1!$U$8</f>
        <v>44470</v>
      </c>
      <c r="S205" s="420">
        <f>Sheet1!$V$8</f>
        <v>44835</v>
      </c>
      <c r="T205" s="420">
        <f>Sheet1!$W$8</f>
        <v>45200</v>
      </c>
      <c r="U205" s="420">
        <f>Sheet1!$X$8</f>
        <v>45566</v>
      </c>
      <c r="V205" s="420">
        <f>Sheet1!$Y$8</f>
        <v>45931</v>
      </c>
      <c r="W205" s="420">
        <f>Sheet1!$Z$8</f>
        <v>46296</v>
      </c>
      <c r="X205" s="420">
        <f>Sheet1!$AA$8</f>
        <v>46661</v>
      </c>
      <c r="Y205" s="420">
        <f>Sheet1!$AB$8</f>
        <v>47027</v>
      </c>
      <c r="Z205" s="420">
        <f>Sheet1!$AC$8</f>
        <v>47392</v>
      </c>
      <c r="AA205" s="420">
        <f>$AA$5</f>
        <v>47757</v>
      </c>
      <c r="AB205" s="420">
        <f>$AB$5</f>
        <v>48122</v>
      </c>
      <c r="AC205" s="420">
        <f>$AC$5</f>
        <v>48488</v>
      </c>
      <c r="AD205" s="420">
        <f>$AD$5</f>
        <v>48853</v>
      </c>
      <c r="AE205" s="420">
        <f>$AE$5</f>
        <v>49218</v>
      </c>
      <c r="AF205" s="420">
        <f>$AF$5</f>
        <v>49583</v>
      </c>
      <c r="AG205" s="420">
        <f>$AG$5</f>
        <v>49949</v>
      </c>
      <c r="AH205" s="219"/>
      <c r="AI205" s="420">
        <f t="shared" ref="AI205:AR207" si="96">+Q205</f>
        <v>44105</v>
      </c>
      <c r="AJ205" s="420">
        <f t="shared" si="96"/>
        <v>44470</v>
      </c>
      <c r="AK205" s="420">
        <f t="shared" si="96"/>
        <v>44835</v>
      </c>
      <c r="AL205" s="420">
        <f t="shared" si="96"/>
        <v>45200</v>
      </c>
      <c r="AM205" s="420">
        <f t="shared" si="96"/>
        <v>45566</v>
      </c>
      <c r="AN205" s="420">
        <f t="shared" si="96"/>
        <v>45931</v>
      </c>
      <c r="AO205" s="420">
        <f t="shared" si="96"/>
        <v>46296</v>
      </c>
      <c r="AP205" s="420">
        <f t="shared" si="96"/>
        <v>46661</v>
      </c>
      <c r="AQ205" s="420">
        <f t="shared" si="96"/>
        <v>47027</v>
      </c>
      <c r="AR205" s="420">
        <f t="shared" si="96"/>
        <v>47392</v>
      </c>
      <c r="AS205" s="420">
        <f t="shared" ref="AS205:AY207" si="97">+AA205</f>
        <v>47757</v>
      </c>
      <c r="AT205" s="420">
        <f t="shared" si="97"/>
        <v>48122</v>
      </c>
      <c r="AU205" s="420">
        <f t="shared" si="97"/>
        <v>48488</v>
      </c>
      <c r="AV205" s="420">
        <f t="shared" si="97"/>
        <v>48853</v>
      </c>
      <c r="AW205" s="420">
        <f t="shared" si="97"/>
        <v>49218</v>
      </c>
      <c r="AX205" s="420">
        <f t="shared" si="97"/>
        <v>49583</v>
      </c>
      <c r="AY205" s="420">
        <f t="shared" si="97"/>
        <v>49949</v>
      </c>
      <c r="AZ205" s="211"/>
    </row>
    <row r="206" spans="1:52" ht="12.75" customHeight="1">
      <c r="A206" s="216"/>
      <c r="B206" s="234"/>
      <c r="C206" s="234"/>
      <c r="D206" s="234"/>
      <c r="E206" s="234"/>
      <c r="F206" s="234"/>
      <c r="G206" s="234"/>
      <c r="H206" s="234"/>
      <c r="I206" s="234"/>
      <c r="J206" s="234"/>
      <c r="K206" s="234"/>
      <c r="L206" s="235"/>
      <c r="O206" s="207">
        <v>10</v>
      </c>
      <c r="Q206" s="420">
        <f>Sheet1!$T$9</f>
        <v>44469</v>
      </c>
      <c r="R206" s="420">
        <f>Sheet1!$U$9</f>
        <v>44834</v>
      </c>
      <c r="S206" s="420">
        <f>Sheet1!$V$9</f>
        <v>45199</v>
      </c>
      <c r="T206" s="420">
        <f>Sheet1!$W$9</f>
        <v>45565</v>
      </c>
      <c r="U206" s="420">
        <f>Sheet1!$X$9</f>
        <v>45930</v>
      </c>
      <c r="V206" s="420">
        <f>Sheet1!$Y$9</f>
        <v>46295</v>
      </c>
      <c r="W206" s="420">
        <f>Sheet1!$Z$9</f>
        <v>46660</v>
      </c>
      <c r="X206" s="420">
        <f>Sheet1!$AA$9</f>
        <v>47026</v>
      </c>
      <c r="Y206" s="420">
        <f>Sheet1!$AB$9</f>
        <v>47391</v>
      </c>
      <c r="Z206" s="420">
        <f>Sheet1!$AC$9</f>
        <v>47756</v>
      </c>
      <c r="AA206" s="420">
        <f>$AA$6</f>
        <v>48121</v>
      </c>
      <c r="AB206" s="420">
        <f>$AB$6</f>
        <v>48487</v>
      </c>
      <c r="AC206" s="420">
        <f>$AC$6</f>
        <v>48852</v>
      </c>
      <c r="AD206" s="420">
        <f>$AD$6</f>
        <v>49217</v>
      </c>
      <c r="AE206" s="420">
        <f>$AE$6</f>
        <v>49582</v>
      </c>
      <c r="AF206" s="420">
        <f>$AF$6</f>
        <v>49948</v>
      </c>
      <c r="AG206" s="420">
        <f>$AG$6</f>
        <v>50313</v>
      </c>
      <c r="AH206" s="219"/>
      <c r="AI206" s="420">
        <f t="shared" si="96"/>
        <v>44469</v>
      </c>
      <c r="AJ206" s="420">
        <f t="shared" si="96"/>
        <v>44834</v>
      </c>
      <c r="AK206" s="420">
        <f t="shared" si="96"/>
        <v>45199</v>
      </c>
      <c r="AL206" s="420">
        <f t="shared" si="96"/>
        <v>45565</v>
      </c>
      <c r="AM206" s="420">
        <f t="shared" si="96"/>
        <v>45930</v>
      </c>
      <c r="AN206" s="420">
        <f t="shared" si="96"/>
        <v>46295</v>
      </c>
      <c r="AO206" s="420">
        <f t="shared" si="96"/>
        <v>46660</v>
      </c>
      <c r="AP206" s="420">
        <f t="shared" si="96"/>
        <v>47026</v>
      </c>
      <c r="AQ206" s="420">
        <f t="shared" si="96"/>
        <v>47391</v>
      </c>
      <c r="AR206" s="420">
        <f t="shared" si="96"/>
        <v>47756</v>
      </c>
      <c r="AS206" s="420">
        <f t="shared" si="97"/>
        <v>48121</v>
      </c>
      <c r="AT206" s="420">
        <f t="shared" si="97"/>
        <v>48487</v>
      </c>
      <c r="AU206" s="420">
        <f t="shared" si="97"/>
        <v>48852</v>
      </c>
      <c r="AV206" s="420">
        <f t="shared" si="97"/>
        <v>49217</v>
      </c>
      <c r="AW206" s="420">
        <f t="shared" si="97"/>
        <v>49582</v>
      </c>
      <c r="AX206" s="420">
        <f t="shared" si="97"/>
        <v>49948</v>
      </c>
      <c r="AY206" s="420">
        <f t="shared" si="97"/>
        <v>50313</v>
      </c>
      <c r="AZ206" s="211"/>
    </row>
    <row r="207" spans="1:52" ht="12.75" customHeight="1" thickBot="1">
      <c r="A207" s="236" t="s">
        <v>154</v>
      </c>
      <c r="B207" s="237">
        <f>SUM(B203:B205)</f>
        <v>0</v>
      </c>
      <c r="C207" s="237" t="str">
        <f>IF(C197="No Year 2","",SUM(C203:C205))</f>
        <v/>
      </c>
      <c r="D207" s="237" t="str">
        <f>IF(D197="No Year 3","",SUM(D203:D205))</f>
        <v/>
      </c>
      <c r="E207" s="237" t="str">
        <f>IF(E197="No Year 4","",SUM(E203:E205))</f>
        <v/>
      </c>
      <c r="F207" s="237" t="str">
        <f>IF(F197="No Year 5","",SUM(F203:F205))</f>
        <v/>
      </c>
      <c r="G207" s="237" t="str">
        <f>IF(G197="No Year 6","",SUM(G203:G205))</f>
        <v/>
      </c>
      <c r="H207" s="237" t="str">
        <f>IF(H197="No Year 7","",SUM(H203:H205))</f>
        <v/>
      </c>
      <c r="I207" s="237" t="str">
        <f>IF(I197="No Year 8","",SUM(I203:I205))</f>
        <v/>
      </c>
      <c r="J207" s="237" t="str">
        <f>IF(J197="No Year 9","",SUM(J203:J205))</f>
        <v/>
      </c>
      <c r="K207" s="237" t="str">
        <f>IF(K197="No Year 10","",SUM(K203:K205))</f>
        <v/>
      </c>
      <c r="L207" s="238">
        <f>SUM(B207:K207)</f>
        <v>0</v>
      </c>
      <c r="N207" s="86">
        <f>IF(L207&gt;0,1,0)</f>
        <v>0</v>
      </c>
      <c r="Q207" s="421">
        <f>IF(IF(Q206&lt;$K$27,0,DATEDIF($K$27,Q206+1,"m"))&lt;0,0,IF(Q206&lt;$K$27,0,DATEDIF($K$27,Q206+1,"m")))</f>
        <v>0</v>
      </c>
      <c r="R207" s="421">
        <f>IF(IF(Q207=12,0,IF(R206&gt;$K$28,12-DATEDIF($K$28,R206+1,"m"),IF(R206&lt;$K$27,0,DATEDIF($K$27,R206+1,"m"))))&lt;0,0,IF(Q207=12,0,IF(R206&gt;$K$28,12-DATEDIF($K$28,R206+1,"m"),IF(R206&lt;$K$27,0,DATEDIF($K$27,R206+1,"m")))))</f>
        <v>0</v>
      </c>
      <c r="S207" s="421">
        <f>IF(IF(Q207+R207=12,0,IF(S206&gt;$K$28,12-DATEDIF($K$28,S206+1,"m"),IF(S206&lt;$K$27,0,DATEDIF($K$27,S206+1,"m"))))&lt;0,0,IF(Q207+R207=12,0,IF(S206&gt;$K$28,12-DATEDIF($K$28,S206+1,"m"),IF(S206&lt;$K$27,0,DATEDIF($K$27,S206+1,"m")))))</f>
        <v>0</v>
      </c>
      <c r="T207" s="421">
        <f>IF(IF(R207+S207+Q207=12,0,IF(T206&gt;$K$28,12-DATEDIF($K$28,T206+1,"m"),IF(T206&lt;$K$27,0,DATEDIF($K$27,T206+1,"m"))))&lt;0,0,IF(R207+S207+Q207=12,0,IF(T206&gt;$K$28,12-DATEDIF($K$28,T206+1,"m"),IF(T206&lt;$K$27,0,DATEDIF($K$27,T206+1,"m")))))</f>
        <v>0</v>
      </c>
      <c r="U207" s="421">
        <f>IF(IF(S207+T207+R207+Q207=12,0,IF(U206&gt;$K$28,12-DATEDIF($K$28,U206+1,"m"),IF(U206&lt;$K$27,0,DATEDIF($K$27,U206+1,"m"))))&lt;0,0,IF(S207+T207+R207+Q207=12,0,IF(U206&gt;$K$28,12-DATEDIF($K$28,U206+1,"m"),IF(U206&lt;$K$27,0,DATEDIF($K$27,U206+1,"m")))))</f>
        <v>0</v>
      </c>
      <c r="V207" s="421">
        <f>IF(IF(T207+U207+S207+R207+Q207=12,0,IF(V206&gt;$K$28,12-DATEDIF($K$28,V206+1,"m"),IF(V206&lt;$K$27,0,DATEDIF($K$27,V206+1,"m"))))&lt;0,0,IF(T207+U207+S207+R207+Q207=12,0,IF(V206&gt;$K$28,12-DATEDIF($K$28,V206+1,"m"),IF(V206&lt;$K$27,0,DATEDIF($K$27,V206+1,"m")))))</f>
        <v>0</v>
      </c>
      <c r="W207" s="421">
        <f>IF(IF(U207+V207+T207+S207+R207+Q207=12,0,IF(W206&gt;$K$28,12-DATEDIF($K$28,W206+1,"m"),IF(W206&lt;$K$27,0,DATEDIF($K$27,W206+1,"m"))))&lt;0,0,IF(U207+V207+T207+S207+R207+Q207=12,0,IF(W206&gt;$K$28,12-DATEDIF($K$28,W206+1,"m"),IF(W206&lt;$K$27,0,DATEDIF($K$27,W206+1,"m")))))</f>
        <v>0</v>
      </c>
      <c r="X207" s="421">
        <f>IF(IF(V207+W207+U207+T207+S207+R207+Q207=12,0,IF(X206&gt;$K$28,12-DATEDIF($K$28,X206+1,"m"),IF(X206&lt;$K$27,0,DATEDIF($K$27,X206+1,"m"))))&lt;0,0,IF(V207+W207+U207+T207+S207+R207+Q207=12,0,IF(X206&gt;$K$28,12-DATEDIF($K$28,X206+1,"m"),IF(X206&lt;$K$27,0,DATEDIF($K$27,X206+1,"m")))))</f>
        <v>0</v>
      </c>
      <c r="Y207" s="421">
        <f>IF(IF(W207+X207+V207+U207+T207+S207+R207+Q207=12,0,IF(Y206&gt;$K$28,12-DATEDIF($K$28,Y206+1,"m"),IF(Y206&lt;$K$27,0,DATEDIF($K$27,Y206+1,"m"))))&lt;0,0,IF(W207+X207+V207+U207+T207+S207+R207+Q207=12,0,IF(Y206&gt;$K$28,12-DATEDIF($K$28,Y206+1,"m"),IF(Y206&lt;$K$27,0,DATEDIF($K$27,Y206+1,"m")))))</f>
        <v>0</v>
      </c>
      <c r="Z207" s="421">
        <f>IF(IF(X207+Y207+W207+V207+U207+T207+S207+R207+Q207=12,0,IF(Z206&gt;$K$28,12-DATEDIF($K$28,Z206+1,"m"),IF(Z206&lt;$K$27,0,DATEDIF($K$27,Z206+1,"m"))))&lt;0,0,IF(X207+Y207+W207+V207+U207+T207+S207+R207+Q207=12,0,IF(Z206&gt;$K$28,12-DATEDIF($K$28,Z206+1,"m"),IF(Z206&lt;$K$27,0,DATEDIF($K$27,Z206+1,"m")))))</f>
        <v>0</v>
      </c>
      <c r="AA207" s="421">
        <f>IF(IF(Q207+R207+S207+Y207+Z207+X207+W207+V207+U207+T207=12,0,IF(AA206&gt;$K$28,12-DATEDIF($K$28,AA206+1,"m"),IF(AA206&lt;$K$27,0,DATEDIF($K$27,AA206+1,"m"))))&lt;0,0,IF(Q207+R207+S207+Y207+Z207+X207+W207+V207+U207+T207=12,0,IF(AA206&gt;$K$28,12-DATEDIF($K$28,AA206+1,"m"),IF(AA206&lt;$K$27,0,DATEDIF($K$27,AA206+1,"m")))))</f>
        <v>0</v>
      </c>
      <c r="AB207" s="421">
        <f>IF(IF(Q207+R207+S207+T207+Z207+AA207+Y207+X207+W207+V207+U207=12,0,IF(AB206&gt;$K$28,12-DATEDIF($K$28,AB206+1,"m"),IF(AB206&lt;$K$27,0,DATEDIF($K$27,AB206+1,"m"))))&lt;0,0,IF(Q207+R207+S207+T207+Z207+AA207+Y207+X207+W207+V207+U207=12,0,IF(AB206&gt;$K$28,12-DATEDIF($K$28,AB206+1,"m"),IF(AB206&lt;$K$27,0,DATEDIF($K$27,AB206+1,"m")))))</f>
        <v>0</v>
      </c>
      <c r="AC207" s="421">
        <f>IF(IF(Q207+R207+S207+T207+U207+AA207+AB207+Z207+Y207+X207+W207+V207=12,0,IF(AC206&gt;$K$28,12-DATEDIF($K$28,AC206+1,"m"),IF(AC206&lt;$K$27,0,DATEDIF($K$27,AC206+1,"m"))))&lt;0,0,IF(Q207+R207+S207+T207+U207+AA207+AB207+Z207+Y207+X207+W207+V207=12,0,IF(AC206&gt;$K$28,12-DATEDIF($K$28,AC206+1,"m"),IF(AC206&lt;$K$27,0,DATEDIF($K$27,AC206+1,"m")))))</f>
        <v>0</v>
      </c>
      <c r="AD207" s="421">
        <f>IF(IF(Q207+R207+S207+T207+U207+V207+AB207+AC207+AA207+Z207+Y207+X207+W207=12,0,IF(AD206&gt;$K$28,12-DATEDIF($K$28,AD206+1,"m"),IF(AD206&lt;$K$27,0,DATEDIF($K$27,AD206+1,"m"))))&lt;0,0,IF(Q207+R207+S207+T207+U207+V207+AB207+AC207+AA207+Z207+Y207+X207+W207=12,0,IF(AD206&gt;$K$28,12-DATEDIF($K$28,AD206+1,"m"),IF(AD206&lt;$K$27,0,DATEDIF($K$27,AD206+1,"m")))))</f>
        <v>0</v>
      </c>
      <c r="AE207" s="421">
        <f>IF(IF(Q207+R207+S207+T207+U207+V207+W207+AC207+AD207+AB207+AA207+Z207+Y207+X207=12,0,IF(AE206&gt;$K$28,12-DATEDIF($K$28,AE206+1,"m"),IF(AE206&lt;$K$27,0,DATEDIF($K$27,AE206+1,"m"))))&lt;0,0,IF(Q207+R207+S207+T207+U207+V207+W207+AC207+AD207+AB207+AA207+Z207+Y207+X207=12,0,IF(AE206&gt;$K$28,12-DATEDIF($K$28,AE206+1,"m"),IF(AE206&lt;$K$27,0,DATEDIF($K$27,AE206+1,"m")))))</f>
        <v>0</v>
      </c>
      <c r="AF207" s="421">
        <f>IF(IF(Q207+R207+S207+T207+U207+V207+W207+X207+AD207+AE207+AC207+AB207+AA207+Z207+Y207=12,0,IF(AF206&gt;$K$28,12-DATEDIF($K$28,AF206+1,"m"),IF(AF206&lt;$K$27,0,DATEDIF($K$27,AF206+1,"m"))))&lt;0,0,IF(Q207+R207+S207+T207+U207+V207+W207+X207+AD207+AE207+AC207+AB207+AA207+Z207+Y207=12,0,IF(AF206&gt;$K$28,12-DATEDIF($K$28,AF206+1,"m"),IF(AF206&lt;$K$27,0,DATEDIF($K$27,AF206+1,"m")))))</f>
        <v>0</v>
      </c>
      <c r="AG207" s="421">
        <f>IF(IF(Q207+R207+S207+T207+U207+V207+W207+X207+Y207+AE207+AF207+AD207+AC207+AB207+AA207+Z207=12,0,IF(AG206&gt;$K$28,12-DATEDIF($K$28,AG206+1,"m"),IF(AG206&lt;$K$27,0,DATEDIF($K$27,AG206+1,"m"))))&lt;0,0,IF(Q207+R207+S207+T207+U207+V207+W207+X207+Y207+AE207+AF207+AD207+AC207+AB207+AA207+Z207=12,0,IF(AG206&gt;$K$28,12-DATEDIF($K$28,AG206+1,"m"),IF(AG206&lt;$K$27,0,DATEDIF($K$27,AG206+1,"m")))))</f>
        <v>0</v>
      </c>
      <c r="AH207" s="219">
        <f>SUM(Q207:AG207)</f>
        <v>0</v>
      </c>
      <c r="AI207" s="421">
        <f t="shared" si="96"/>
        <v>0</v>
      </c>
      <c r="AJ207" s="421">
        <f t="shared" si="96"/>
        <v>0</v>
      </c>
      <c r="AK207" s="421">
        <f t="shared" si="96"/>
        <v>0</v>
      </c>
      <c r="AL207" s="421">
        <f t="shared" si="96"/>
        <v>0</v>
      </c>
      <c r="AM207" s="421">
        <f t="shared" si="96"/>
        <v>0</v>
      </c>
      <c r="AN207" s="421">
        <f t="shared" si="96"/>
        <v>0</v>
      </c>
      <c r="AO207" s="421">
        <f t="shared" si="96"/>
        <v>0</v>
      </c>
      <c r="AP207" s="421">
        <f t="shared" si="96"/>
        <v>0</v>
      </c>
      <c r="AQ207" s="421">
        <f t="shared" si="96"/>
        <v>0</v>
      </c>
      <c r="AR207" s="421">
        <f t="shared" si="96"/>
        <v>0</v>
      </c>
      <c r="AS207" s="421">
        <f t="shared" si="97"/>
        <v>0</v>
      </c>
      <c r="AT207" s="421">
        <f t="shared" si="97"/>
        <v>0</v>
      </c>
      <c r="AU207" s="421">
        <f t="shared" si="97"/>
        <v>0</v>
      </c>
      <c r="AV207" s="421">
        <f t="shared" si="97"/>
        <v>0</v>
      </c>
      <c r="AW207" s="421">
        <f t="shared" si="97"/>
        <v>0</v>
      </c>
      <c r="AX207" s="421">
        <f t="shared" si="97"/>
        <v>0</v>
      </c>
      <c r="AY207" s="421">
        <f t="shared" si="97"/>
        <v>0</v>
      </c>
      <c r="AZ207" s="219">
        <f>SUM(AI207:AY207)</f>
        <v>0</v>
      </c>
    </row>
    <row r="208" spans="1:52" ht="12.75" customHeight="1" thickTop="1">
      <c r="Q208" s="421">
        <f>IF(Q207=0,0,(IF(($B$67+$C$67+$D$67+$E$67+$F$67+$G$67+$H$67+$I$67+$J$67+$K$67)&lt;=25000,(($K$67/+$AH207)*Q207)*VLOOKUP('1. SUMMARY'!$C$20,rate,Sheet1!T$21,0),((IF(($F$67+$B$67+$C$67+$D$67+$E$67+$G$67+$H$67+$I$67+$J$67)&gt;=25000,0,(((25000-($B$67+$C$67+$D$67+$E$67+$F$67+$G$67+$H$67+$I$67+$J$67))/+$AH207)*Q207)*(VLOOKUP('1. SUMMARY'!$C$20,rate,Sheet1!T$21,0))))))))</f>
        <v>0</v>
      </c>
      <c r="R208" s="421">
        <f>IF(R207=0,0,(IF(($B$67+$C$67+$D$67+$E$67+$F$67+$G$67+$H$67+$I$67+$J$67+$K$67)&lt;=25000,(($K$67/+$AH207)*R207)*VLOOKUP('1. SUMMARY'!$C$20,rate,Sheet1!U$21,0),((IF(($F$67+$B$67+$C$67+$D$67+$E$67+$G$67+$H$67+$I$67+$J$67)&gt;=25000,0,(((25000-($B$67+$C$67+$D$67+$E$67+$F$67+$G$67+$H$67+$I$67+$J$67))/+$AH207)*R207)*(VLOOKUP('1. SUMMARY'!$C$20,rate,Sheet1!U$21,0))))))))</f>
        <v>0</v>
      </c>
      <c r="S208" s="421">
        <f>IF(S207=0,0,(IF(($B$67+$C$67+$D$67+$E$67+$F$67+$G$67+$H$67+$I$67+$J$67+$K$67)&lt;=25000,(($K$67/+$AH207)*S207)*VLOOKUP('1. SUMMARY'!$C$20,rate,Sheet1!V$21,0),((IF(($F$67+$B$67+$C$67+$D$67+$E$67+$G$67+$H$67+$I$67+$J$67)&gt;=25000,0,(((25000-($B$67+$C$67+$D$67+$E$67+$F$67+$G$67+$H$67+$I$67+$J$67))/+$AH207)*S207)*(VLOOKUP('1. SUMMARY'!$C$20,rate,Sheet1!V$21,0))))))))</f>
        <v>0</v>
      </c>
      <c r="T208" s="421">
        <f>IF(T207=0,0,(IF(($B$67+$C$67+$D$67+$E$67+$F$67+$G$67+$H$67+$I$67+$J$67+$K$67)&lt;=25000,(($K$67/+$AH207)*T207)*VLOOKUP('1. SUMMARY'!$C$20,rate,Sheet1!W$21,0),((IF(($F$67+$B$67+$C$67+$D$67+$E$67+$G$67+$H$67+$I$67+$J$67)&gt;=25000,0,(((25000-($B$67+$C$67+$D$67+$E$67+$F$67+$G$67+$H$67+$I$67+$J$67))/+$AH207)*T207)*(VLOOKUP('1. SUMMARY'!$C$20,rate,Sheet1!W$21,0))))))))</f>
        <v>0</v>
      </c>
      <c r="U208" s="421">
        <f>IF(U207=0,0,(IF(($B$67+$C$67+$D$67+$E$67+$F$67+$G$67+$H$67+$I$67+$J$67+$K$67)&lt;=25000,(($K$67/+$AH207)*U207)*VLOOKUP('1. SUMMARY'!$C$20,rate,Sheet1!X$21,0),((IF(($F$67+$B$67+$C$67+$D$67+$E$67+$G$67+$H$67+$I$67+$J$67)&gt;=25000,0,(((25000-($B$67+$C$67+$D$67+$E$67+$F$67+$G$67+$H$67+$I$67+$J$67))/+$AH207)*U207)*(VLOOKUP('1. SUMMARY'!$C$20,rate,Sheet1!X$21,0))))))))</f>
        <v>0</v>
      </c>
      <c r="V208" s="421">
        <f>IF(V207=0,0,(IF(($B$67+$C$67+$D$67+$E$67+$F$67+$G$67+$H$67+$I$67+$J$67+$K$67)&lt;=25000,(($K$67/+$AH207)*V207)*VLOOKUP('1. SUMMARY'!$C$20,rate,Sheet1!Y$21,0),((IF(($F$67+$B$67+$C$67+$D$67+$E$67+$G$67+$H$67+$I$67+$J$67)&gt;=25000,0,(((25000-($B$67+$C$67+$D$67+$E$67+$F$67+$G$67+$H$67+$I$67+$J$67))/+$AH207)*V207)*(VLOOKUP('1. SUMMARY'!$C$20,rate,Sheet1!Y$21,0))))))))</f>
        <v>0</v>
      </c>
      <c r="W208" s="421">
        <f>IF(W207=0,0,(IF(($B$67+$C$67+$D$67+$E$67+$F$67+$G$67+$H$67+$I$67+$J$67+$K$67)&lt;=25000,(($K$67/+$AH207)*W207)*VLOOKUP('1. SUMMARY'!$C$20,rate,Sheet1!Z$21,0),((IF(($F$67+$B$67+$C$67+$D$67+$E$67+$G$67+$H$67+$I$67+$J$67)&gt;=25000,0,(((25000-($B$67+$C$67+$D$67+$E$67+$F$67+$G$67+$H$67+$I$67+$J$67))/+$AH207)*W207)*(VLOOKUP('1. SUMMARY'!$C$20,rate,Sheet1!Z$21,0))))))))</f>
        <v>0</v>
      </c>
      <c r="X208" s="421">
        <f>IF(X207=0,0,(IF(($B$67+$C$67+$D$67+$E$67+$F$67+$G$67+$H$67+$I$67+$J$67+$K$67)&lt;=25000,(($K$67/+$AH207)*X207)*VLOOKUP('1. SUMMARY'!$C$20,rate,Sheet1!AA$21,0),((IF(($F$67+$B$67+$C$67+$D$67+$E$67+$G$67+$H$67+$I$67+$J$67)&gt;=25000,0,(((25000-($B$67+$C$67+$D$67+$E$67+$F$67+$G$67+$H$67+$I$67+$J$67))/+$AH207)*X207)*(VLOOKUP('1. SUMMARY'!$C$20,rate,Sheet1!AA$21,0))))))))</f>
        <v>0</v>
      </c>
      <c r="Y208" s="421">
        <f>IF(Y207=0,0,(IF(($B$67+$C$67+$D$67+$E$67+$F$67+$G$67+$H$67+$I$67+$J$67+$K$67)&lt;=25000,(($K$67/+$AH207)*Y207)*VLOOKUP('1. SUMMARY'!$C$20,rate,Sheet1!AB$21,0),((IF(($F$67+$B$67+$C$67+$D$67+$E$67+$G$67+$H$67+$I$67+$J$67)&gt;=25000,0,(((25000-($B$67+$C$67+$D$67+$E$67+$F$67+$G$67+$H$67+$I$67+$J$67))/+$AH207)*Y207)*(VLOOKUP('1. SUMMARY'!$C$20,rate,Sheet1!AB$21,0))))))))</f>
        <v>0</v>
      </c>
      <c r="Z208" s="421">
        <f>IF(Z207=0,0,(IF(($B$67+$C$67+$D$67+$E$67+$F$67+$G$67+$H$67+$I$67+$J$67+$K$67)&lt;=25000,(($K$67/+$AH207)*Z207)*VLOOKUP('1. SUMMARY'!$C$20,rate,Sheet1!AC$21,0),((IF(($F$67+$B$67+$C$67+$D$67+$E$67+$G$67+$H$67+$I$67+$J$67)&gt;=25000,0,(((25000-($B$67+$C$67+$D$67+$E$67+$F$67+$G$67+$H$67+$I$67+$J$67))/+$AH207)*Z207)*(VLOOKUP('1. SUMMARY'!$C$20,rate,Sheet1!AC$21,0))))))))</f>
        <v>0</v>
      </c>
      <c r="AA208" s="421">
        <f>IF(AA207=0,0,(IF(($B$67+$C$67+$D$67+$E$67+$F$67+$G$67+$H$67+$I$67+$J$67+$K$67)&lt;=25000,(($K$67/+$AH207)*AA207)*VLOOKUP('1. SUMMARY'!$C$20,rate,Sheet1!AD$21,0),((IF(($F$67+$B$67+$C$67+$D$67+$E$67+$G$67+$H$67+$I$67+$J$67)&gt;=25000,0,(((25000-($B$67+$C$67+$D$67+$E$67+$F$67+$G$67+$H$67+$I$67+$J$67))/+$AH207)*AA207)*(VLOOKUP('1. SUMMARY'!$C$20,rate,Sheet1!AD$21,0))))))))</f>
        <v>0</v>
      </c>
      <c r="AB208" s="421">
        <f>IF(AB207=0,0,(IF(($B$67+$C$67+$D$67+$E$67+$F$67+$G$67+$H$67+$I$67+$J$67+$K$67)&lt;=25000,(($K$67/+$AH207)*AB207)*VLOOKUP('1. SUMMARY'!$C$20,rate,Sheet1!AE$21,0),((IF(($F$67+$B$67+$C$67+$D$67+$E$67+$G$67+$H$67+$I$67+$J$67)&gt;=25000,0,(((25000-($B$67+$C$67+$D$67+$E$67+$F$67+$G$67+$H$67+$I$67+$J$67))/+$AH207)*AB207)*(VLOOKUP('1. SUMMARY'!$C$20,rate,Sheet1!AE$21,0))))))))</f>
        <v>0</v>
      </c>
      <c r="AC208" s="421">
        <f>IF(AC207=0,0,(IF(($B$67+$C$67+$D$67+$E$67+$F$67+$G$67+$H$67+$I$67+$J$67+$K$67)&lt;=25000,(($K$67/+$AH207)*AC207)*VLOOKUP('1. SUMMARY'!$C$20,rate,Sheet1!AF$21,0),((IF(($F$67+$B$67+$C$67+$D$67+$E$67+$G$67+$H$67+$I$67+$J$67)&gt;=25000,0,(((25000-($B$67+$C$67+$D$67+$E$67+$F$67+$G$67+$H$67+$I$67+$J$67))/+$AH207)*AC207)*(VLOOKUP('1. SUMMARY'!$C$20,rate,Sheet1!AF$21,0))))))))</f>
        <v>0</v>
      </c>
      <c r="AD208" s="421">
        <f>IF(AD207=0,0,(IF(($B$67+$C$67+$D$67+$E$67+$F$67+$G$67+$H$67+$I$67+$J$67+$K$67)&lt;=25000,(($K$67/+$AH207)*AD207)*VLOOKUP('1. SUMMARY'!$C$20,rate,Sheet1!AG$21,0),((IF(($F$67+$B$67+$C$67+$D$67+$E$67+$G$67+$H$67+$I$67+$J$67)&gt;=25000,0,(((25000-($B$67+$C$67+$D$67+$E$67+$F$67+$G$67+$H$67+$I$67+$J$67))/+$AH207)*AD207)*(VLOOKUP('1. SUMMARY'!$C$20,rate,Sheet1!AG$21,0))))))))</f>
        <v>0</v>
      </c>
      <c r="AE208" s="421">
        <f>IF(AE207=0,0,(IF(($B$67+$C$67+$D$67+$E$67+$F$67+$G$67+$H$67+$I$67+$J$67+$K$67)&lt;=25000,(($K$67/+$AH207)*AE207)*VLOOKUP('1. SUMMARY'!$C$20,rate,Sheet1!AH$21,0),((IF(($F$67+$B$67+$C$67+$D$67+$E$67+$G$67+$H$67+$I$67+$J$67)&gt;=25000,0,(((25000-($B$67+$C$67+$D$67+$E$67+$F$67+$G$67+$H$67+$I$67+$J$67))/+$AH207)*AE207)*(VLOOKUP('1. SUMMARY'!$C$20,rate,Sheet1!AH$21,0))))))))</f>
        <v>0</v>
      </c>
      <c r="AF208" s="421">
        <f>IF(AF207=0,0,(IF(($B$67+$C$67+$D$67+$E$67+$F$67+$G$67+$H$67+$I$67+$J$67+$K$67)&lt;=25000,(($K$67/+$AH207)*AF207)*VLOOKUP('1. SUMMARY'!$C$20,rate,Sheet1!AI$21,0),((IF(($F$67+$B$67+$C$67+$D$67+$E$67+$G$67+$H$67+$I$67+$J$67)&gt;=25000,0,(((25000-($B$67+$C$67+$D$67+$E$67+$F$67+$G$67+$H$67+$I$67+$J$67))/+$AH207)*AF207)*(VLOOKUP('1. SUMMARY'!$C$20,rate,Sheet1!AI$21,0))))))))</f>
        <v>0</v>
      </c>
      <c r="AG208" s="421">
        <f>IF(AG207=0,0,(IF(($B$67+$C$67+$D$67+$E$67+$F$67+$G$67+$H$67+$I$67+$J$67+$K$67)&lt;=25000,(($K$67/+$AH207)*AG207)*VLOOKUP('1. SUMMARY'!$C$20,rate,Sheet1!AJ$21,0),((IF(($F$67+$B$67+$C$67+$D$67+$E$67+$G$67+$H$67+$I$67+$J$67)&gt;=25000,0,(((25000-($B$67+$C$67+$D$67+$E$67+$F$67+$G$67+$H$67+$I$67+$J$67))/+$AH207)*AG207)*(VLOOKUP('1. SUMMARY'!$C$20,rate,Sheet1!AJ$21,0))))))))</f>
        <v>0</v>
      </c>
      <c r="AH208" s="219">
        <f>SUM(Q208:AG208)</f>
        <v>0</v>
      </c>
      <c r="AI208" s="421">
        <f>IF(AI207=0,0,((+$K67/$AZ207)*AI207)*VLOOKUP('1. SUMMARY'!$C$20,rate,Sheet1!T$21,0))</f>
        <v>0</v>
      </c>
      <c r="AJ208" s="421">
        <f>IF(AJ207=0,0,((+$K67/$AZ207)*AJ207)*VLOOKUP('1. SUMMARY'!$C$20,rate,Sheet1!U$21,0))</f>
        <v>0</v>
      </c>
      <c r="AK208" s="421">
        <f>IF(AK207=0,0,((+$K67/$AZ207)*AK207)*VLOOKUP('1. SUMMARY'!$C$20,rate,Sheet1!V$21,0))</f>
        <v>0</v>
      </c>
      <c r="AL208" s="421">
        <f>IF(AL207=0,0,((+$K67/$AZ207)*AL207)*VLOOKUP('1. SUMMARY'!$C$20,rate,Sheet1!W$21,0))</f>
        <v>0</v>
      </c>
      <c r="AM208" s="421">
        <f>IF(AM207=0,0,((+$K67/$AZ207)*AM207)*VLOOKUP('1. SUMMARY'!$C$20,rate,Sheet1!X$21,0))</f>
        <v>0</v>
      </c>
      <c r="AN208" s="421">
        <f>IF(AN207=0,0,((+$K67/$AZ207)*AN207)*VLOOKUP('1. SUMMARY'!$C$20,rate,Sheet1!Y$21,0))</f>
        <v>0</v>
      </c>
      <c r="AO208" s="421">
        <f>IF(AO207=0,0,((+$K67/$AZ207)*AO207)*VLOOKUP('1. SUMMARY'!$C$20,rate,Sheet1!Z$21,0))</f>
        <v>0</v>
      </c>
      <c r="AP208" s="421">
        <f>IF(AP207=0,0,((+$K67/$AZ207)*AP207)*VLOOKUP('1. SUMMARY'!$C$20,rate,Sheet1!AA$21,0))</f>
        <v>0</v>
      </c>
      <c r="AQ208" s="421">
        <f>IF(AQ207=0,0,((+$K67/$AZ207)*AQ207)*VLOOKUP('1. SUMMARY'!$C$20,rate,Sheet1!AB$21,0))</f>
        <v>0</v>
      </c>
      <c r="AR208" s="421">
        <f>IF(AR207=0,0,((+$K67/$AZ207)*AR207)*VLOOKUP('1. SUMMARY'!$C$20,rate,Sheet1!AC$21,0))</f>
        <v>0</v>
      </c>
      <c r="AS208" s="421">
        <f>IF(AS207=0,0,((+$K67/$AZ207)*AS207)*VLOOKUP('1. SUMMARY'!$C$20,rate,Sheet1!AD$21,0))</f>
        <v>0</v>
      </c>
      <c r="AT208" s="421">
        <f>IF(AT207=0,0,((+$K67/$AZ207)*AT207)*VLOOKUP('1. SUMMARY'!$C$20,rate,Sheet1!AE$21,0))</f>
        <v>0</v>
      </c>
      <c r="AU208" s="421">
        <f>IF(AU207=0,0,((+$K67/$AZ207)*AU207)*VLOOKUP('1. SUMMARY'!$C$20,rate,Sheet1!AF$21,0))</f>
        <v>0</v>
      </c>
      <c r="AV208" s="421">
        <f>IF(AV207=0,0,((+$K67/$AZ207)*AV207)*VLOOKUP('1. SUMMARY'!$C$20,rate,Sheet1!AG$21,0))</f>
        <v>0</v>
      </c>
      <c r="AW208" s="421">
        <f>IF(AW207=0,0,((+$K67/$AZ207)*AW207)*VLOOKUP('1. SUMMARY'!$C$20,rate,Sheet1!AH$21,0))</f>
        <v>0</v>
      </c>
      <c r="AX208" s="421">
        <f>IF(AX207=0,0,((+$K67/$AZ207)*AX207)*VLOOKUP('1. SUMMARY'!$C$20,rate,Sheet1!AI$21,0))</f>
        <v>0</v>
      </c>
      <c r="AY208" s="421">
        <f>IF(AY207=0,0,((+$K67/$AZ207)*AY207)*VLOOKUP('1. SUMMARY'!$C$20,rate,Sheet1!AJ$21,0))</f>
        <v>0</v>
      </c>
      <c r="AZ208" s="219">
        <f>SUM(AI208:AY208)</f>
        <v>0</v>
      </c>
    </row>
    <row r="209" spans="1:52" ht="12.75" customHeight="1" thickBot="1">
      <c r="Q209" s="421">
        <f>+Q208/VLOOKUP('1. SUMMARY'!$C$20,rate,Sheet1!T$21,0)</f>
        <v>0</v>
      </c>
      <c r="R209" s="421">
        <f>+R208/VLOOKUP('1. SUMMARY'!$C$20,rate,Sheet1!U$21,0)</f>
        <v>0</v>
      </c>
      <c r="S209" s="421">
        <f>+S208/VLOOKUP('1. SUMMARY'!$C$20,rate,Sheet1!V$21,0)</f>
        <v>0</v>
      </c>
      <c r="T209" s="421">
        <f>+T208/VLOOKUP('1. SUMMARY'!$C$20,rate,Sheet1!W$21,0)</f>
        <v>0</v>
      </c>
      <c r="U209" s="421">
        <f>+U208/VLOOKUP('1. SUMMARY'!$C$20,rate,Sheet1!X$21,0)</f>
        <v>0</v>
      </c>
      <c r="V209" s="421">
        <f>+V208/VLOOKUP('1. SUMMARY'!$C$20,rate,Sheet1!Y$21,0)</f>
        <v>0</v>
      </c>
      <c r="W209" s="421">
        <f>+W208/VLOOKUP('1. SUMMARY'!$C$20,rate,Sheet1!Z$21,0)</f>
        <v>0</v>
      </c>
      <c r="X209" s="421">
        <f>+X208/VLOOKUP('1. SUMMARY'!$C$20,rate,Sheet1!AA$21,0)</f>
        <v>0</v>
      </c>
      <c r="Y209" s="421">
        <f>+Y208/VLOOKUP('1. SUMMARY'!$C$20,rate,Sheet1!AB$21,0)</f>
        <v>0</v>
      </c>
      <c r="Z209" s="421">
        <f>+Z208/VLOOKUP('1. SUMMARY'!$C$20,rate,Sheet1!AC$21,0)</f>
        <v>0</v>
      </c>
      <c r="AA209" s="421">
        <f>+AA208/VLOOKUP('1. SUMMARY'!$C$20,rate,Sheet1!AD$21,0)</f>
        <v>0</v>
      </c>
      <c r="AB209" s="421">
        <f>+AB208/VLOOKUP('1. SUMMARY'!$C$20,rate,Sheet1!AE$21,0)</f>
        <v>0</v>
      </c>
      <c r="AC209" s="421">
        <f>+AC208/VLOOKUP('1. SUMMARY'!$C$20,rate,Sheet1!AF$21,0)</f>
        <v>0</v>
      </c>
      <c r="AD209" s="421">
        <f>+AD208/VLOOKUP('1. SUMMARY'!$C$20,rate,Sheet1!AG$21,0)</f>
        <v>0</v>
      </c>
      <c r="AE209" s="421">
        <f>+AE208/VLOOKUP('1. SUMMARY'!$C$20,rate,Sheet1!AH$21,0)</f>
        <v>0</v>
      </c>
      <c r="AF209" s="421">
        <f>+AF208/VLOOKUP('1. SUMMARY'!$C$20,rate,Sheet1!AI$21,0)</f>
        <v>0</v>
      </c>
      <c r="AG209" s="421">
        <f>+AG208/VLOOKUP('1. SUMMARY'!$C$20,rate,Sheet1!AJ$21,0)</f>
        <v>0</v>
      </c>
      <c r="AH209" s="219"/>
      <c r="AI209" s="421"/>
      <c r="AJ209" s="421"/>
      <c r="AK209" s="421"/>
      <c r="AL209" s="421"/>
      <c r="AM209" s="421"/>
      <c r="AN209" s="421"/>
      <c r="AO209" s="421"/>
      <c r="AP209" s="421"/>
      <c r="AQ209" s="421"/>
      <c r="AR209" s="421"/>
      <c r="AS209" s="421"/>
      <c r="AT209" s="421"/>
      <c r="AU209" s="421"/>
      <c r="AV209" s="421"/>
      <c r="AW209" s="421"/>
      <c r="AX209" s="421"/>
      <c r="AY209" s="421"/>
      <c r="AZ209" s="219"/>
    </row>
    <row r="210" spans="1:52" ht="12.75" customHeight="1" thickTop="1">
      <c r="A210" s="212" t="s">
        <v>166</v>
      </c>
      <c r="B210" s="213"/>
      <c r="C210" s="213"/>
      <c r="D210" s="213"/>
      <c r="E210" s="213"/>
      <c r="F210" s="213"/>
      <c r="G210" s="213"/>
      <c r="H210" s="213"/>
      <c r="I210" s="213"/>
      <c r="J210" s="213"/>
      <c r="K210" s="213"/>
      <c r="L210" s="214"/>
      <c r="P210" s="207">
        <f>IF(Q310=39356,(+P184+1),P184)</f>
        <v>1</v>
      </c>
      <c r="Q210" s="396">
        <f>Sheet1!$T$8</f>
        <v>44105</v>
      </c>
      <c r="R210" s="396">
        <f>Sheet1!$U$8</f>
        <v>44470</v>
      </c>
      <c r="S210" s="396">
        <f>Sheet1!$V$8</f>
        <v>44835</v>
      </c>
      <c r="T210" s="396">
        <f>Sheet1!$W$8</f>
        <v>45200</v>
      </c>
      <c r="U210" s="396">
        <f>Sheet1!$X$8</f>
        <v>45566</v>
      </c>
      <c r="V210" s="396">
        <f>Sheet1!$Y$8</f>
        <v>45931</v>
      </c>
      <c r="W210" s="396">
        <f>Sheet1!$Z$8</f>
        <v>46296</v>
      </c>
      <c r="X210" s="396">
        <f>Sheet1!$AA$8</f>
        <v>46661</v>
      </c>
      <c r="Y210" s="396">
        <f>Sheet1!$AB$8</f>
        <v>47027</v>
      </c>
      <c r="Z210" s="396">
        <f>Sheet1!$AC$8</f>
        <v>47392</v>
      </c>
      <c r="AA210" s="396">
        <f>$AA$5</f>
        <v>47757</v>
      </c>
      <c r="AB210" s="396">
        <f>$AB$5</f>
        <v>48122</v>
      </c>
      <c r="AC210" s="396">
        <f>$AC$5</f>
        <v>48488</v>
      </c>
      <c r="AD210" s="396">
        <f>$AD$5</f>
        <v>48853</v>
      </c>
      <c r="AE210" s="396">
        <f>$AE$5</f>
        <v>49218</v>
      </c>
      <c r="AF210" s="396">
        <f>$AF$5</f>
        <v>49583</v>
      </c>
      <c r="AG210" s="396">
        <f>$AG$5</f>
        <v>49949</v>
      </c>
      <c r="AH210" s="211"/>
      <c r="AI210" s="396">
        <f t="shared" ref="AI210:AR212" si="98">+Q210</f>
        <v>44105</v>
      </c>
      <c r="AJ210" s="396">
        <f t="shared" si="98"/>
        <v>44470</v>
      </c>
      <c r="AK210" s="396">
        <f t="shared" si="98"/>
        <v>44835</v>
      </c>
      <c r="AL210" s="396">
        <f t="shared" si="98"/>
        <v>45200</v>
      </c>
      <c r="AM210" s="396">
        <f t="shared" si="98"/>
        <v>45566</v>
      </c>
      <c r="AN210" s="396">
        <f t="shared" si="98"/>
        <v>45931</v>
      </c>
      <c r="AO210" s="396">
        <f t="shared" si="98"/>
        <v>46296</v>
      </c>
      <c r="AP210" s="396">
        <f t="shared" si="98"/>
        <v>46661</v>
      </c>
      <c r="AQ210" s="396">
        <f t="shared" si="98"/>
        <v>47027</v>
      </c>
      <c r="AR210" s="396">
        <f t="shared" si="98"/>
        <v>47392</v>
      </c>
      <c r="AS210" s="396">
        <f t="shared" ref="AS210:AY212" si="99">+AA210</f>
        <v>47757</v>
      </c>
      <c r="AT210" s="396">
        <f t="shared" si="99"/>
        <v>48122</v>
      </c>
      <c r="AU210" s="396">
        <f t="shared" si="99"/>
        <v>48488</v>
      </c>
      <c r="AV210" s="396">
        <f t="shared" si="99"/>
        <v>48853</v>
      </c>
      <c r="AW210" s="396">
        <f t="shared" si="99"/>
        <v>49218</v>
      </c>
      <c r="AX210" s="396">
        <f t="shared" si="99"/>
        <v>49583</v>
      </c>
      <c r="AY210" s="396">
        <f t="shared" si="99"/>
        <v>49949</v>
      </c>
      <c r="AZ210" s="211"/>
    </row>
    <row r="211" spans="1:52" ht="23.25" customHeight="1">
      <c r="A211" s="215" t="s">
        <v>149</v>
      </c>
      <c r="B211" s="575"/>
      <c r="C211" s="575"/>
      <c r="D211" s="575"/>
      <c r="E211" s="575"/>
      <c r="F211" s="575"/>
      <c r="G211" s="575"/>
      <c r="H211" s="575"/>
      <c r="I211" s="575"/>
      <c r="J211" s="575"/>
      <c r="K211" s="575"/>
      <c r="L211" s="576"/>
      <c r="P211" s="207">
        <f t="shared" ref="P211:P234" si="100">IF(Q311=39356,(+P210+1),P210)</f>
        <v>1</v>
      </c>
      <c r="Q211" s="396">
        <f>Sheet1!$T$9</f>
        <v>44469</v>
      </c>
      <c r="R211" s="396">
        <f>Sheet1!$U$9</f>
        <v>44834</v>
      </c>
      <c r="S211" s="396">
        <f>Sheet1!$V$9</f>
        <v>45199</v>
      </c>
      <c r="T211" s="396">
        <f>Sheet1!$W$9</f>
        <v>45565</v>
      </c>
      <c r="U211" s="396">
        <f>Sheet1!$X$9</f>
        <v>45930</v>
      </c>
      <c r="V211" s="396">
        <f>Sheet1!$Y$9</f>
        <v>46295</v>
      </c>
      <c r="W211" s="396">
        <f>Sheet1!$Z$9</f>
        <v>46660</v>
      </c>
      <c r="X211" s="396">
        <f>Sheet1!$AA$9</f>
        <v>47026</v>
      </c>
      <c r="Y211" s="396">
        <f>Sheet1!$AB$9</f>
        <v>47391</v>
      </c>
      <c r="Z211" s="396">
        <f>Sheet1!$AC$9</f>
        <v>47756</v>
      </c>
      <c r="AA211" s="396">
        <f>$AA$6</f>
        <v>48121</v>
      </c>
      <c r="AB211" s="396">
        <f>$AB$6</f>
        <v>48487</v>
      </c>
      <c r="AC211" s="396">
        <f>$AC$6</f>
        <v>48852</v>
      </c>
      <c r="AD211" s="396">
        <f>$AD$6</f>
        <v>49217</v>
      </c>
      <c r="AE211" s="396">
        <f>$AE$6</f>
        <v>49582</v>
      </c>
      <c r="AF211" s="396">
        <f>$AF$6</f>
        <v>49948</v>
      </c>
      <c r="AG211" s="396">
        <f>$AG$6</f>
        <v>50313</v>
      </c>
      <c r="AH211" s="211"/>
      <c r="AI211" s="396">
        <f t="shared" si="98"/>
        <v>44469</v>
      </c>
      <c r="AJ211" s="396">
        <f t="shared" si="98"/>
        <v>44834</v>
      </c>
      <c r="AK211" s="396">
        <f t="shared" si="98"/>
        <v>45199</v>
      </c>
      <c r="AL211" s="396">
        <f t="shared" si="98"/>
        <v>45565</v>
      </c>
      <c r="AM211" s="396">
        <f t="shared" si="98"/>
        <v>45930</v>
      </c>
      <c r="AN211" s="396">
        <f t="shared" si="98"/>
        <v>46295</v>
      </c>
      <c r="AO211" s="396">
        <f t="shared" si="98"/>
        <v>46660</v>
      </c>
      <c r="AP211" s="396">
        <f t="shared" si="98"/>
        <v>47026</v>
      </c>
      <c r="AQ211" s="396">
        <f t="shared" si="98"/>
        <v>47391</v>
      </c>
      <c r="AR211" s="396">
        <f t="shared" si="98"/>
        <v>47756</v>
      </c>
      <c r="AS211" s="396">
        <f t="shared" si="99"/>
        <v>48121</v>
      </c>
      <c r="AT211" s="396">
        <f t="shared" si="99"/>
        <v>48487</v>
      </c>
      <c r="AU211" s="396">
        <f t="shared" si="99"/>
        <v>48852</v>
      </c>
      <c r="AV211" s="396">
        <f t="shared" si="99"/>
        <v>49217</v>
      </c>
      <c r="AW211" s="396">
        <f t="shared" si="99"/>
        <v>49582</v>
      </c>
      <c r="AX211" s="396">
        <f t="shared" si="99"/>
        <v>49948</v>
      </c>
      <c r="AY211" s="396">
        <f t="shared" si="99"/>
        <v>50313</v>
      </c>
      <c r="AZ211" s="211"/>
    </row>
    <row r="212" spans="1:52" ht="12.75" customHeight="1">
      <c r="A212" s="216"/>
      <c r="B212" s="217"/>
      <c r="C212" s="217"/>
      <c r="D212" s="217"/>
      <c r="E212" s="217"/>
      <c r="F212" s="217"/>
      <c r="G212" s="217"/>
      <c r="H212" s="217"/>
      <c r="I212" s="217"/>
      <c r="J212" s="217"/>
      <c r="K212" s="217"/>
      <c r="L212" s="218"/>
      <c r="O212" s="207">
        <v>1</v>
      </c>
      <c r="P212" s="207">
        <f t="shared" si="100"/>
        <v>1</v>
      </c>
      <c r="Q212" s="397">
        <f>IF(IF(Q211&lt;B78,0,DATEDIF(B78,Q211+1,"m"))&lt;0,0,IF(Q211&lt;B78,0,DATEDIF(B78,Q211+1,"m")))</f>
        <v>1461</v>
      </c>
      <c r="R212" s="397">
        <f>IF(IF(Q212=12,0,IF(R211&gt;B79,12-DATEDIF(B79,R211+1,"m"),IF(R211&lt;B78,0,DATEDIF(B78,R211+1,"m"))))&lt;0,0,IF(Q212=12,0,IF(R211&gt;B79,12-DATEDIF(B79,R211+1,"m"),IF(R211&lt;B78,0,DATEDIF(B78,R211+1,"m")))))</f>
        <v>0</v>
      </c>
      <c r="S212" s="397">
        <f>IF(IF(Q212+R212=12,0,IF(S211&gt;B79,12-DATEDIF(B79,S211+1,"m"),IF(S211&lt;B78,0,DATEDIF(B78,S211+1,"m"))))&lt;0,0,IF(Q212+R212=12,0,IF(S211&gt;B79,12-DATEDIF(B79,S211+1,"m"),IF(S211&lt;B78,0,DATEDIF(B78,S211+1,"m")))))</f>
        <v>0</v>
      </c>
      <c r="T212" s="397">
        <f>IF(IF(R212+S212+Q212=12,0,IF(T211&gt;B79,12-DATEDIF(B79,T211+1,"m"),IF(T211&lt;B78,0,DATEDIF(B78,T211+1,"m"))))&lt;0,0,IF(R212+S212+Q212=12,0,IF(T211&gt;B79,12-DATEDIF(B79,T211+1,"m"),IF(T211&lt;B78,0,DATEDIF(B78,T211+1,"m")))))</f>
        <v>0</v>
      </c>
      <c r="U212" s="397">
        <f>IF(IF(S212+T212+R212+Q212=12,0,IF(U211&gt;$B$45,12-DATEDIF($B$45,U211+1,"m"),IF(U211&lt;$B$44,0,DATEDIF($B$44,U211+1,"m"))))&lt;0,0,IF(S212+T212+R212+Q212=12,0,IF(U211&gt;$B$45,12-DATEDIF($B$45,U211+1,"m"),IF(U211&lt;$B$44,0,DATEDIF($B$44,U211+1,"m")))))</f>
        <v>0</v>
      </c>
      <c r="V212" s="397">
        <f>IF(IF(T212+U212+S212+R212+Q212=12,0,IF(V211&gt;$B$45,12-DATEDIF($B$45,V211+1,"m"),IF(V211&lt;$B$44,0,DATEDIF($B$44,V211+1,"m"))))&lt;0,0,IF(T212+U212+S212+R212+Q212=12,0,IF(V211&gt;$B$45,12-DATEDIF($B$45,V211+1,"m"),IF(V211&lt;$B$44,0,DATEDIF($B$44,V211+1,"m")))))</f>
        <v>0</v>
      </c>
      <c r="W212" s="397">
        <f>IF(IF(U212+V212+T212+S212+R212+Q212=12,0,IF(W211&gt;$B$45,12-DATEDIF($B$45,W211+1,"m"),IF(W211&lt;$B$44,0,DATEDIF($B$44,W211+1,"m"))))&lt;0,0,IF(U212+V212+T212+S212+R212+Q212=12,0,IF(W211&gt;$B$45,12-DATEDIF($B$45,W211+1,"m"),IF(W211&lt;$B$44,0,DATEDIF($B$44,W211+1,"m")))))</f>
        <v>0</v>
      </c>
      <c r="X212" s="397">
        <f>IF(IF(V212+W212+U212+T212+S212+R212+Q212=12,0,IF(X211&gt;$B$45,12-DATEDIF($B$45,X211+1,"m"),IF(X211&lt;$B$44,0,DATEDIF($B$44,X211+1,"m"))))&lt;0,0,IF(V212+W212+U212+T212+S212+R212+Q212=12,0,IF(X211&gt;$B$45,12-DATEDIF($B$45,X211+1,"m"),IF(X211&lt;$B$44,0,DATEDIF($B$44,X211+1,"m")))))</f>
        <v>0</v>
      </c>
      <c r="Y212" s="397">
        <f>IF(IF(W212+X212+V212+U212+T212+S212+R212=12,0,IF(Y211&gt;$B$45,12-DATEDIF($B$45,Y211+1,"m"),IF(Y211&lt;$B$44,0,DATEDIF($B$44,Y211+1,"m"))))&lt;0,0,IF(W212+X212+V212+U212+T212+S212+R212=12,0,IF(Y211&gt;$B$45,12-DATEDIF($B$45,Y211+1,"m"),IF(Y211&lt;$B$44,0,DATEDIF($B$44,Y211+1,"m")))))</f>
        <v>0</v>
      </c>
      <c r="Z212" s="397">
        <f>IF(IF(X212+Y212+W212+V212+U212+T212+S212=12,0,IF(Z211&gt;$B$45,12-DATEDIF($B$45,Z211+1,"m"),IF(Z211&lt;$B$44,0,DATEDIF($B$44,Z211+1,"m"))))&lt;0,0,IF(X212+Y212+W212+V212+U212+T212+S212=12,0,IF(Z211&gt;$B$45,12-DATEDIF($B$45,Z211+1,"m"),IF(Z211&lt;$B$44,0,DATEDIF($B$44,Z211+1,"m")))))</f>
        <v>0</v>
      </c>
      <c r="AA212" s="397"/>
      <c r="AB212" s="397"/>
      <c r="AC212" s="397"/>
      <c r="AD212" s="397"/>
      <c r="AE212" s="397"/>
      <c r="AF212" s="397"/>
      <c r="AG212" s="397"/>
      <c r="AH212" s="423">
        <f>SUM(Q212:AG212)</f>
        <v>1461</v>
      </c>
      <c r="AI212" s="397">
        <f t="shared" si="98"/>
        <v>1461</v>
      </c>
      <c r="AJ212" s="397">
        <f t="shared" si="98"/>
        <v>0</v>
      </c>
      <c r="AK212" s="397">
        <f t="shared" si="98"/>
        <v>0</v>
      </c>
      <c r="AL212" s="397">
        <f t="shared" si="98"/>
        <v>0</v>
      </c>
      <c r="AM212" s="397">
        <f t="shared" si="98"/>
        <v>0</v>
      </c>
      <c r="AN212" s="397">
        <f t="shared" si="98"/>
        <v>0</v>
      </c>
      <c r="AO212" s="397">
        <f t="shared" si="98"/>
        <v>0</v>
      </c>
      <c r="AP212" s="397">
        <f t="shared" si="98"/>
        <v>0</v>
      </c>
      <c r="AQ212" s="397">
        <f t="shared" si="98"/>
        <v>0</v>
      </c>
      <c r="AR212" s="397">
        <f t="shared" si="98"/>
        <v>0</v>
      </c>
      <c r="AS212" s="397">
        <f t="shared" si="99"/>
        <v>0</v>
      </c>
      <c r="AT212" s="397">
        <f t="shared" si="99"/>
        <v>0</v>
      </c>
      <c r="AU212" s="397">
        <f t="shared" si="99"/>
        <v>0</v>
      </c>
      <c r="AV212" s="397">
        <f t="shared" si="99"/>
        <v>0</v>
      </c>
      <c r="AW212" s="397">
        <f t="shared" si="99"/>
        <v>0</v>
      </c>
      <c r="AX212" s="397">
        <f t="shared" si="99"/>
        <v>0</v>
      </c>
      <c r="AY212" s="397">
        <f t="shared" si="99"/>
        <v>0</v>
      </c>
      <c r="AZ212" s="219">
        <f>SUM(AI212:AY212)</f>
        <v>1461</v>
      </c>
    </row>
    <row r="213" spans="1:52" ht="12.75" customHeight="1">
      <c r="A213" s="216"/>
      <c r="B213" s="175" t="s">
        <v>81</v>
      </c>
      <c r="C213" s="175" t="s">
        <v>82</v>
      </c>
      <c r="D213" s="175" t="s">
        <v>83</v>
      </c>
      <c r="E213" s="175" t="s">
        <v>84</v>
      </c>
      <c r="F213" s="175" t="s">
        <v>85</v>
      </c>
      <c r="G213" s="175" t="s">
        <v>86</v>
      </c>
      <c r="H213" s="175" t="s">
        <v>87</v>
      </c>
      <c r="I213" s="175" t="s">
        <v>224</v>
      </c>
      <c r="J213" s="175" t="s">
        <v>225</v>
      </c>
      <c r="K213" s="175" t="s">
        <v>226</v>
      </c>
      <c r="L213" s="220" t="s">
        <v>47</v>
      </c>
      <c r="P213" s="207">
        <f t="shared" si="100"/>
        <v>1</v>
      </c>
      <c r="Q213" s="398">
        <f>IF(Q212=0,0,(IF($B$84&gt;25000,((25000/+$AH$212)*Q212)*VLOOKUP('1. SUMMARY'!$C$20,rate,Sheet1!T$21,0),(($B$84/+$AH$212)*Q212)*VLOOKUP('1. SUMMARY'!$C$20,rate,Sheet1!T$21,0))))</f>
        <v>0</v>
      </c>
      <c r="R213" s="398">
        <f>IF(R212=0,0,(IF($B$84&gt;25000,((25000/+$AH$212)*R212)*VLOOKUP('1. SUMMARY'!$C$20,rate,Sheet1!U$21,0),(($B$84/+$AH$212)*R212)*VLOOKUP('1. SUMMARY'!$C$20,rate,Sheet1!U$21,0))))</f>
        <v>0</v>
      </c>
      <c r="S213" s="398">
        <f>IF(S212=0,0,(IF($B$84&gt;25000,((25000/+$AH$212)*S212)*VLOOKUP('1. SUMMARY'!$C$20,rate,Sheet1!V$21,0),(($B$84/+$AH$212)*S212)*VLOOKUP('1. SUMMARY'!$C$20,rate,Sheet1!V$21,0))))</f>
        <v>0</v>
      </c>
      <c r="T213" s="398">
        <f>IF(T212=0,0,(IF($B$84&gt;25000,((25000/+$AH$212)*T212)*VLOOKUP('1. SUMMARY'!$C$20,rate,Sheet1!W$21,0),(($B$84/+$AH$212)*T212)*VLOOKUP('1. SUMMARY'!$C$20,rate,Sheet1!W$21,0))))</f>
        <v>0</v>
      </c>
      <c r="U213" s="398">
        <f>IF(U212=0,0,(IF($B$84&gt;25000,((25000/+$AH$212)*U212)*VLOOKUP('1. SUMMARY'!$C$20,rate,Sheet1!X$21,0),(($B$84/+$AH$212)*U212)*VLOOKUP('1. SUMMARY'!$C$20,rate,Sheet1!X$21,0))))</f>
        <v>0</v>
      </c>
      <c r="V213" s="398">
        <f>IF(V212=0,0,(IF($B$84&gt;25000,((25000/+$AH$212)*V212)*VLOOKUP('1. SUMMARY'!$C$20,rate,Sheet1!Y$21,0),(($B$84/+$AH$212)*V212)*VLOOKUP('1. SUMMARY'!$C$20,rate,Sheet1!Y$21,0))))</f>
        <v>0</v>
      </c>
      <c r="W213" s="398">
        <f>IF(W212=0,0,(IF($B$84&gt;25000,((25000/+$AH$212)*W212)*VLOOKUP('1. SUMMARY'!$C$20,rate,Sheet1!Z$21,0),(($B$84/+$AH$212)*W212)*VLOOKUP('1. SUMMARY'!$C$20,rate,Sheet1!Z$21,0))))</f>
        <v>0</v>
      </c>
      <c r="X213" s="398">
        <f>IF(X212=0,0,(IF($B$84&gt;25000,((25000/+$AH$212)*X212)*VLOOKUP('1. SUMMARY'!$C$20,rate,Sheet1!AA$21,0),(($B$84/+$AH$212)*X212)*VLOOKUP('1. SUMMARY'!$C$20,rate,Sheet1!AA$21,0))))</f>
        <v>0</v>
      </c>
      <c r="Y213" s="398">
        <f>IF(Y212=0,0,(IF($B$84&gt;25000,((25000/+$AH$212)*Y212)*VLOOKUP('1. SUMMARY'!$C$20,rate,Sheet1!AB$21,0),(($B$84/+$AH$212)*Y212)*VLOOKUP('1. SUMMARY'!$C$20,rate,Sheet1!AB$21,0))))</f>
        <v>0</v>
      </c>
      <c r="Z213" s="398">
        <f>IF(Z212=0,0,(IF($B$84&gt;25000,((25000/+$AH$212)*Z212)*VLOOKUP('1. SUMMARY'!$C$20,rate,Sheet1!AC$21,0),(($B$84/+$AH$212)*Z212)*VLOOKUP('1. SUMMARY'!$C$20,rate,Sheet1!AC$21,0))))</f>
        <v>0</v>
      </c>
      <c r="AA213" s="398">
        <f>IF(AA212=0,0,(IF($B$84&gt;25000,((25000/+$AH$212)*AA212)*VLOOKUP('1. SUMMARY'!$C$20,rate,Sheet1!AD$21,0),(($B$84/+$AH$212)*AA212)*VLOOKUP('1. SUMMARY'!$C$20,rate,Sheet1!AD$21,0))))</f>
        <v>0</v>
      </c>
      <c r="AB213" s="398">
        <f>IF(AB212=0,0,(IF($B$84&gt;25000,((25000/+$AH$212)*AB212)*VLOOKUP('1. SUMMARY'!$C$20,rate,Sheet1!AE$21,0),(($B$84/+$AH$212)*AB212)*VLOOKUP('1. SUMMARY'!$C$20,rate,Sheet1!AE$21,0))))</f>
        <v>0</v>
      </c>
      <c r="AC213" s="398">
        <f>IF(AC212=0,0,(IF($B$84&gt;25000,((25000/+$AH$212)*AC212)*VLOOKUP('1. SUMMARY'!$C$20,rate,Sheet1!AF$21,0),(($B$84/+$AH$212)*AC212)*VLOOKUP('1. SUMMARY'!$C$20,rate,Sheet1!AF$21,0))))</f>
        <v>0</v>
      </c>
      <c r="AD213" s="398">
        <f>IF(AD212=0,0,(IF($B$84&gt;25000,((25000/+$AH$212)*AD212)*VLOOKUP('1. SUMMARY'!$C$20,rate,Sheet1!AG$21,0),(($B$84/+$AH$212)*AD212)*VLOOKUP('1. SUMMARY'!$C$20,rate,Sheet1!AG$21,0))))</f>
        <v>0</v>
      </c>
      <c r="AE213" s="398">
        <f>IF(AE212=0,0,(IF($B$84&gt;25000,((25000/+$AH$212)*AE212)*VLOOKUP('1. SUMMARY'!$C$20,rate,Sheet1!AH$21,0),(($B$84/+$AH$212)*AE212)*VLOOKUP('1. SUMMARY'!$C$20,rate,Sheet1!AH$21,0))))</f>
        <v>0</v>
      </c>
      <c r="AF213" s="398">
        <f>IF(AF212=0,0,(IF($B$84&gt;25000,((25000/+$AH$212)*AF212)*VLOOKUP('1. SUMMARY'!$C$20,rate,Sheet1!AI$21,0),(($B$84/+$AH$212)*AF212)*VLOOKUP('1. SUMMARY'!$C$20,rate,Sheet1!AI$21,0))))</f>
        <v>0</v>
      </c>
      <c r="AG213" s="398">
        <f>IF(AG212=0,0,(IF($B$84&gt;25000,((25000/+$AH$212)*AG212)*VLOOKUP('1. SUMMARY'!$C$20,rate,Sheet1!AJ$21,0),(($B$84/+$AH$212)*AG212)*VLOOKUP('1. SUMMARY'!$C$20,rate,Sheet1!AJ$21,0))))</f>
        <v>0</v>
      </c>
      <c r="AH213" s="219">
        <f>SUM(Q213:AG213)</f>
        <v>0</v>
      </c>
      <c r="AI213" s="398">
        <f>IF(Q212=0,0,((+$B84/$AZ212)*AI212)*VLOOKUP('1. SUMMARY'!$C$20,rate,Sheet1!T$21,0))</f>
        <v>0</v>
      </c>
      <c r="AJ213" s="398">
        <f>IF(R212=0,0,((+$B84/$AZ212)*AJ212)*VLOOKUP('1. SUMMARY'!$C$20,rate,Sheet1!U$21,0))</f>
        <v>0</v>
      </c>
      <c r="AK213" s="398">
        <f>IF(S212=0,0,((+$B84/$AZ212)*AK212)*VLOOKUP('1. SUMMARY'!$C$20,rate,Sheet1!V$21,0))</f>
        <v>0</v>
      </c>
      <c r="AL213" s="398">
        <f>IF(T212=0,0,((+$B84/$AZ212)*AL212)*VLOOKUP('1. SUMMARY'!$C$20,rate,Sheet1!W$21,0))</f>
        <v>0</v>
      </c>
      <c r="AM213" s="398">
        <f>IF(U212=0,0,((+$B84/$AZ212)*AM212)*VLOOKUP('1. SUMMARY'!$C$20,rate,Sheet1!X$21,0))</f>
        <v>0</v>
      </c>
      <c r="AN213" s="398">
        <f>IF(V212=0,0,((+$B84/$AZ212)*AN212)*VLOOKUP('1. SUMMARY'!$C$20,rate,Sheet1!Y$21,0))</f>
        <v>0</v>
      </c>
      <c r="AO213" s="398">
        <f>IF(W212=0,0,((+$B84/$AZ212)*AO212)*VLOOKUP('1. SUMMARY'!$C$20,rate,Sheet1!Z$21,0))</f>
        <v>0</v>
      </c>
      <c r="AP213" s="398">
        <f>IF(X212=0,0,((+$B84/$AZ212)*AP212)*VLOOKUP('1. SUMMARY'!$C$20,rate,Sheet1!AA$21,0))</f>
        <v>0</v>
      </c>
      <c r="AQ213" s="398">
        <f>IF(Y212=0,0,((+$B84/$AZ212)*AQ212)*VLOOKUP('1. SUMMARY'!$C$20,rate,Sheet1!AB$21,0))</f>
        <v>0</v>
      </c>
      <c r="AR213" s="398">
        <f>IF(Z212=0,0,((+$B84/$AZ212)*AR212)*VLOOKUP('1. SUMMARY'!$C$20,rate,Sheet1!AC$21,0))</f>
        <v>0</v>
      </c>
      <c r="AS213" s="398">
        <f>IF(AA212=0,0,((+$B84/$AZ212)*AS212)*VLOOKUP('1. SUMMARY'!$C$20,rate,Sheet1!AD$21,0))</f>
        <v>0</v>
      </c>
      <c r="AT213" s="398">
        <f>IF(AB212=0,0,((+$B84/$AZ212)*AT212)*VLOOKUP('1. SUMMARY'!$C$20,rate,Sheet1!AE$21,0))</f>
        <v>0</v>
      </c>
      <c r="AU213" s="398">
        <f>IF(AC212=0,0,((+$B84/$AZ212)*AU212)*VLOOKUP('1. SUMMARY'!$C$20,rate,Sheet1!AF$21,0))</f>
        <v>0</v>
      </c>
      <c r="AV213" s="398">
        <f>IF(AD212=0,0,((+$B84/$AZ212)*AV212)*VLOOKUP('1. SUMMARY'!$C$20,rate,Sheet1!AG$21,0))</f>
        <v>0</v>
      </c>
      <c r="AW213" s="398">
        <f>IF(AE212=0,0,((+$B84/$AZ212)*AW212)*VLOOKUP('1. SUMMARY'!$C$20,rate,Sheet1!AH$21,0))</f>
        <v>0</v>
      </c>
      <c r="AX213" s="398">
        <f>IF(AF212=0,0,((+$B84/$AZ212)*AX212)*VLOOKUP('1. SUMMARY'!$C$20,rate,Sheet1!AI$21,0))</f>
        <v>0</v>
      </c>
      <c r="AY213" s="398">
        <f>IF(AG212=0,0,((+$B84/$AZ212)*AY212)*VLOOKUP('1. SUMMARY'!$C$20,rate,Sheet1!AJ$21,0))</f>
        <v>0</v>
      </c>
      <c r="AZ213" s="219">
        <f>SUM(AI213:AY213)</f>
        <v>0</v>
      </c>
    </row>
    <row r="214" spans="1:52" ht="12.75" customHeight="1">
      <c r="A214" s="221"/>
      <c r="B214" s="222">
        <f>'1. SUMMARY'!C17</f>
        <v>0</v>
      </c>
      <c r="C214" s="222" t="str">
        <f>IF(+B215+1&gt;'1. SUMMARY'!$C$18,"No "&amp;C213,+B215+1)</f>
        <v>No Year 2</v>
      </c>
      <c r="D214" s="222" t="str">
        <f>IF(C214="No "&amp;C213,"No "&amp;D213,IF(+C215+1&gt;'1. SUMMARY'!$C$18,"No "&amp;D213,+C215+1))</f>
        <v>No Year 3</v>
      </c>
      <c r="E214" s="222" t="str">
        <f>IF(D214="No "&amp;D213,"No "&amp;E213,IF(+D215+1&gt;'1. SUMMARY'!$C$18,"No "&amp;E213,+D215+1))</f>
        <v>No Year 4</v>
      </c>
      <c r="F214" s="222" t="str">
        <f>IF(E214="No "&amp;E213,"No "&amp;F213,IF(+E215+1&gt;'1. SUMMARY'!$C$18,"No "&amp;F213,+E215+1))</f>
        <v>No Year 5</v>
      </c>
      <c r="G214" s="222" t="str">
        <f>IF(F214="No "&amp;F213,"No "&amp;G213,IF(+F215+1&gt;'1. SUMMARY'!$C$18,"No "&amp;G213,+F215+1))</f>
        <v>No Year 6</v>
      </c>
      <c r="H214" s="222" t="str">
        <f>IF(G214="No "&amp;G213,"No "&amp;H213,IF(+G215+1&gt;'1. SUMMARY'!$C$18,"No "&amp;H213,+G215+1))</f>
        <v>No Year 7</v>
      </c>
      <c r="I214" s="222" t="str">
        <f>IF(H214="No "&amp;H213,"No "&amp;I213,IF(+H215+1&gt;'1. SUMMARY'!$C$18,"No "&amp;I213,+H215+1))</f>
        <v>No Year 8</v>
      </c>
      <c r="J214" s="222" t="str">
        <f>IF(I214="No "&amp;I213,"No "&amp;J213,IF(+I215+1&gt;'1. SUMMARY'!$C$18,"No "&amp;J213,+I215+1))</f>
        <v>No Year 9</v>
      </c>
      <c r="K214" s="222" t="str">
        <f>IF(J214="No "&amp;J213,"No "&amp;K213,IF(+J215+1&gt;'1. SUMMARY'!$C$18,"No "&amp;K213,+J215+1))</f>
        <v>No Year 10</v>
      </c>
      <c r="L214" s="223"/>
      <c r="P214" s="207">
        <f t="shared" si="100"/>
        <v>1</v>
      </c>
      <c r="Q214" s="398">
        <f>+Q213/VLOOKUP('1. SUMMARY'!$C$20,rate,Sheet1!T$21,0)</f>
        <v>0</v>
      </c>
      <c r="R214" s="398">
        <f>+R213/VLOOKUP('1. SUMMARY'!$C$20,rate,Sheet1!U$21,0)</f>
        <v>0</v>
      </c>
      <c r="S214" s="398">
        <f>+S213/VLOOKUP('1. SUMMARY'!$C$20,rate,Sheet1!V$21,0)</f>
        <v>0</v>
      </c>
      <c r="T214" s="398">
        <f>+T213/VLOOKUP('1. SUMMARY'!$C$20,rate,Sheet1!W$21,0)</f>
        <v>0</v>
      </c>
      <c r="U214" s="398">
        <f>+U213/VLOOKUP('1. SUMMARY'!$C$20,rate,Sheet1!X$21,0)</f>
        <v>0</v>
      </c>
      <c r="V214" s="398">
        <f>+V213/VLOOKUP('1. SUMMARY'!$C$20,rate,Sheet1!Y$21,0)</f>
        <v>0</v>
      </c>
      <c r="W214" s="398">
        <f>+W213/VLOOKUP('1. SUMMARY'!$C$20,rate,Sheet1!Z$21,0)</f>
        <v>0</v>
      </c>
      <c r="X214" s="398">
        <f>+X213/VLOOKUP('1. SUMMARY'!$C$20,rate,Sheet1!AA$21,0)</f>
        <v>0</v>
      </c>
      <c r="Y214" s="398">
        <f>+Y213/VLOOKUP('1. SUMMARY'!$C$20,rate,Sheet1!AB$21,0)</f>
        <v>0</v>
      </c>
      <c r="Z214" s="398">
        <f>+Z213/VLOOKUP('1. SUMMARY'!$C$20,rate,Sheet1!AC$21,0)</f>
        <v>0</v>
      </c>
      <c r="AA214" s="398">
        <f>+AA213/VLOOKUP('1. SUMMARY'!$C$20,rate,Sheet1!AD$21,0)</f>
        <v>0</v>
      </c>
      <c r="AB214" s="398">
        <f>+AB213/VLOOKUP('1. SUMMARY'!$C$20,rate,Sheet1!AE$21,0)</f>
        <v>0</v>
      </c>
      <c r="AC214" s="398">
        <f>+AC213/VLOOKUP('1. SUMMARY'!$C$20,rate,Sheet1!AF$21,0)</f>
        <v>0</v>
      </c>
      <c r="AD214" s="398">
        <f>+AD213/VLOOKUP('1. SUMMARY'!$C$20,rate,Sheet1!AG$21,0)</f>
        <v>0</v>
      </c>
      <c r="AE214" s="398">
        <f>+AE213/VLOOKUP('1. SUMMARY'!$C$20,rate,Sheet1!AH$21,0)</f>
        <v>0</v>
      </c>
      <c r="AF214" s="398">
        <f>+AF213/VLOOKUP('1. SUMMARY'!$C$20,rate,Sheet1!AI$21,0)</f>
        <v>0</v>
      </c>
      <c r="AG214" s="398">
        <f>+AG213/VLOOKUP('1. SUMMARY'!$C$20,rate,Sheet1!AJ$21,0)</f>
        <v>0</v>
      </c>
      <c r="AH214" s="219"/>
      <c r="AI214" s="398">
        <v>0</v>
      </c>
      <c r="AJ214" s="398">
        <v>0</v>
      </c>
      <c r="AK214" s="398">
        <v>0</v>
      </c>
      <c r="AL214" s="398">
        <v>0</v>
      </c>
      <c r="AM214" s="398">
        <v>0</v>
      </c>
      <c r="AN214" s="398">
        <v>0</v>
      </c>
      <c r="AO214" s="398">
        <v>0</v>
      </c>
      <c r="AP214" s="398">
        <v>0</v>
      </c>
      <c r="AQ214" s="398"/>
      <c r="AR214" s="398"/>
      <c r="AS214" s="398"/>
      <c r="AT214" s="398"/>
      <c r="AU214" s="398"/>
      <c r="AV214" s="398"/>
      <c r="AW214" s="398"/>
      <c r="AX214" s="398"/>
      <c r="AY214" s="398"/>
      <c r="AZ214" s="219"/>
    </row>
    <row r="215" spans="1:52" ht="12.75" customHeight="1">
      <c r="A215" s="221"/>
      <c r="B215" s="224">
        <f>IF((DATE(YEAR(B214), MONTH(B214)+12, DAY(B214)-1))&lt;=('1. SUMMARY'!$C$18),DATE(YEAR(B214), MONTH(B214)+12, DAY(B214)-1),'1. SUMMARY'!$C$18)</f>
        <v>0</v>
      </c>
      <c r="C215" s="224" t="str">
        <f>IF(C214="No "&amp;C213,"No "&amp;C213,IF(B215='1. SUMMARY'!B196,"a",IF((DATE(YEAR(C214),MONTH(C214)+12,DAY(C214)-1))&lt;=('1. SUMMARY'!$C$18),DATE(YEAR(C214),MONTH(C214)+12,DAY(C214)-1),'1. SUMMARY'!$C$18)))</f>
        <v>No Year 2</v>
      </c>
      <c r="D215" s="224" t="str">
        <f>IF(D214="No "&amp;D213,"No "&amp;D213,IF(C215='1. SUMMARY'!C196,"a",IF((DATE(YEAR(D214),MONTH(D214)+12,DAY(D214)-1))&lt;=('1. SUMMARY'!$C$18),DATE(YEAR(D214),MONTH(D214)+12,DAY(D214)-1),'1. SUMMARY'!$C$18)))</f>
        <v>No Year 3</v>
      </c>
      <c r="E215" s="224" t="str">
        <f>IF(E214="No "&amp;E213,"No "&amp;E213,IF(D215='1. SUMMARY'!E196,"a",IF((DATE(YEAR(E214),MONTH(E214)+12,DAY(E214)-1))&lt;=('1. SUMMARY'!$C$18),DATE(YEAR(E214),MONTH(E214)+12,DAY(E214)-1),'1. SUMMARY'!$C$18)))</f>
        <v>No Year 4</v>
      </c>
      <c r="F215" s="224" t="str">
        <f>IF(F214="No "&amp;F213,"No "&amp;F213,IF(E215='1. SUMMARY'!F196,"a",IF((DATE(YEAR(F214),MONTH(F214)+12,DAY(F214)-1))&lt;=('1. SUMMARY'!$C$18),DATE(YEAR(F214),MONTH(F214)+12,DAY(F214)-1),'1. SUMMARY'!$C$18)))</f>
        <v>No Year 5</v>
      </c>
      <c r="G215" s="224" t="str">
        <f>IF(G214="No "&amp;G213,"No "&amp;G213,IF(F215='1. SUMMARY'!G196,"a",IF((DATE(YEAR(G214),MONTH(G214)+12,DAY(G214)-1))&lt;=('1. SUMMARY'!$C$18),DATE(YEAR(G214),MONTH(G214)+12,DAY(G214)-1),'1. SUMMARY'!$C$18)))</f>
        <v>No Year 6</v>
      </c>
      <c r="H215" s="224" t="str">
        <f>IF(H214="No "&amp;H213,"No "&amp;H213,IF(G215='1. SUMMARY'!H196,"a",IF((DATE(YEAR(H214),MONTH(H214)+12,DAY(H214)-1))&lt;=('1. SUMMARY'!$C$18),DATE(YEAR(H214),MONTH(H214)+12,DAY(H214)-1),'1. SUMMARY'!$C$18)))</f>
        <v>No Year 7</v>
      </c>
      <c r="I215" s="224" t="str">
        <f>IF(I214="No "&amp;I213,"No "&amp;I213,IF(H215='1. SUMMARY'!N196,"a",IF((DATE(YEAR(I214),MONTH(I214)+12,DAY(I214)-1))&lt;=('1. SUMMARY'!$C$18),DATE(YEAR(I214),MONTH(I214)+12,DAY(I214)-1),'1. SUMMARY'!$C$18)))</f>
        <v>No Year 8</v>
      </c>
      <c r="J215" s="224" t="str">
        <f>IF(J214="No "&amp;J213,"No "&amp;J213,IF(I215='1. SUMMARY'!O196,"a",IF((DATE(YEAR(J214),MONTH(J214)+12,DAY(J214)-1))&lt;=('1. SUMMARY'!$C$18),DATE(YEAR(J214),MONTH(J214)+12,DAY(J214)-1),'1. SUMMARY'!$C$18)))</f>
        <v>No Year 9</v>
      </c>
      <c r="K215" s="224" t="str">
        <f>IF(K214="No "&amp;K213,"No "&amp;K213,IF(J215='1. SUMMARY'!P194,"a",IF((DATE(YEAR(K214),MONTH(K214)+12,DAY(K214)-1))&lt;=('1. SUMMARY'!$C$18),DATE(YEAR(K214),MONTH(K214)+12,DAY(K214)-1),'1. SUMMARY'!$C$18)))</f>
        <v>No Year 10</v>
      </c>
      <c r="L215" s="218"/>
      <c r="P215" s="207">
        <f t="shared" si="100"/>
        <v>1</v>
      </c>
      <c r="Q215" s="402">
        <f>Sheet1!$T$8</f>
        <v>44105</v>
      </c>
      <c r="R215" s="402">
        <f>Sheet1!$U$8</f>
        <v>44470</v>
      </c>
      <c r="S215" s="402">
        <f>Sheet1!$V$8</f>
        <v>44835</v>
      </c>
      <c r="T215" s="402">
        <f>Sheet1!$W$8</f>
        <v>45200</v>
      </c>
      <c r="U215" s="402">
        <f>Sheet1!$X$8</f>
        <v>45566</v>
      </c>
      <c r="V215" s="402">
        <f>Sheet1!$Y$8</f>
        <v>45931</v>
      </c>
      <c r="W215" s="402">
        <f>Sheet1!$Z$8</f>
        <v>46296</v>
      </c>
      <c r="X215" s="402">
        <f>Sheet1!$AA$8</f>
        <v>46661</v>
      </c>
      <c r="Y215" s="402">
        <f>Sheet1!$AB$8</f>
        <v>47027</v>
      </c>
      <c r="Z215" s="402">
        <f>Sheet1!$AC$8</f>
        <v>47392</v>
      </c>
      <c r="AA215" s="402">
        <f>$AA$5</f>
        <v>47757</v>
      </c>
      <c r="AB215" s="402">
        <f>$AB$5</f>
        <v>48122</v>
      </c>
      <c r="AC215" s="402">
        <f>$AC$5</f>
        <v>48488</v>
      </c>
      <c r="AD215" s="402">
        <f>$AD$5</f>
        <v>48853</v>
      </c>
      <c r="AE215" s="402">
        <f>$AE$5</f>
        <v>49218</v>
      </c>
      <c r="AF215" s="402">
        <f>$AF$5</f>
        <v>49583</v>
      </c>
      <c r="AG215" s="402">
        <f>$AG$5</f>
        <v>49949</v>
      </c>
      <c r="AH215" s="211"/>
      <c r="AI215" s="402">
        <f t="shared" ref="AI215:AR217" si="101">+Q215</f>
        <v>44105</v>
      </c>
      <c r="AJ215" s="402">
        <f t="shared" si="101"/>
        <v>44470</v>
      </c>
      <c r="AK215" s="402">
        <f t="shared" si="101"/>
        <v>44835</v>
      </c>
      <c r="AL215" s="402">
        <f t="shared" si="101"/>
        <v>45200</v>
      </c>
      <c r="AM215" s="402">
        <f t="shared" si="101"/>
        <v>45566</v>
      </c>
      <c r="AN215" s="402">
        <f t="shared" si="101"/>
        <v>45931</v>
      </c>
      <c r="AO215" s="402">
        <f t="shared" si="101"/>
        <v>46296</v>
      </c>
      <c r="AP215" s="402">
        <f t="shared" si="101"/>
        <v>46661</v>
      </c>
      <c r="AQ215" s="402">
        <f t="shared" si="101"/>
        <v>47027</v>
      </c>
      <c r="AR215" s="402">
        <f t="shared" si="101"/>
        <v>47392</v>
      </c>
      <c r="AS215" s="402">
        <f t="shared" ref="AS215:AY217" si="102">+AA215</f>
        <v>47757</v>
      </c>
      <c r="AT215" s="402">
        <f t="shared" si="102"/>
        <v>48122</v>
      </c>
      <c r="AU215" s="402">
        <f t="shared" si="102"/>
        <v>48488</v>
      </c>
      <c r="AV215" s="402">
        <f t="shared" si="102"/>
        <v>48853</v>
      </c>
      <c r="AW215" s="402">
        <f t="shared" si="102"/>
        <v>49218</v>
      </c>
      <c r="AX215" s="402">
        <f t="shared" si="102"/>
        <v>49583</v>
      </c>
      <c r="AY215" s="402">
        <f t="shared" si="102"/>
        <v>49949</v>
      </c>
      <c r="AZ215" s="211"/>
    </row>
    <row r="216" spans="1:52" ht="12.75" customHeight="1">
      <c r="A216" s="216"/>
      <c r="B216" s="225"/>
      <c r="C216" s="225"/>
      <c r="D216" s="225"/>
      <c r="E216" s="225"/>
      <c r="F216" s="225"/>
      <c r="G216" s="225"/>
      <c r="H216" s="225"/>
      <c r="I216" s="225"/>
      <c r="J216" s="225"/>
      <c r="K216" s="225"/>
      <c r="L216" s="223"/>
      <c r="P216" s="207">
        <f t="shared" si="100"/>
        <v>1</v>
      </c>
      <c r="Q216" s="402">
        <f>Sheet1!$T$9</f>
        <v>44469</v>
      </c>
      <c r="R216" s="402">
        <f>Sheet1!$U$9</f>
        <v>44834</v>
      </c>
      <c r="S216" s="402">
        <f>Sheet1!$V$9</f>
        <v>45199</v>
      </c>
      <c r="T216" s="402">
        <f>Sheet1!$W$9</f>
        <v>45565</v>
      </c>
      <c r="U216" s="402">
        <f>Sheet1!$X$9</f>
        <v>45930</v>
      </c>
      <c r="V216" s="402">
        <f>Sheet1!$Y$9</f>
        <v>46295</v>
      </c>
      <c r="W216" s="402">
        <f>Sheet1!$Z$9</f>
        <v>46660</v>
      </c>
      <c r="X216" s="402">
        <f>Sheet1!$AA$9</f>
        <v>47026</v>
      </c>
      <c r="Y216" s="402">
        <f>Sheet1!$AB$9</f>
        <v>47391</v>
      </c>
      <c r="Z216" s="402">
        <f>Sheet1!$AC$9</f>
        <v>47756</v>
      </c>
      <c r="AA216" s="402">
        <f>$AA$6</f>
        <v>48121</v>
      </c>
      <c r="AB216" s="402">
        <f>$AB$6</f>
        <v>48487</v>
      </c>
      <c r="AC216" s="402">
        <f>$AC$6</f>
        <v>48852</v>
      </c>
      <c r="AD216" s="402">
        <f>$AD$6</f>
        <v>49217</v>
      </c>
      <c r="AE216" s="402">
        <f>$AE$6</f>
        <v>49582</v>
      </c>
      <c r="AF216" s="402">
        <f>$AF$6</f>
        <v>49948</v>
      </c>
      <c r="AG216" s="402">
        <f>$AG$6</f>
        <v>50313</v>
      </c>
      <c r="AH216" s="211"/>
      <c r="AI216" s="402">
        <f t="shared" si="101"/>
        <v>44469</v>
      </c>
      <c r="AJ216" s="402">
        <f t="shared" si="101"/>
        <v>44834</v>
      </c>
      <c r="AK216" s="402">
        <f t="shared" si="101"/>
        <v>45199</v>
      </c>
      <c r="AL216" s="402">
        <f t="shared" si="101"/>
        <v>45565</v>
      </c>
      <c r="AM216" s="402">
        <f t="shared" si="101"/>
        <v>45930</v>
      </c>
      <c r="AN216" s="402">
        <f t="shared" si="101"/>
        <v>46295</v>
      </c>
      <c r="AO216" s="402">
        <f t="shared" si="101"/>
        <v>46660</v>
      </c>
      <c r="AP216" s="402">
        <f t="shared" si="101"/>
        <v>47026</v>
      </c>
      <c r="AQ216" s="402">
        <f t="shared" si="101"/>
        <v>47391</v>
      </c>
      <c r="AR216" s="402">
        <f t="shared" si="101"/>
        <v>47756</v>
      </c>
      <c r="AS216" s="402">
        <f t="shared" si="102"/>
        <v>48121</v>
      </c>
      <c r="AT216" s="402">
        <f t="shared" si="102"/>
        <v>48487</v>
      </c>
      <c r="AU216" s="402">
        <f t="shared" si="102"/>
        <v>48852</v>
      </c>
      <c r="AV216" s="402">
        <f t="shared" si="102"/>
        <v>49217</v>
      </c>
      <c r="AW216" s="402">
        <f t="shared" si="102"/>
        <v>49582</v>
      </c>
      <c r="AX216" s="402">
        <f t="shared" si="102"/>
        <v>49948</v>
      </c>
      <c r="AY216" s="402">
        <f t="shared" si="102"/>
        <v>50313</v>
      </c>
      <c r="AZ216" s="211"/>
    </row>
    <row r="217" spans="1:52" ht="12.75" customHeight="1">
      <c r="A217" s="226" t="s">
        <v>150</v>
      </c>
      <c r="B217" s="227"/>
      <c r="C217" s="227"/>
      <c r="D217" s="227"/>
      <c r="E217" s="227"/>
      <c r="F217" s="227"/>
      <c r="G217" s="228"/>
      <c r="H217" s="228"/>
      <c r="I217" s="228"/>
      <c r="J217" s="228"/>
      <c r="K217" s="228"/>
      <c r="L217" s="229">
        <f>SUM(B217:K217)</f>
        <v>0</v>
      </c>
      <c r="O217" s="207">
        <v>2</v>
      </c>
      <c r="P217" s="207">
        <f t="shared" si="100"/>
        <v>1</v>
      </c>
      <c r="Q217" s="403">
        <f>IF(IF(Q216&lt;C78,0,DATEDIF(C78,Q216+1,"m"))&lt;0,0,IF(Q216&lt;C78,0,DATEDIF(C78,Q216+1,"m")))</f>
        <v>0</v>
      </c>
      <c r="R217" s="403">
        <f>IF(IF(Q217=12,0,IF(R216&gt;C79,12-DATEDIF(C79,R216+1,"m"),IF(R216&lt;C78,0,DATEDIF(C78,R216+1,"m"))))&lt;0,0,IF(Q217=12,0,IF(R216&gt;C79,12-DATEDIF(C79,R216+1,"m"),IF(R216&lt;C78,0,DATEDIF(C78,R216+1,"m")))))</f>
        <v>0</v>
      </c>
      <c r="S217" s="403">
        <f>IF(IF(Q217+R217=12,0,IF(S216&gt;C79,12-DATEDIF(C79,S216+1,"m"),IF(S216&lt;C78,0,DATEDIF(C78,S216+1,"m"))))&lt;0,0,IF(Q217+R217=12,0,IF(S216&gt;C79,12-DATEDIF(C79,S216+1,"m"),IF(S216&lt;C78,0,DATEDIF(C78,S216+1,"m")))))</f>
        <v>0</v>
      </c>
      <c r="T217" s="403">
        <f>IF(IF(R217+S217+Q217=12,0,IF(T216&gt;C79,12-DATEDIF(C79,T216+1,"m"),IF(T216&lt;C78,0,DATEDIF(C78,T216+1,"m"))))&lt;0,0,IF(R217+S217+Q217=12,0,IF(T216&gt;C79,12-DATEDIF(C79,T216+1,"m"),IF(T216&lt;C78,0,DATEDIF(C78,T216+1,"m")))))</f>
        <v>0</v>
      </c>
      <c r="U217" s="403">
        <f>IF(IF(S217+T217+R217+Q217=12,0,IF(U216&gt;C79,12-DATEDIF(C79,U216+1,"m"),IF(U216&lt;C78,0,DATEDIF(C78,U216+1,"m"))))&lt;0,0,IF(S217+T217+R217+Q217=12,0,IF(U216&gt;C79,12-DATEDIF(C79,U216+1,"m"),IF(U216&lt;C78,0,DATEDIF(C78,U216+1,"m")))))</f>
        <v>0</v>
      </c>
      <c r="V217" s="403">
        <f>IF(IF(T217+U217+S217+R217+Q217=12,0,IF(V216&gt;C79,12-DATEDIF(C79,V216+1,"m"),IF(V216&lt;C78,0,DATEDIF(C78,V216+1,"m"))))&lt;0,0,IF(T217+U217+S217+R217+Q217=12,0,IF(V216&gt;C79,12-DATEDIF(C79,V216+1,"m"),IF(V216&lt;C78,0,DATEDIF(C78,V216+1,"m")))))</f>
        <v>0</v>
      </c>
      <c r="W217" s="403">
        <f>IF(IF(U217+V217+T217+S217+R217+Q217=12,0,IF(W216&gt;C79,12-DATEDIF(C79,W216+1,"m"),IF(W216&lt;C78,0,DATEDIF(C78,W216+1,"m"))))&lt;0,0,IF(U217+V217+T217+S217+R217+Q217=12,0,IF(W216&gt;C79,12-DATEDIF(C79,W216+1,"m"),IF(W216&lt;C78,0,DATEDIF(C78,W216+1,"m")))))</f>
        <v>0</v>
      </c>
      <c r="X217" s="403">
        <f>IF(IF(V217+W217+U217+T217+S217+R217+Q217=12,0,IF(X216&gt;C79,12-DATEDIF(C79,X216+1,"m"),IF(X216&lt;C78,0,DATEDIF(C78,X216+1,"m"))))&lt;0,0,IF(V217+W217+U217+T217+S217+R217+Q217=12,0,IF(X216&gt;C79,12-DATEDIF(C79,X216+1,"m"),IF(X216&lt;C78,0,DATEDIF(C78,X216+1,"m")))))</f>
        <v>0</v>
      </c>
      <c r="Y217" s="403">
        <f>IF(IF(W217+X217+V217+U217+T217+S217+R217=12,0,IF(Y216&gt;C79,12-DATEDIF(C79,Y216+1,"m"),IF(Y216&lt;C78,0,DATEDIF(C78,Y216+1,"m"))))&lt;0,0,IF(W217+X217+V217+U217+T217+S217+R217=12,0,IF(Y216&gt;C79,12-DATEDIF(C79,Y216+1,"m"),IF(Y216&lt;C78,0,DATEDIF(C78,Y216+1,"m")))))</f>
        <v>0</v>
      </c>
      <c r="Z217" s="403">
        <f>IF(IF(X217+Y217+W217+V217+U217+T217+S217=12,0,IF(Z216&gt;C79,12-DATEDIF(C79,Z216+1,"m"),IF(Z216&lt;C78,0,DATEDIF(C78,Z216+1,"m"))))&lt;0,0,IF(X217+Y217+W217+V217+U217+T217+S217=12,0,IF(Z216&gt;C79,12-DATEDIF(C79,Z216+1,"m"),IF(Z216&lt;C78,0,DATEDIF(C78,Z216+1,"m")))))</f>
        <v>0</v>
      </c>
      <c r="AA217" s="403"/>
      <c r="AB217" s="403"/>
      <c r="AC217" s="403"/>
      <c r="AD217" s="403"/>
      <c r="AE217" s="403"/>
      <c r="AF217" s="403"/>
      <c r="AG217" s="403"/>
      <c r="AH217" s="423">
        <f>SUM(Q217:AG217)</f>
        <v>0</v>
      </c>
      <c r="AI217" s="403">
        <f t="shared" si="101"/>
        <v>0</v>
      </c>
      <c r="AJ217" s="403">
        <f t="shared" si="101"/>
        <v>0</v>
      </c>
      <c r="AK217" s="403">
        <f t="shared" si="101"/>
        <v>0</v>
      </c>
      <c r="AL217" s="403">
        <f t="shared" si="101"/>
        <v>0</v>
      </c>
      <c r="AM217" s="403">
        <f t="shared" si="101"/>
        <v>0</v>
      </c>
      <c r="AN217" s="403">
        <f t="shared" si="101"/>
        <v>0</v>
      </c>
      <c r="AO217" s="403">
        <f t="shared" si="101"/>
        <v>0</v>
      </c>
      <c r="AP217" s="403">
        <f t="shared" si="101"/>
        <v>0</v>
      </c>
      <c r="AQ217" s="403">
        <f t="shared" si="101"/>
        <v>0</v>
      </c>
      <c r="AR217" s="403">
        <f t="shared" si="101"/>
        <v>0</v>
      </c>
      <c r="AS217" s="403">
        <f t="shared" si="102"/>
        <v>0</v>
      </c>
      <c r="AT217" s="403">
        <f t="shared" si="102"/>
        <v>0</v>
      </c>
      <c r="AU217" s="403">
        <f t="shared" si="102"/>
        <v>0</v>
      </c>
      <c r="AV217" s="403">
        <f t="shared" si="102"/>
        <v>0</v>
      </c>
      <c r="AW217" s="403">
        <f t="shared" si="102"/>
        <v>0</v>
      </c>
      <c r="AX217" s="403">
        <f t="shared" si="102"/>
        <v>0</v>
      </c>
      <c r="AY217" s="403">
        <f t="shared" si="102"/>
        <v>0</v>
      </c>
      <c r="AZ217" s="219">
        <f>SUM(AI217:AY217)</f>
        <v>0</v>
      </c>
    </row>
    <row r="218" spans="1:52" ht="12.75" customHeight="1">
      <c r="A218" s="221" t="s">
        <v>151</v>
      </c>
      <c r="B218" s="227"/>
      <c r="C218" s="227"/>
      <c r="D218" s="227"/>
      <c r="E218" s="227"/>
      <c r="F218" s="227"/>
      <c r="G218" s="228"/>
      <c r="H218" s="228"/>
      <c r="I218" s="228"/>
      <c r="J218" s="228"/>
      <c r="K218" s="228"/>
      <c r="L218" s="229">
        <f>SUM(B218:K218)</f>
        <v>0</v>
      </c>
      <c r="P218" s="207">
        <f t="shared" si="100"/>
        <v>1</v>
      </c>
      <c r="Q218" s="404">
        <f>IF(Q217=0,0,(IF(($C$84+$B$84)&lt;=25000,(($C$84/+$AH$217)*Q217)*VLOOKUP('1. SUMMARY'!$C$20,rate,Sheet1!T$21,0),((IF($B$84&gt;=25000,0,((25000-$B$84)/+$AH$217)*Q217)*VLOOKUP('1. SUMMARY'!$C$20,rate,Sheet1!T$21,0))))))</f>
        <v>0</v>
      </c>
      <c r="R218" s="404">
        <f>IF(R217=0,0,(IF(($C$84+$B$84)&lt;=25000,(($C$84/+$AH$217)*R217)*VLOOKUP('1. SUMMARY'!$C$20,rate,Sheet1!U$21,0),((IF($B$84&gt;=25000,0,((25000-$B$84)/+$AH$217)*R217)*VLOOKUP('1. SUMMARY'!$C$20,rate,Sheet1!U$21,0))))))</f>
        <v>0</v>
      </c>
      <c r="S218" s="404">
        <f>IF(S217=0,0,(IF(($C$84+$B$84)&lt;=25000,(($C$84/+$AH$217)*S217)*VLOOKUP('1. SUMMARY'!$C$20,rate,Sheet1!V$21,0),((IF($B$84&gt;=25000,0,((25000-$B$84)/+$AH$217)*S217)*VLOOKUP('1. SUMMARY'!$C$20,rate,Sheet1!V$21,0))))))</f>
        <v>0</v>
      </c>
      <c r="T218" s="404">
        <f>IF(T217=0,0,(IF(($C$84+$B$84)&lt;=25000,(($C$84/+$AH$217)*T217)*VLOOKUP('1. SUMMARY'!$C$20,rate,Sheet1!W$21,0),((IF($B$84&gt;=25000,0,((25000-$B$84)/+$AH$217)*T217)*VLOOKUP('1. SUMMARY'!$C$20,rate,Sheet1!W$21,0))))))</f>
        <v>0</v>
      </c>
      <c r="U218" s="404">
        <f>IF(U217=0,0,(IF(($C$84+$B$84)&lt;=25000,(($C$84/+$AH$217)*U217)*VLOOKUP('1. SUMMARY'!$C$20,rate,Sheet1!X$21,0),((IF($B$84&gt;=25000,0,((25000-$B$84)/+$AH$217)*U217)*VLOOKUP('1. SUMMARY'!$C$20,rate,Sheet1!X$21,0))))))</f>
        <v>0</v>
      </c>
      <c r="V218" s="404">
        <f>IF(V217=0,0,(IF(($C$84+$B$84)&lt;=25000,(($C$84/+$AH$217)*V217)*VLOOKUP('1. SUMMARY'!$C$20,rate,Sheet1!Y$21,0),((IF($B$84&gt;=25000,0,((25000-$B$84)/+$AH$217)*V217)*VLOOKUP('1. SUMMARY'!$C$20,rate,Sheet1!Y$21,0))))))</f>
        <v>0</v>
      </c>
      <c r="W218" s="404">
        <f>IF(W217=0,0,(IF(($C$84+$B$84)&lt;=25000,(($C$84/+$AH$217)*W217)*VLOOKUP('1. SUMMARY'!$C$20,rate,Sheet1!Z$21,0),((IF($B$84&gt;=25000,0,((25000-$B$84)/+$AH$217)*W217)*VLOOKUP('1. SUMMARY'!$C$20,rate,Sheet1!Z$21,0))))))</f>
        <v>0</v>
      </c>
      <c r="X218" s="404">
        <f>IF(X217=0,0,(IF(($C$84+$B$84)&lt;=25000,(($C$84/+$AH$217)*X217)*VLOOKUP('1. SUMMARY'!$C$20,rate,Sheet1!AA$21,0),((IF($B$84&gt;=25000,0,((25000-$B$84)/+$AH$217)*X217)*VLOOKUP('1. SUMMARY'!$C$20,rate,Sheet1!AA$21,0))))))</f>
        <v>0</v>
      </c>
      <c r="Y218" s="404">
        <f>IF(Y217=0,0,(IF(($C$84+$B$84)&lt;=25000,(($C$84/+$AH$217)*Y217)*VLOOKUP('1. SUMMARY'!$C$20,rate,Sheet1!AB$21,0),((IF($B$84&gt;=25000,0,((25000-$B$84)/+$AH$217)*Y217)*VLOOKUP('1. SUMMARY'!$C$20,rate,Sheet1!AB$21,0))))))</f>
        <v>0</v>
      </c>
      <c r="Z218" s="404">
        <f>IF(Z217=0,0,(IF(($C$84+$B$84)&lt;=25000,(($C$84/+$AH$217)*Z217)*VLOOKUP('1. SUMMARY'!$C$20,rate,Sheet1!AC$21,0),((IF($B$84&gt;=25000,0,((25000-$B$84)/+$AH$217)*Z217)*VLOOKUP('1. SUMMARY'!$C$20,rate,Sheet1!AC$21,0))))))</f>
        <v>0</v>
      </c>
      <c r="AA218" s="404">
        <f>IF(AA217=0,0,(IF(($C$84+$B$84)&lt;=25000,(($C$84/+$AH$217)*AA217)*VLOOKUP('1. SUMMARY'!$C$20,rate,Sheet1!AD$21,0),((IF($B$84&gt;=25000,0,((25000-$B$84)/+$AH$217)*AA217)*VLOOKUP('1. SUMMARY'!$C$20,rate,Sheet1!AD$21,0))))))</f>
        <v>0</v>
      </c>
      <c r="AB218" s="404">
        <f>IF(AB217=0,0,(IF(($C$84+$B$84)&lt;=25000,(($C$84/+$AH$217)*AB217)*VLOOKUP('1. SUMMARY'!$C$20,rate,Sheet1!AE$21,0),((IF($B$84&gt;=25000,0,((25000-$B$84)/+$AH$217)*AB217)*VLOOKUP('1. SUMMARY'!$C$20,rate,Sheet1!AE$21,0))))))</f>
        <v>0</v>
      </c>
      <c r="AC218" s="404">
        <f>IF(AC217=0,0,(IF(($C$84+$B$84)&lt;=25000,(($C$84/+$AH$217)*AC217)*VLOOKUP('1. SUMMARY'!$C$20,rate,Sheet1!AF$21,0),((IF($B$84&gt;=25000,0,((25000-$B$84)/+$AH$217)*AC217)*VLOOKUP('1. SUMMARY'!$C$20,rate,Sheet1!AF$21,0))))))</f>
        <v>0</v>
      </c>
      <c r="AD218" s="404">
        <f>IF(AD217=0,0,(IF(($C$84+$B$84)&lt;=25000,(($C$84/+$AH$217)*AD217)*VLOOKUP('1. SUMMARY'!$C$20,rate,Sheet1!AG$21,0),((IF($B$84&gt;=25000,0,((25000-$B$84)/+$AH$217)*AD217)*VLOOKUP('1. SUMMARY'!$C$20,rate,Sheet1!AG$21,0))))))</f>
        <v>0</v>
      </c>
      <c r="AE218" s="404">
        <f>IF(AE217=0,0,(IF(($C$84+$B$84)&lt;=25000,(($C$84/+$AH$217)*AE217)*VLOOKUP('1. SUMMARY'!$C$20,rate,Sheet1!AH$21,0),((IF($B$84&gt;=25000,0,((25000-$B$84)/+$AH$217)*AE217)*VLOOKUP('1. SUMMARY'!$C$20,rate,Sheet1!AH$21,0))))))</f>
        <v>0</v>
      </c>
      <c r="AF218" s="404">
        <f>IF(AF217=0,0,(IF(($C$84+$B$84)&lt;=25000,(($C$84/+$AH$217)*AF217)*VLOOKUP('1. SUMMARY'!$C$20,rate,Sheet1!AI$21,0),((IF($B$84&gt;=25000,0,((25000-$B$84)/+$AH$217)*AF217)*VLOOKUP('1. SUMMARY'!$C$20,rate,Sheet1!AI$21,0))))))</f>
        <v>0</v>
      </c>
      <c r="AG218" s="404">
        <f>IF(AG217=0,0,(IF(($C$84+$B$84)&lt;=25000,(($C$84/+$AH$217)*AG217)*VLOOKUP('1. SUMMARY'!$C$20,rate,Sheet1!AJ$21,0),((IF($B$84&gt;=25000,0,((25000-$B$84)/+$AH$217)*AG217)*VLOOKUP('1. SUMMARY'!$C$20,rate,Sheet1!AJ$21,0))))))</f>
        <v>0</v>
      </c>
      <c r="AH218" s="219">
        <f>SUM(Q218:AG218)</f>
        <v>0</v>
      </c>
      <c r="AI218" s="404">
        <f>IF(AI217=0,0,((+$C84/$AZ217)*AI217)*VLOOKUP('1. SUMMARY'!$C$20,rate,Sheet1!T$21,0))</f>
        <v>0</v>
      </c>
      <c r="AJ218" s="404">
        <f>IF(AJ217=0,0,((+$C84/$AZ217)*AJ217)*VLOOKUP('1. SUMMARY'!$C$20,rate,Sheet1!U$21,0))</f>
        <v>0</v>
      </c>
      <c r="AK218" s="404">
        <f>IF(AK217=0,0,((+$C84/$AZ217)*AK217)*VLOOKUP('1. SUMMARY'!$C$20,rate,Sheet1!V$21,0))</f>
        <v>0</v>
      </c>
      <c r="AL218" s="404">
        <f>IF(AL217=0,0,((+$C84/$AZ217)*AL217)*VLOOKUP('1. SUMMARY'!$C$20,rate,Sheet1!W$21,0))</f>
        <v>0</v>
      </c>
      <c r="AM218" s="404">
        <f>IF(AM217=0,0,((+$C84/$AZ217)*AM217)*VLOOKUP('1. SUMMARY'!$C$20,rate,Sheet1!X$21,0))</f>
        <v>0</v>
      </c>
      <c r="AN218" s="404">
        <f>IF(AN217=0,0,((+$C84/$AZ217)*AN217)*VLOOKUP('1. SUMMARY'!$C$20,rate,Sheet1!Y$21,0))</f>
        <v>0</v>
      </c>
      <c r="AO218" s="404">
        <f>IF(AO217=0,0,((+$C84/$AZ217)*AO217)*VLOOKUP('1. SUMMARY'!$C$20,rate,Sheet1!Z$21,0))</f>
        <v>0</v>
      </c>
      <c r="AP218" s="404">
        <f>IF(AP217=0,0,((+$C84/$AZ217)*AP217)*VLOOKUP('1. SUMMARY'!$C$20,rate,Sheet1!AA$21,0))</f>
        <v>0</v>
      </c>
      <c r="AQ218" s="404">
        <f>IF(AQ217=0,0,((+$C84/$AZ217)*AQ217)*VLOOKUP('1. SUMMARY'!$C$20,rate,Sheet1!AB$21,0))</f>
        <v>0</v>
      </c>
      <c r="AR218" s="404">
        <f>IF(AR217=0,0,((+$C84/$AZ217)*AR217)*VLOOKUP('1. SUMMARY'!$C$20,rate,Sheet1!AC$21,0))</f>
        <v>0</v>
      </c>
      <c r="AS218" s="404">
        <f>IF(AS217=0,0,((+$C84/$AZ217)*AS217)*VLOOKUP('1. SUMMARY'!$C$20,rate,Sheet1!AD$21,0))</f>
        <v>0</v>
      </c>
      <c r="AT218" s="404">
        <f>IF(AT217=0,0,((+$C84/$AZ217)*AT217)*VLOOKUP('1. SUMMARY'!$C$20,rate,Sheet1!AE$21,0))</f>
        <v>0</v>
      </c>
      <c r="AU218" s="404">
        <f>IF(AU217=0,0,((+$C84/$AZ217)*AU217)*VLOOKUP('1. SUMMARY'!$C$20,rate,Sheet1!AF$21,0))</f>
        <v>0</v>
      </c>
      <c r="AV218" s="404">
        <f>IF(AV217=0,0,((+$C84/$AZ217)*AV217)*VLOOKUP('1. SUMMARY'!$C$20,rate,Sheet1!AG$21,0))</f>
        <v>0</v>
      </c>
      <c r="AW218" s="404">
        <f>IF(AW217=0,0,((+$C84/$AZ217)*AW217)*VLOOKUP('1. SUMMARY'!$C$20,rate,Sheet1!AH$21,0))</f>
        <v>0</v>
      </c>
      <c r="AX218" s="404">
        <f>IF(AX217=0,0,((+$C84/$AZ217)*AX217)*VLOOKUP('1. SUMMARY'!$C$20,rate,Sheet1!AI$21,0))</f>
        <v>0</v>
      </c>
      <c r="AY218" s="404">
        <f>IF(AY217=0,0,((+$C84/$AZ217)*AY217)*VLOOKUP('1. SUMMARY'!$C$20,rate,Sheet1!AJ$21,0))</f>
        <v>0</v>
      </c>
      <c r="AZ218" s="219">
        <f>SUM(AI218:AY218)</f>
        <v>0</v>
      </c>
    </row>
    <row r="219" spans="1:52" ht="12.75" customHeight="1">
      <c r="A219" s="216"/>
      <c r="B219" s="217"/>
      <c r="C219" s="217"/>
      <c r="D219" s="217"/>
      <c r="E219" s="217"/>
      <c r="F219" s="217"/>
      <c r="G219" s="217"/>
      <c r="H219" s="217"/>
      <c r="I219" s="217"/>
      <c r="J219" s="217"/>
      <c r="K219" s="217"/>
      <c r="L219" s="218"/>
      <c r="P219" s="207">
        <f t="shared" si="100"/>
        <v>1</v>
      </c>
      <c r="Q219" s="404">
        <f>+Q218/VLOOKUP('1. SUMMARY'!$C$20,rate,Sheet1!T$21,0)</f>
        <v>0</v>
      </c>
      <c r="R219" s="404">
        <f>+R218/VLOOKUP('1. SUMMARY'!$C$20,rate,Sheet1!U$21,0)</f>
        <v>0</v>
      </c>
      <c r="S219" s="404">
        <f>+S218/VLOOKUP('1. SUMMARY'!$C$20,rate,Sheet1!V$21,0)</f>
        <v>0</v>
      </c>
      <c r="T219" s="404">
        <f>+T218/VLOOKUP('1. SUMMARY'!$C$20,rate,Sheet1!W$21,0)</f>
        <v>0</v>
      </c>
      <c r="U219" s="404">
        <f>+U218/VLOOKUP('1. SUMMARY'!$C$20,rate,Sheet1!X$21,0)</f>
        <v>0</v>
      </c>
      <c r="V219" s="404">
        <f>+V218/VLOOKUP('1. SUMMARY'!$C$20,rate,Sheet1!Y$21,0)</f>
        <v>0</v>
      </c>
      <c r="W219" s="404">
        <f>+W218/VLOOKUP('1. SUMMARY'!$C$20,rate,Sheet1!Z$21,0)</f>
        <v>0</v>
      </c>
      <c r="X219" s="404">
        <f>+X218/VLOOKUP('1. SUMMARY'!$C$20,rate,Sheet1!AA$21,0)</f>
        <v>0</v>
      </c>
      <c r="Y219" s="404">
        <f>+Y218/VLOOKUP('1. SUMMARY'!$C$20,rate,Sheet1!AB$21,0)</f>
        <v>0</v>
      </c>
      <c r="Z219" s="404">
        <f>+Z218/VLOOKUP('1. SUMMARY'!$C$20,rate,Sheet1!AC$21,0)</f>
        <v>0</v>
      </c>
      <c r="AA219" s="404">
        <f>+AA218/VLOOKUP('1. SUMMARY'!$C$20,rate,Sheet1!AD$21,0)</f>
        <v>0</v>
      </c>
      <c r="AB219" s="404">
        <f>+AB218/VLOOKUP('1. SUMMARY'!$C$20,rate,Sheet1!AE$21,0)</f>
        <v>0</v>
      </c>
      <c r="AC219" s="404">
        <f>+AC218/VLOOKUP('1. SUMMARY'!$C$20,rate,Sheet1!AF$21,0)</f>
        <v>0</v>
      </c>
      <c r="AD219" s="404">
        <f>+AD218/VLOOKUP('1. SUMMARY'!$C$20,rate,Sheet1!AG$21,0)</f>
        <v>0</v>
      </c>
      <c r="AE219" s="404">
        <f>+AE218/VLOOKUP('1. SUMMARY'!$C$20,rate,Sheet1!AH$21,0)</f>
        <v>0</v>
      </c>
      <c r="AF219" s="404">
        <f>+AF218/VLOOKUP('1. SUMMARY'!$C$20,rate,Sheet1!AI$21,0)</f>
        <v>0</v>
      </c>
      <c r="AG219" s="404">
        <f>+AG218/VLOOKUP('1. SUMMARY'!$C$20,rate,Sheet1!AJ$21,0)</f>
        <v>0</v>
      </c>
      <c r="AH219" s="219"/>
      <c r="AI219" s="404">
        <v>0</v>
      </c>
      <c r="AJ219" s="404">
        <v>0</v>
      </c>
      <c r="AK219" s="404">
        <v>0</v>
      </c>
      <c r="AL219" s="404">
        <v>0</v>
      </c>
      <c r="AM219" s="404">
        <v>0</v>
      </c>
      <c r="AN219" s="404">
        <v>0</v>
      </c>
      <c r="AO219" s="404">
        <v>0</v>
      </c>
      <c r="AP219" s="404">
        <v>0</v>
      </c>
      <c r="AQ219" s="404"/>
      <c r="AR219" s="404"/>
      <c r="AS219" s="404"/>
      <c r="AT219" s="404"/>
      <c r="AU219" s="404"/>
      <c r="AV219" s="404"/>
      <c r="AW219" s="404"/>
      <c r="AX219" s="404"/>
      <c r="AY219" s="404"/>
      <c r="AZ219" s="219"/>
    </row>
    <row r="220" spans="1:52" ht="12.75" customHeight="1">
      <c r="A220" s="231" t="s">
        <v>152</v>
      </c>
      <c r="B220" s="146">
        <f t="shared" ref="B220:K220" si="103">SUM(B217:B218)</f>
        <v>0</v>
      </c>
      <c r="C220" s="146">
        <f t="shared" si="103"/>
        <v>0</v>
      </c>
      <c r="D220" s="146">
        <f t="shared" si="103"/>
        <v>0</v>
      </c>
      <c r="E220" s="146">
        <f t="shared" si="103"/>
        <v>0</v>
      </c>
      <c r="F220" s="146">
        <f t="shared" si="103"/>
        <v>0</v>
      </c>
      <c r="G220" s="146">
        <f t="shared" si="103"/>
        <v>0</v>
      </c>
      <c r="H220" s="146">
        <f t="shared" si="103"/>
        <v>0</v>
      </c>
      <c r="I220" s="146">
        <f t="shared" si="103"/>
        <v>0</v>
      </c>
      <c r="J220" s="146">
        <f t="shared" si="103"/>
        <v>0</v>
      </c>
      <c r="K220" s="146">
        <f t="shared" si="103"/>
        <v>0</v>
      </c>
      <c r="L220" s="229">
        <f>SUM(B220:K220)</f>
        <v>0</v>
      </c>
      <c r="P220" s="207">
        <f t="shared" si="100"/>
        <v>1</v>
      </c>
      <c r="Q220" s="399">
        <f>Sheet1!$T$8</f>
        <v>44105</v>
      </c>
      <c r="R220" s="399">
        <f>Sheet1!$U$8</f>
        <v>44470</v>
      </c>
      <c r="S220" s="399">
        <f>Sheet1!$V$8</f>
        <v>44835</v>
      </c>
      <c r="T220" s="399">
        <f>Sheet1!$W$8</f>
        <v>45200</v>
      </c>
      <c r="U220" s="399">
        <f>Sheet1!$X$8</f>
        <v>45566</v>
      </c>
      <c r="V220" s="399">
        <f>Sheet1!$Y$8</f>
        <v>45931</v>
      </c>
      <c r="W220" s="399">
        <f>Sheet1!$Z$8</f>
        <v>46296</v>
      </c>
      <c r="X220" s="399">
        <f>Sheet1!$AA$8</f>
        <v>46661</v>
      </c>
      <c r="Y220" s="399">
        <f>Sheet1!$AB$8</f>
        <v>47027</v>
      </c>
      <c r="Z220" s="399">
        <f>Sheet1!$AC$8</f>
        <v>47392</v>
      </c>
      <c r="AA220" s="399">
        <f>$AA$5</f>
        <v>47757</v>
      </c>
      <c r="AB220" s="399">
        <f>$AB$5</f>
        <v>48122</v>
      </c>
      <c r="AC220" s="399">
        <f>$AC$5</f>
        <v>48488</v>
      </c>
      <c r="AD220" s="399">
        <f>$AD$5</f>
        <v>48853</v>
      </c>
      <c r="AE220" s="399">
        <f>$AE$5</f>
        <v>49218</v>
      </c>
      <c r="AF220" s="399">
        <f>$AF$5</f>
        <v>49583</v>
      </c>
      <c r="AG220" s="399">
        <f>$AG$5</f>
        <v>49949</v>
      </c>
      <c r="AH220" s="211"/>
      <c r="AI220" s="399">
        <f t="shared" ref="AI220:AR222" si="104">+Q220</f>
        <v>44105</v>
      </c>
      <c r="AJ220" s="399">
        <f t="shared" si="104"/>
        <v>44470</v>
      </c>
      <c r="AK220" s="399">
        <f t="shared" si="104"/>
        <v>44835</v>
      </c>
      <c r="AL220" s="399">
        <f t="shared" si="104"/>
        <v>45200</v>
      </c>
      <c r="AM220" s="399">
        <f t="shared" si="104"/>
        <v>45566</v>
      </c>
      <c r="AN220" s="399">
        <f t="shared" si="104"/>
        <v>45931</v>
      </c>
      <c r="AO220" s="399">
        <f t="shared" si="104"/>
        <v>46296</v>
      </c>
      <c r="AP220" s="399">
        <f t="shared" si="104"/>
        <v>46661</v>
      </c>
      <c r="AQ220" s="399">
        <f t="shared" si="104"/>
        <v>47027</v>
      </c>
      <c r="AR220" s="399">
        <f t="shared" si="104"/>
        <v>47392</v>
      </c>
      <c r="AS220" s="399">
        <f t="shared" ref="AS220:AY222" si="105">+AA220</f>
        <v>47757</v>
      </c>
      <c r="AT220" s="399">
        <f t="shared" si="105"/>
        <v>48122</v>
      </c>
      <c r="AU220" s="399">
        <f t="shared" si="105"/>
        <v>48488</v>
      </c>
      <c r="AV220" s="399">
        <f t="shared" si="105"/>
        <v>48853</v>
      </c>
      <c r="AW220" s="399">
        <f t="shared" si="105"/>
        <v>49218</v>
      </c>
      <c r="AX220" s="399">
        <f t="shared" si="105"/>
        <v>49583</v>
      </c>
      <c r="AY220" s="399">
        <f t="shared" si="105"/>
        <v>49949</v>
      </c>
      <c r="AZ220" s="219"/>
    </row>
    <row r="221" spans="1:52" ht="12.75" customHeight="1">
      <c r="A221" s="216"/>
      <c r="B221" s="217"/>
      <c r="C221" s="217"/>
      <c r="D221" s="217"/>
      <c r="E221" s="217"/>
      <c r="F221" s="217"/>
      <c r="G221" s="217"/>
      <c r="H221" s="217"/>
      <c r="I221" s="217"/>
      <c r="J221" s="217"/>
      <c r="K221" s="217"/>
      <c r="L221" s="218"/>
      <c r="P221" s="207">
        <f t="shared" si="100"/>
        <v>1</v>
      </c>
      <c r="Q221" s="399">
        <f>Sheet1!$T$9</f>
        <v>44469</v>
      </c>
      <c r="R221" s="399">
        <f>Sheet1!$U$9</f>
        <v>44834</v>
      </c>
      <c r="S221" s="399">
        <f>Sheet1!$V$9</f>
        <v>45199</v>
      </c>
      <c r="T221" s="399">
        <f>Sheet1!$W$9</f>
        <v>45565</v>
      </c>
      <c r="U221" s="399">
        <f>Sheet1!$X$9</f>
        <v>45930</v>
      </c>
      <c r="V221" s="399">
        <f>Sheet1!$Y$9</f>
        <v>46295</v>
      </c>
      <c r="W221" s="399">
        <f>Sheet1!$Z$9</f>
        <v>46660</v>
      </c>
      <c r="X221" s="399">
        <f>Sheet1!$AA$9</f>
        <v>47026</v>
      </c>
      <c r="Y221" s="399">
        <f>Sheet1!$AB$9</f>
        <v>47391</v>
      </c>
      <c r="Z221" s="399">
        <f>Sheet1!$AC$9</f>
        <v>47756</v>
      </c>
      <c r="AA221" s="399">
        <f>$AA$6</f>
        <v>48121</v>
      </c>
      <c r="AB221" s="399">
        <f>$AB$6</f>
        <v>48487</v>
      </c>
      <c r="AC221" s="399">
        <f>$AC$6</f>
        <v>48852</v>
      </c>
      <c r="AD221" s="399">
        <f>$AD$6</f>
        <v>49217</v>
      </c>
      <c r="AE221" s="399">
        <f>$AE$6</f>
        <v>49582</v>
      </c>
      <c r="AF221" s="399">
        <f>$AF$6</f>
        <v>49948</v>
      </c>
      <c r="AG221" s="399">
        <f>$AG$6</f>
        <v>50313</v>
      </c>
      <c r="AH221" s="211"/>
      <c r="AI221" s="399">
        <f t="shared" si="104"/>
        <v>44469</v>
      </c>
      <c r="AJ221" s="399">
        <f t="shared" si="104"/>
        <v>44834</v>
      </c>
      <c r="AK221" s="399">
        <f t="shared" si="104"/>
        <v>45199</v>
      </c>
      <c r="AL221" s="399">
        <f t="shared" si="104"/>
        <v>45565</v>
      </c>
      <c r="AM221" s="399">
        <f t="shared" si="104"/>
        <v>45930</v>
      </c>
      <c r="AN221" s="399">
        <f t="shared" si="104"/>
        <v>46295</v>
      </c>
      <c r="AO221" s="399">
        <f t="shared" si="104"/>
        <v>46660</v>
      </c>
      <c r="AP221" s="399">
        <f t="shared" si="104"/>
        <v>47026</v>
      </c>
      <c r="AQ221" s="399">
        <f t="shared" si="104"/>
        <v>47391</v>
      </c>
      <c r="AR221" s="399">
        <f t="shared" si="104"/>
        <v>47756</v>
      </c>
      <c r="AS221" s="399">
        <f t="shared" si="105"/>
        <v>48121</v>
      </c>
      <c r="AT221" s="399">
        <f t="shared" si="105"/>
        <v>48487</v>
      </c>
      <c r="AU221" s="399">
        <f t="shared" si="105"/>
        <v>48852</v>
      </c>
      <c r="AV221" s="399">
        <f t="shared" si="105"/>
        <v>49217</v>
      </c>
      <c r="AW221" s="399">
        <f t="shared" si="105"/>
        <v>49582</v>
      </c>
      <c r="AX221" s="399">
        <f t="shared" si="105"/>
        <v>49948</v>
      </c>
      <c r="AY221" s="399">
        <f t="shared" si="105"/>
        <v>50313</v>
      </c>
      <c r="AZ221" s="219"/>
    </row>
    <row r="222" spans="1:52" ht="12.75" customHeight="1">
      <c r="A222" s="226" t="s">
        <v>153</v>
      </c>
      <c r="B222" s="146">
        <f>IF(B214="No "&amp;B213,0,IF('1. SUMMARY'!$Q$20=1,+$AH623,$AZ623))</f>
        <v>0</v>
      </c>
      <c r="C222" s="146">
        <f>IF(C214="No "&amp;C213,0,IF('1. SUMMARY'!$Q$20=1,+$AH628,$AZ628))</f>
        <v>0</v>
      </c>
      <c r="D222" s="146">
        <f>IF(D214="No "&amp;D213,0,IF('1. SUMMARY'!$Q$20=1,+$AH633,$AZ633))</f>
        <v>0</v>
      </c>
      <c r="E222" s="146">
        <f>IF(E214="No "&amp;E213,0,IF('1. SUMMARY'!$Q$20=1,+$AH638,$AZ638))</f>
        <v>0</v>
      </c>
      <c r="F222" s="146">
        <f>IF(F214="No "&amp;F213,0,IF('1. SUMMARY'!$Q$20=1,+$AH643,$AZ643))</f>
        <v>0</v>
      </c>
      <c r="G222" s="146">
        <f>IF(G214="No "&amp;G213,0,IF('1. SUMMARY'!$Q$20=1,+$AH648,$AZ648))</f>
        <v>0</v>
      </c>
      <c r="H222" s="146">
        <f>IF(H214="No "&amp;H213,0,IF('1. SUMMARY'!$Q$20=1,+$AH653,$AZ653))</f>
        <v>0</v>
      </c>
      <c r="I222" s="146">
        <f>IF(I214="No "&amp;I213,0,IF('1. SUMMARY'!$Q$20=1,+$AH658,$AZ658))</f>
        <v>0</v>
      </c>
      <c r="J222" s="146">
        <f>IF(J214="No "&amp;J213,0,IF('1. SUMMARY'!$Q$20=1,+$AH663,$AZ663))</f>
        <v>0</v>
      </c>
      <c r="K222" s="146">
        <f>IF(K214="No "&amp;K213,0,IF('1. SUMMARY'!$Q$20=1,+$AH668,$AZ668))</f>
        <v>0</v>
      </c>
      <c r="L222" s="229">
        <f>SUM(B222:K222)</f>
        <v>0</v>
      </c>
      <c r="O222" s="207">
        <v>3</v>
      </c>
      <c r="P222" s="207">
        <f t="shared" si="100"/>
        <v>1</v>
      </c>
      <c r="Q222" s="400">
        <f>IF(IF(Q221&lt;D78,0,DATEDIF(D78,Q221+1,"m"))&lt;0,0,IF(Q221&lt;D78,0,DATEDIF(D78,Q221+1,"m")))</f>
        <v>0</v>
      </c>
      <c r="R222" s="400">
        <f>IF(IF(Q222=12,0,IF(R221&gt;D79,12-DATEDIF(D79,R221+1,"m"),IF(R221&lt;D78,0,DATEDIF(D78,R221+1,"m"))))&lt;0,0,IF(Q222=12,0,IF(R221&gt;D79,12-DATEDIF(D79,R221+1,"m"),IF(R221&lt;D78,0,DATEDIF(D78,R221+1,"m")))))</f>
        <v>0</v>
      </c>
      <c r="S222" s="400">
        <f>IF(IF(Q222+R222=12,0,IF(S221&gt;D79,12-DATEDIF(D79,S221+1,"m"),IF(S221&lt;D78,0,DATEDIF(D78,S221+1,"m"))))&lt;0,0,IF(Q222+R222=12,0,IF(S221&gt;D79,12-DATEDIF(D79,S221+1,"m"),IF(S221&lt;D78,0,DATEDIF(D78,S221+1,"m")))))</f>
        <v>0</v>
      </c>
      <c r="T222" s="400">
        <f>IF(IF(R222+S222+Q222=12,0,IF(T221&gt;D79,12-DATEDIF(D79,T221+1,"m"),IF(T221&lt;D78,0,DATEDIF(D78,T221+1,"m"))))&lt;0,0,IF(R222+S222+Q222=12,0,IF(T221&gt;D79,12-DATEDIF(D79,T221+1,"m"),IF(T221&lt;D78,0,DATEDIF(D78,T221+1,"m")))))</f>
        <v>0</v>
      </c>
      <c r="U222" s="400">
        <f>IF(IF(S222+T222+R222+Q222=12,0,IF(U221&gt;D79,12-DATEDIF(D79,U221+1,"m"),IF(U221&lt;D78,0,DATEDIF(D78,U221+1,"m"))))&lt;0,0,IF(S222+T222+R222+Q222=12,0,IF(U221&gt;D79,12-DATEDIF(D79,U221+1,"m"),IF(U221&lt;D78,0,DATEDIF(D78,U221+1,"m")))))</f>
        <v>0</v>
      </c>
      <c r="V222" s="400">
        <f>IF(IF(T222+U222+S222+R222+Q222=12,0,IF(V221&gt;D79,12-DATEDIF(D79,V221+1,"m"),IF(V221&lt;D78,0,DATEDIF(D78,V221+1,"m"))))&lt;0,0,IF(T222+U222+S222+R222+Q222=12,0,IF(V221&gt;D79,12-DATEDIF(D79,V221+1,"m"),IF(V221&lt;D78,0,DATEDIF(D78,V221+1,"m")))))</f>
        <v>0</v>
      </c>
      <c r="W222" s="400">
        <f>IF(IF(U222+V222+T222+S222+R222+Q222=12,0,IF(W221&gt;D79,12-DATEDIF(D79,W221+1,"m"),IF(W221&lt;D78,0,DATEDIF(D78,W221+1,"m"))))&lt;0,0,IF(U222+V222+T222+S222+R222+Q222=12,0,IF(W221&gt;D79,12-DATEDIF(D79,W221+1,"m"),IF(W221&lt;D78,0,DATEDIF(D78,W221+1,"m")))))</f>
        <v>0</v>
      </c>
      <c r="X222" s="400">
        <f>IF(IF(V222+W222+U222+T222+S222+R222+Q222=12,0,IF(X221&gt;D79,12-DATEDIF(D79,X221+1,"m"),IF(X221&lt;D78,0,DATEDIF(D78,X221+1,"m"))))&lt;0,0,IF(V222+W222+U222+T222+S222+R222+Q222=12,0,IF(X221&gt;D79,12-DATEDIF(D79,X221+1,"m"),IF(X221&lt;D78,0,DATEDIF(D78,X221+1,"m")))))</f>
        <v>0</v>
      </c>
      <c r="Y222" s="400">
        <f>IF(IF(W222+X222+V222+U222+T222+S222+R222=12,0,IF(Y221&gt;D79,12-DATEDIF(D79,Y221+1,"m"),IF(Y221&lt;D78,0,DATEDIF(D78,Y221+1,"m"))))&lt;0,0,IF(W222+X222+V222+U222+T222+S222+R222=12,0,IF(Y221&gt;D79,12-DATEDIF(D79,Y221+1,"m"),IF(Y221&lt;D78,0,DATEDIF(D78,Y221+1,"m")))))</f>
        <v>0</v>
      </c>
      <c r="Z222" s="400">
        <f>IF(IF(X222+Y222+W222+V222+U222+T222+S222=12,0,IF(Z221&gt;D79,12-DATEDIF(D79,Z221+1,"m"),IF(Z221&lt;D78,0,DATEDIF(D78,Z221+1,"m"))))&lt;0,0,IF(X222+Y222+W222+V222+U222+T222+S222=12,0,IF(Z221&gt;D79,12-DATEDIF(D79,Z221+1,"m"),IF(Z221&lt;D78,0,DATEDIF(D78,Z221+1,"m")))))</f>
        <v>0</v>
      </c>
      <c r="AA222" s="400"/>
      <c r="AB222" s="400"/>
      <c r="AC222" s="400"/>
      <c r="AD222" s="400"/>
      <c r="AE222" s="400"/>
      <c r="AF222" s="400"/>
      <c r="AG222" s="400"/>
      <c r="AH222" s="423">
        <f>SUM(Q222:AG222)</f>
        <v>0</v>
      </c>
      <c r="AI222" s="400">
        <f t="shared" si="104"/>
        <v>0</v>
      </c>
      <c r="AJ222" s="400">
        <f t="shared" si="104"/>
        <v>0</v>
      </c>
      <c r="AK222" s="400">
        <f t="shared" si="104"/>
        <v>0</v>
      </c>
      <c r="AL222" s="400">
        <f t="shared" si="104"/>
        <v>0</v>
      </c>
      <c r="AM222" s="400">
        <f t="shared" si="104"/>
        <v>0</v>
      </c>
      <c r="AN222" s="400">
        <f t="shared" si="104"/>
        <v>0</v>
      </c>
      <c r="AO222" s="400">
        <f t="shared" si="104"/>
        <v>0</v>
      </c>
      <c r="AP222" s="400">
        <f t="shared" si="104"/>
        <v>0</v>
      </c>
      <c r="AQ222" s="400">
        <f t="shared" si="104"/>
        <v>0</v>
      </c>
      <c r="AR222" s="400">
        <f t="shared" si="104"/>
        <v>0</v>
      </c>
      <c r="AS222" s="400">
        <f t="shared" si="105"/>
        <v>0</v>
      </c>
      <c r="AT222" s="400">
        <f t="shared" si="105"/>
        <v>0</v>
      </c>
      <c r="AU222" s="400">
        <f t="shared" si="105"/>
        <v>0</v>
      </c>
      <c r="AV222" s="400">
        <f t="shared" si="105"/>
        <v>0</v>
      </c>
      <c r="AW222" s="400">
        <f t="shared" si="105"/>
        <v>0</v>
      </c>
      <c r="AX222" s="400">
        <f t="shared" si="105"/>
        <v>0</v>
      </c>
      <c r="AY222" s="400">
        <f t="shared" si="105"/>
        <v>0</v>
      </c>
      <c r="AZ222" s="219">
        <f>SUM(AI222:AY222)</f>
        <v>0</v>
      </c>
    </row>
    <row r="223" spans="1:52" ht="12.75" customHeight="1">
      <c r="A223" s="216"/>
      <c r="B223" s="234"/>
      <c r="C223" s="234"/>
      <c r="D223" s="234"/>
      <c r="E223" s="234"/>
      <c r="F223" s="234"/>
      <c r="G223" s="234"/>
      <c r="H223" s="234"/>
      <c r="I223" s="234"/>
      <c r="J223" s="234"/>
      <c r="K223" s="234"/>
      <c r="L223" s="235"/>
      <c r="P223" s="207">
        <f t="shared" si="100"/>
        <v>1</v>
      </c>
      <c r="Q223" s="401">
        <f>IF(Q222=0,0,(IF(($C$84+$B$84+$D$84)&lt;=25000,(($D$84/+$AH222)*Q222)*VLOOKUP('1. SUMMARY'!$C$20,rate,Sheet1!T$21,0),((IF(($B$84+$C$84)&gt;=25000,0,(((25000-($B$84+$C$84))/+$AH222)*Q222)*VLOOKUP('1. SUMMARY'!$C$20,rate,Sheet1!T$21,0)))))))</f>
        <v>0</v>
      </c>
      <c r="R223" s="401">
        <f>IF(R222=0,0,(IF(($C$84+$B$84+$D$84)&lt;=25000,(($D$84/+$AH$222)*R222)*VLOOKUP('1. SUMMARY'!$C$20,rate,Sheet1!U$21,0),((IF(($B$84+$C$84)&gt;=25000,0,(((25000-($B$84+$C$84))/+$AH$222)*R222)*VLOOKUP('1. SUMMARY'!$C$20,rate,Sheet1!U$21,0)))))))</f>
        <v>0</v>
      </c>
      <c r="S223" s="401">
        <f>IF(S222=0,0,(IF(($C$84+$B$84+$D$84)&lt;=25000,(($D$84/+$AH$222)*S222)*VLOOKUP('1. SUMMARY'!$C$20,rate,Sheet1!V$21,0),((IF(($B$84+$C$84)&gt;=25000,0,(((25000-($B$84+$C$84))/+$AH$222)*S222)*VLOOKUP('1. SUMMARY'!$C$20,rate,Sheet1!V$21,0)))))))</f>
        <v>0</v>
      </c>
      <c r="T223" s="401">
        <f>IF(T222=0,0,(IF(($C$84+$B$84+$D$84)&lt;=25000,(($D$84/+$AH$222)*T222)*VLOOKUP('1. SUMMARY'!$C$20,rate,Sheet1!W$21,0),((IF(($B$84+$C$84)&gt;=25000,0,(((25000-($B$84+$C$84))/+$AH$222)*T222)*VLOOKUP('1. SUMMARY'!$C$20,rate,Sheet1!W$21,0)))))))</f>
        <v>0</v>
      </c>
      <c r="U223" s="401">
        <f>IF(U222=0,0,(IF(($C$84+$B$84+$D$84)&lt;=25000,(($D$84/+$AH$222)*U222)*VLOOKUP('1. SUMMARY'!$C$20,rate,Sheet1!X$21,0),((IF(($B$84+$C$84)&gt;=25000,0,(((25000-($B$84+$C$84))/+$AH$222)*U222)*VLOOKUP('1. SUMMARY'!$C$20,rate,Sheet1!X$21,0)))))))</f>
        <v>0</v>
      </c>
      <c r="V223" s="401">
        <f>IF(V222=0,0,(IF(($C$84+$B$84+$D$84)&lt;=25000,(($D$84/+$AH$222)*V222)*VLOOKUP('1. SUMMARY'!$C$20,rate,Sheet1!Y$21,0),((IF(($B$84+$C$84)&gt;=25000,0,(((25000-($B$84+$C$84))/+$AH$222)*V222)*VLOOKUP('1. SUMMARY'!$C$20,rate,Sheet1!Y$21,0)))))))</f>
        <v>0</v>
      </c>
      <c r="W223" s="401">
        <f>IF(W222=0,0,(IF(($C$84+$B$84+$D$84)&lt;=25000,(($D$84/+$AH$222)*W222)*VLOOKUP('1. SUMMARY'!$C$20,rate,Sheet1!Z$21,0),((IF(($B$84+$C$84)&gt;=25000,0,(((25000-($B$84+$C$84))/+$AH$222)*W222)*VLOOKUP('1. SUMMARY'!$C$20,rate,Sheet1!Z$21,0)))))))</f>
        <v>0</v>
      </c>
      <c r="X223" s="401">
        <f>IF(X222=0,0,(IF(($C$84+$B$84+$D$84)&lt;=25000,(($D$84/+$AH$222)*X222)*VLOOKUP('1. SUMMARY'!$C$20,rate,Sheet1!AA$21,0),((IF(($B$84+$C$84)&gt;=25000,0,(((25000-($B$84+$C$84))/+$AH$222)*X222)*VLOOKUP('1. SUMMARY'!$C$20,rate,Sheet1!AA$21,0)))))))</f>
        <v>0</v>
      </c>
      <c r="Y223" s="401">
        <f>IF(Y222=0,0,(IF(($C$84+$B$84+$D$84)&lt;=25000,(($D$84/+$AH$222)*Y222)*VLOOKUP('1. SUMMARY'!$C$20,rate,Sheet1!AB$21,0),((IF(($B$84+$C$84)&gt;=25000,0,(((25000-($B$84+$C$84))/+$AH$222)*Y222)*VLOOKUP('1. SUMMARY'!$C$20,rate,Sheet1!AB$21,0)))))))</f>
        <v>0</v>
      </c>
      <c r="Z223" s="401">
        <f>IF(Z222=0,0,(IF(($C$84+$B$84+$D$84)&lt;=25000,(($D$84/+$AH$222)*Z222)*VLOOKUP('1. SUMMARY'!$C$20,rate,Sheet1!AC$21,0),((IF(($B$84+$C$84)&gt;=25000,0,(((25000-($B$84+$C$84))/+$AH$222)*Z222)*VLOOKUP('1. SUMMARY'!$C$20,rate,Sheet1!AC$21,0)))))))</f>
        <v>0</v>
      </c>
      <c r="AA223" s="401">
        <f>IF(AA222=0,0,(IF(($C$84+$B$84+$D$84)&lt;=25000,(($D$84/+$AH$222)*AA222)*VLOOKUP('1. SUMMARY'!$C$20,rate,Sheet1!AD$21,0),((IF(($B$84+$C$84)&gt;=25000,0,(((25000-($B$84+$C$84))/+$AH$222)*AA222)*VLOOKUP('1. SUMMARY'!$C$20,rate,Sheet1!AD$21,0)))))))</f>
        <v>0</v>
      </c>
      <c r="AB223" s="401">
        <f>IF(AB222=0,0,(IF(($C$84+$B$84+$D$84)&lt;=25000,(($D$84/+$AH$222)*AB222)*VLOOKUP('1. SUMMARY'!$C$20,rate,Sheet1!AE$21,0),((IF(($B$84+$C$84)&gt;=25000,0,(((25000-($B$84+$C$84))/+$AH$222)*AB222)*VLOOKUP('1. SUMMARY'!$C$20,rate,Sheet1!AE$21,0)))))))</f>
        <v>0</v>
      </c>
      <c r="AC223" s="401">
        <f>IF(AC222=0,0,(IF(($C$84+$B$84+$D$84)&lt;=25000,(($D$84/+$AH$222)*AC222)*VLOOKUP('1. SUMMARY'!$C$20,rate,Sheet1!AF$21,0),((IF(($B$84+$C$84)&gt;=25000,0,(((25000-($B$84+$C$84))/+$AH$222)*AC222)*VLOOKUP('1. SUMMARY'!$C$20,rate,Sheet1!AF$21,0)))))))</f>
        <v>0</v>
      </c>
      <c r="AD223" s="401">
        <f>IF(AD222=0,0,(IF(($C$84+$B$84+$D$84)&lt;=25000,(($D$84/+$AH$222)*AD222)*VLOOKUP('1. SUMMARY'!$C$20,rate,Sheet1!AG$21,0),((IF(($B$84+$C$84)&gt;=25000,0,(((25000-($B$84+$C$84))/+$AH$222)*AD222)*VLOOKUP('1. SUMMARY'!$C$20,rate,Sheet1!AG$21,0)))))))</f>
        <v>0</v>
      </c>
      <c r="AE223" s="401">
        <f>IF(AE222=0,0,(IF(($C$84+$B$84+$D$84)&lt;=25000,(($D$84/+$AH$222)*AE222)*VLOOKUP('1. SUMMARY'!$C$20,rate,Sheet1!AH$21,0),((IF(($B$84+$C$84)&gt;=25000,0,(((25000-($B$84+$C$84))/+$AH$222)*AE222)*VLOOKUP('1. SUMMARY'!$C$20,rate,Sheet1!AH$21,0)))))))</f>
        <v>0</v>
      </c>
      <c r="AF223" s="401">
        <f>IF(AF222=0,0,(IF(($C$84+$B$84+$D$84)&lt;=25000,(($D$84/+$AH$222)*AF222)*VLOOKUP('1. SUMMARY'!$C$20,rate,Sheet1!AI$21,0),((IF(($B$84+$C$84)&gt;=25000,0,(((25000-($B$84+$C$84))/+$AH$222)*AF222)*VLOOKUP('1. SUMMARY'!$C$20,rate,Sheet1!AI$21,0)))))))</f>
        <v>0</v>
      </c>
      <c r="AG223" s="401">
        <f>IF(AG222=0,0,(IF(($C$84+$B$84+$D$84)&lt;=25000,(($D$84/+$AH$222)*AG222)*VLOOKUP('1. SUMMARY'!$C$20,rate,Sheet1!AJ$21,0),((IF(($B$84+$C$84)&gt;=25000,0,(((25000-($B$84+$C$84))/+$AH$222)*AG222)*VLOOKUP('1. SUMMARY'!$C$20,rate,Sheet1!AJ$21,0)))))))</f>
        <v>0</v>
      </c>
      <c r="AH223" s="219">
        <f>SUM(Q223:AG223)</f>
        <v>0</v>
      </c>
      <c r="AI223" s="401">
        <f>IF(Q222=0,0,((+$D84/$AZ$17)*AI222)*VLOOKUP('1. SUMMARY'!$C$20,rate,Sheet1!T$21,0))</f>
        <v>0</v>
      </c>
      <c r="AJ223" s="401">
        <f>IF(R222=0,0,((+$D84/$AZ$17)*AJ222)*VLOOKUP('1. SUMMARY'!$C$20,rate,Sheet1!U$21,0))</f>
        <v>0</v>
      </c>
      <c r="AK223" s="401">
        <f>IF(S222=0,0,((+$D84/$AZ$17)*AK222)*VLOOKUP('1. SUMMARY'!$C$20,rate,Sheet1!V$21,0))</f>
        <v>0</v>
      </c>
      <c r="AL223" s="401">
        <f>IF(T222=0,0,((+$D84/$AZ$17)*AL222)*VLOOKUP('1. SUMMARY'!$C$20,rate,Sheet1!W$21,0))</f>
        <v>0</v>
      </c>
      <c r="AM223" s="401">
        <f>IF(U222=0,0,((+$D84/$AZ$17)*AM222)*VLOOKUP('1. SUMMARY'!$C$20,rate,Sheet1!X$21,0))</f>
        <v>0</v>
      </c>
      <c r="AN223" s="401">
        <f>IF(V222=0,0,((+$D84/$AZ$17)*AN222)*VLOOKUP('1. SUMMARY'!$C$20,rate,Sheet1!Y$21,0))</f>
        <v>0</v>
      </c>
      <c r="AO223" s="401">
        <f>IF(W222=0,0,((+$D84/$AZ$17)*AO222)*VLOOKUP('1. SUMMARY'!$C$20,rate,Sheet1!Z$21,0))</f>
        <v>0</v>
      </c>
      <c r="AP223" s="401">
        <f>IF(X222=0,0,((+$D84/$AZ$17)*AP222)*VLOOKUP('1. SUMMARY'!$C$20,rate,Sheet1!AA$21,0))</f>
        <v>0</v>
      </c>
      <c r="AQ223" s="401">
        <f>IF(Y222=0,0,((+$D84/$AZ$17)*AQ222)*VLOOKUP('1. SUMMARY'!$C$20,rate,Sheet1!AB$21,0))</f>
        <v>0</v>
      </c>
      <c r="AR223" s="401">
        <f>IF(Z222=0,0,((+$D84/$AZ$17)*AR222)*VLOOKUP('1. SUMMARY'!$C$20,rate,Sheet1!AC$21,0))</f>
        <v>0</v>
      </c>
      <c r="AS223" s="401">
        <f>IF(AA222=0,0,((+$D84/$AZ$17)*AS222)*VLOOKUP('1. SUMMARY'!$C$20,rate,Sheet1!AD$21,0))</f>
        <v>0</v>
      </c>
      <c r="AT223" s="401">
        <f>IF(AB222=0,0,((+$D84/$AZ$17)*AT222)*VLOOKUP('1. SUMMARY'!$C$20,rate,Sheet1!AE$21,0))</f>
        <v>0</v>
      </c>
      <c r="AU223" s="401">
        <f>IF(AC222=0,0,((+$D84/$AZ$17)*AU222)*VLOOKUP('1. SUMMARY'!$C$20,rate,Sheet1!AF$21,0))</f>
        <v>0</v>
      </c>
      <c r="AV223" s="401">
        <f>IF(AD222=0,0,((+$D84/$AZ$17)*AV222)*VLOOKUP('1. SUMMARY'!$C$20,rate,Sheet1!AG$21,0))</f>
        <v>0</v>
      </c>
      <c r="AW223" s="401">
        <f>IF(AE222=0,0,((+$D84/$AZ$17)*AW222)*VLOOKUP('1. SUMMARY'!$C$20,rate,Sheet1!AH$21,0))</f>
        <v>0</v>
      </c>
      <c r="AX223" s="401">
        <f>IF(AF222=0,0,((+$D84/$AZ$17)*AX222)*VLOOKUP('1. SUMMARY'!$C$20,rate,Sheet1!AI$21,0))</f>
        <v>0</v>
      </c>
      <c r="AY223" s="401">
        <f>IF(AG222=0,0,((+$D84/$AZ$17)*AY222)*VLOOKUP('1. SUMMARY'!$C$20,rate,Sheet1!AJ$21,0))</f>
        <v>0</v>
      </c>
      <c r="AZ223" s="219">
        <f>SUM(AI223:AY223)</f>
        <v>0</v>
      </c>
    </row>
    <row r="224" spans="1:52" ht="12.75" customHeight="1" thickBot="1">
      <c r="A224" s="236" t="s">
        <v>154</v>
      </c>
      <c r="B224" s="237">
        <f>SUM(B220:B222)</f>
        <v>0</v>
      </c>
      <c r="C224" s="237" t="str">
        <f>IF(C214="No Year 2","",SUM(C220:C222))</f>
        <v/>
      </c>
      <c r="D224" s="237" t="str">
        <f>IF(D214="No Year 3","",SUM(D220:D222))</f>
        <v/>
      </c>
      <c r="E224" s="237" t="str">
        <f>IF(E214="No Year 4","",SUM(E220:E222))</f>
        <v/>
      </c>
      <c r="F224" s="237" t="str">
        <f>IF(F214="No Year 5","",SUM(F220:F222))</f>
        <v/>
      </c>
      <c r="G224" s="237" t="str">
        <f>IF(G214="No Year 6","",SUM(G220:G222))</f>
        <v/>
      </c>
      <c r="H224" s="237" t="str">
        <f>IF(H214="No Year 7","",SUM(H220:H222))</f>
        <v/>
      </c>
      <c r="I224" s="237" t="str">
        <f>IF(I214="No Year 8","",SUM(I220:I222))</f>
        <v/>
      </c>
      <c r="J224" s="237" t="str">
        <f>IF(J214="No Year 9","",SUM(J220:J222))</f>
        <v/>
      </c>
      <c r="K224" s="237" t="str">
        <f>IF(K214="No Year 10","",SUM(K220:K222))</f>
        <v/>
      </c>
      <c r="L224" s="238">
        <f>SUM(B224:K224)</f>
        <v>0</v>
      </c>
      <c r="N224" s="86">
        <f>IF(L224&gt;0,1,0)</f>
        <v>0</v>
      </c>
      <c r="P224" s="207">
        <f t="shared" si="100"/>
        <v>1</v>
      </c>
      <c r="Q224" s="401">
        <f>+Q223/VLOOKUP('1. SUMMARY'!$C$20,rate,Sheet1!T$21,0)</f>
        <v>0</v>
      </c>
      <c r="R224" s="401">
        <f>+R223/VLOOKUP('1. SUMMARY'!$C$20,rate,Sheet1!U$21,0)</f>
        <v>0</v>
      </c>
      <c r="S224" s="401">
        <f>+S223/VLOOKUP('1. SUMMARY'!$C$20,rate,Sheet1!V$21,0)</f>
        <v>0</v>
      </c>
      <c r="T224" s="401">
        <f>+T223/VLOOKUP('1. SUMMARY'!$C$20,rate,Sheet1!W$21,0)</f>
        <v>0</v>
      </c>
      <c r="U224" s="401">
        <f>+U223/VLOOKUP('1. SUMMARY'!$C$20,rate,Sheet1!X$21,0)</f>
        <v>0</v>
      </c>
      <c r="V224" s="401">
        <f>+V223/VLOOKUP('1. SUMMARY'!$C$20,rate,Sheet1!Y$21,0)</f>
        <v>0</v>
      </c>
      <c r="W224" s="401">
        <f>+W223/VLOOKUP('1. SUMMARY'!$C$20,rate,Sheet1!Z$21,0)</f>
        <v>0</v>
      </c>
      <c r="X224" s="401">
        <f>+X223/VLOOKUP('1. SUMMARY'!$C$20,rate,Sheet1!AA$21,0)</f>
        <v>0</v>
      </c>
      <c r="Y224" s="401">
        <f>+Y223/VLOOKUP('1. SUMMARY'!$C$20,rate,Sheet1!AB$21,0)</f>
        <v>0</v>
      </c>
      <c r="Z224" s="401">
        <f>+Z223/VLOOKUP('1. SUMMARY'!$C$20,rate,Sheet1!AC$21,0)</f>
        <v>0</v>
      </c>
      <c r="AA224" s="401">
        <f>+AA223/VLOOKUP('1. SUMMARY'!$C$20,rate,Sheet1!AD$21,0)</f>
        <v>0</v>
      </c>
      <c r="AB224" s="401">
        <f>+AB223/VLOOKUP('1. SUMMARY'!$C$20,rate,Sheet1!AE$21,0)</f>
        <v>0</v>
      </c>
      <c r="AC224" s="401">
        <f>+AC223/VLOOKUP('1. SUMMARY'!$C$20,rate,Sheet1!AF$21,0)</f>
        <v>0</v>
      </c>
      <c r="AD224" s="401">
        <f>+AD223/VLOOKUP('1. SUMMARY'!$C$20,rate,Sheet1!AG$21,0)</f>
        <v>0</v>
      </c>
      <c r="AE224" s="401">
        <f>+AE223/VLOOKUP('1. SUMMARY'!$C$20,rate,Sheet1!AH$21,0)</f>
        <v>0</v>
      </c>
      <c r="AF224" s="401">
        <f>+AF223/VLOOKUP('1. SUMMARY'!$C$20,rate,Sheet1!AI$21,0)</f>
        <v>0</v>
      </c>
      <c r="AG224" s="401">
        <f>+AG223/VLOOKUP('1. SUMMARY'!$C$20,rate,Sheet1!AJ$21,0)</f>
        <v>0</v>
      </c>
      <c r="AH224" s="219"/>
      <c r="AI224" s="401">
        <v>0</v>
      </c>
      <c r="AJ224" s="401">
        <v>0</v>
      </c>
      <c r="AK224" s="401">
        <v>0</v>
      </c>
      <c r="AL224" s="401">
        <v>0</v>
      </c>
      <c r="AM224" s="401">
        <v>0</v>
      </c>
      <c r="AN224" s="401">
        <v>0</v>
      </c>
      <c r="AO224" s="401">
        <v>0</v>
      </c>
      <c r="AP224" s="401">
        <v>0</v>
      </c>
      <c r="AQ224" s="401"/>
      <c r="AR224" s="401"/>
      <c r="AS224" s="401"/>
      <c r="AT224" s="401"/>
      <c r="AU224" s="401"/>
      <c r="AV224" s="401"/>
      <c r="AW224" s="401"/>
      <c r="AX224" s="401"/>
      <c r="AY224" s="401"/>
      <c r="AZ224" s="219"/>
    </row>
    <row r="225" spans="1:52" ht="12.75" customHeight="1" thickTop="1">
      <c r="P225" s="207">
        <f t="shared" si="100"/>
        <v>1</v>
      </c>
      <c r="Q225" s="405">
        <f>Sheet1!$T$8</f>
        <v>44105</v>
      </c>
      <c r="R225" s="405">
        <f>Sheet1!$U$8</f>
        <v>44470</v>
      </c>
      <c r="S225" s="405">
        <f>Sheet1!$V$8</f>
        <v>44835</v>
      </c>
      <c r="T225" s="405">
        <f>Sheet1!$W$8</f>
        <v>45200</v>
      </c>
      <c r="U225" s="405">
        <f>Sheet1!$X$8</f>
        <v>45566</v>
      </c>
      <c r="V225" s="405">
        <f>Sheet1!$Y$8</f>
        <v>45931</v>
      </c>
      <c r="W225" s="405">
        <f>Sheet1!$Z$8</f>
        <v>46296</v>
      </c>
      <c r="X225" s="405">
        <f>Sheet1!$AA$8</f>
        <v>46661</v>
      </c>
      <c r="Y225" s="405">
        <f>Sheet1!$AB$8</f>
        <v>47027</v>
      </c>
      <c r="Z225" s="405">
        <f>Sheet1!$AC$8</f>
        <v>47392</v>
      </c>
      <c r="AA225" s="405">
        <f>$AA$5</f>
        <v>47757</v>
      </c>
      <c r="AB225" s="405">
        <f>$AB$5</f>
        <v>48122</v>
      </c>
      <c r="AC225" s="405">
        <f>$AC$5</f>
        <v>48488</v>
      </c>
      <c r="AD225" s="405">
        <f>$AD$5</f>
        <v>48853</v>
      </c>
      <c r="AE225" s="405">
        <f>$AE$5</f>
        <v>49218</v>
      </c>
      <c r="AF225" s="405">
        <f>$AF$5</f>
        <v>49583</v>
      </c>
      <c r="AG225" s="405">
        <f>$AG$5</f>
        <v>49949</v>
      </c>
      <c r="AH225" s="211"/>
      <c r="AI225" s="405">
        <f t="shared" ref="AI225:AR227" si="106">+Q225</f>
        <v>44105</v>
      </c>
      <c r="AJ225" s="405">
        <f t="shared" si="106"/>
        <v>44470</v>
      </c>
      <c r="AK225" s="405">
        <f t="shared" si="106"/>
        <v>44835</v>
      </c>
      <c r="AL225" s="405">
        <f t="shared" si="106"/>
        <v>45200</v>
      </c>
      <c r="AM225" s="405">
        <f t="shared" si="106"/>
        <v>45566</v>
      </c>
      <c r="AN225" s="405">
        <f t="shared" si="106"/>
        <v>45931</v>
      </c>
      <c r="AO225" s="405">
        <f t="shared" si="106"/>
        <v>46296</v>
      </c>
      <c r="AP225" s="405">
        <f t="shared" si="106"/>
        <v>46661</v>
      </c>
      <c r="AQ225" s="405">
        <f t="shared" si="106"/>
        <v>47027</v>
      </c>
      <c r="AR225" s="405">
        <f t="shared" si="106"/>
        <v>47392</v>
      </c>
      <c r="AS225" s="405">
        <f t="shared" ref="AS225:AY227" si="107">+AA225</f>
        <v>47757</v>
      </c>
      <c r="AT225" s="405">
        <f t="shared" si="107"/>
        <v>48122</v>
      </c>
      <c r="AU225" s="405">
        <f t="shared" si="107"/>
        <v>48488</v>
      </c>
      <c r="AV225" s="405">
        <f t="shared" si="107"/>
        <v>48853</v>
      </c>
      <c r="AW225" s="405">
        <f t="shared" si="107"/>
        <v>49218</v>
      </c>
      <c r="AX225" s="405">
        <f t="shared" si="107"/>
        <v>49583</v>
      </c>
      <c r="AY225" s="405">
        <f t="shared" si="107"/>
        <v>49949</v>
      </c>
      <c r="AZ225" s="211"/>
    </row>
    <row r="226" spans="1:52" ht="12.75" customHeight="1" thickBot="1">
      <c r="P226" s="207">
        <f t="shared" si="100"/>
        <v>1</v>
      </c>
      <c r="Q226" s="405">
        <f>Sheet1!$T$9</f>
        <v>44469</v>
      </c>
      <c r="R226" s="405">
        <f>Sheet1!$U$9</f>
        <v>44834</v>
      </c>
      <c r="S226" s="405">
        <f>Sheet1!$V$9</f>
        <v>45199</v>
      </c>
      <c r="T226" s="405">
        <f>Sheet1!$W$9</f>
        <v>45565</v>
      </c>
      <c r="U226" s="405">
        <f>Sheet1!$X$9</f>
        <v>45930</v>
      </c>
      <c r="V226" s="405">
        <f>Sheet1!$Y$9</f>
        <v>46295</v>
      </c>
      <c r="W226" s="405">
        <f>Sheet1!$Z$9</f>
        <v>46660</v>
      </c>
      <c r="X226" s="405">
        <f>Sheet1!$AA$9</f>
        <v>47026</v>
      </c>
      <c r="Y226" s="405">
        <f>Sheet1!$AB$9</f>
        <v>47391</v>
      </c>
      <c r="Z226" s="405">
        <f>Sheet1!$AC$9</f>
        <v>47756</v>
      </c>
      <c r="AA226" s="405">
        <f>$AA$6</f>
        <v>48121</v>
      </c>
      <c r="AB226" s="405">
        <f>$AB$6</f>
        <v>48487</v>
      </c>
      <c r="AC226" s="405">
        <f>$AC$6</f>
        <v>48852</v>
      </c>
      <c r="AD226" s="405">
        <f>$AD$6</f>
        <v>49217</v>
      </c>
      <c r="AE226" s="405">
        <f>$AE$6</f>
        <v>49582</v>
      </c>
      <c r="AF226" s="405">
        <f>$AF$6</f>
        <v>49948</v>
      </c>
      <c r="AG226" s="405">
        <f>$AG$6</f>
        <v>50313</v>
      </c>
      <c r="AH226" s="211"/>
      <c r="AI226" s="405">
        <f t="shared" si="106"/>
        <v>44469</v>
      </c>
      <c r="AJ226" s="405">
        <f t="shared" si="106"/>
        <v>44834</v>
      </c>
      <c r="AK226" s="405">
        <f t="shared" si="106"/>
        <v>45199</v>
      </c>
      <c r="AL226" s="405">
        <f t="shared" si="106"/>
        <v>45565</v>
      </c>
      <c r="AM226" s="405">
        <f t="shared" si="106"/>
        <v>45930</v>
      </c>
      <c r="AN226" s="405">
        <f t="shared" si="106"/>
        <v>46295</v>
      </c>
      <c r="AO226" s="405">
        <f t="shared" si="106"/>
        <v>46660</v>
      </c>
      <c r="AP226" s="405">
        <f t="shared" si="106"/>
        <v>47026</v>
      </c>
      <c r="AQ226" s="405">
        <f t="shared" si="106"/>
        <v>47391</v>
      </c>
      <c r="AR226" s="405">
        <f t="shared" si="106"/>
        <v>47756</v>
      </c>
      <c r="AS226" s="405">
        <f t="shared" si="107"/>
        <v>48121</v>
      </c>
      <c r="AT226" s="405">
        <f t="shared" si="107"/>
        <v>48487</v>
      </c>
      <c r="AU226" s="405">
        <f t="shared" si="107"/>
        <v>48852</v>
      </c>
      <c r="AV226" s="405">
        <f t="shared" si="107"/>
        <v>49217</v>
      </c>
      <c r="AW226" s="405">
        <f t="shared" si="107"/>
        <v>49582</v>
      </c>
      <c r="AX226" s="405">
        <f t="shared" si="107"/>
        <v>49948</v>
      </c>
      <c r="AY226" s="405">
        <f t="shared" si="107"/>
        <v>50313</v>
      </c>
      <c r="AZ226" s="211"/>
    </row>
    <row r="227" spans="1:52" ht="12.75" customHeight="1" thickTop="1">
      <c r="A227" s="212" t="s">
        <v>167</v>
      </c>
      <c r="B227" s="213"/>
      <c r="C227" s="213"/>
      <c r="D227" s="213"/>
      <c r="E227" s="213"/>
      <c r="F227" s="213"/>
      <c r="G227" s="213"/>
      <c r="H227" s="213"/>
      <c r="I227" s="213"/>
      <c r="J227" s="213"/>
      <c r="K227" s="213"/>
      <c r="L227" s="214"/>
      <c r="O227" s="207">
        <v>4</v>
      </c>
      <c r="P227" s="207">
        <f t="shared" si="100"/>
        <v>1</v>
      </c>
      <c r="Q227" s="406">
        <f>IF(IF(Q226&lt;E78,0,DATEDIF(E78,Q226+1,"m"))&lt;0,0,IF(Q226&lt;E78,0,DATEDIF(E78,Q226+1,"m")))</f>
        <v>0</v>
      </c>
      <c r="R227" s="406">
        <f>IF(IF(Q227=12,0,IF(R226&gt;E79,12-DATEDIF(E79,R226+1,"m"),IF(R226&lt;E78,0,DATEDIF(E78,R226+1,"m"))))&lt;0,0,IF(Q227=12,0,IF(R226&gt;E79,12-DATEDIF(E79,R226+1,"m"),IF(R226&lt;E78,0,DATEDIF(E78,R226+1,"m")))))</f>
        <v>0</v>
      </c>
      <c r="S227" s="406">
        <f>IF(IF(Q227+R227=12,0,IF(S226&gt;E79,12-DATEDIF(E79,S226+1,"m"),IF(S226&lt;E78,0,DATEDIF(E78,S226+1,"m"))))&lt;0,0,IF(Q227+R227=12,0,IF(S226&gt;E79,12-DATEDIF(E79,S226+1,"m"),IF(S226&lt;E78,0,DATEDIF(E78,S226+1,"m")))))</f>
        <v>0</v>
      </c>
      <c r="T227" s="406">
        <f>IF(IF(R227+S227+Q227=12,0,IF(T226&gt;E79,12-DATEDIF(E79,T226+1,"m"),IF(T226&lt;E78,0,DATEDIF(E78,T226+1,"m"))))&lt;0,0,IF(R227+S227+Q227=12,0,IF(T226&gt;E79,12-DATEDIF(E79,T226+1,"m"),IF(T226&lt;E78,0,DATEDIF(E78,T226+1,"m")))))</f>
        <v>0</v>
      </c>
      <c r="U227" s="406">
        <f>IF(IF(S227+T227+R227+Q227=12,0,IF(U226&gt;E79,12-DATEDIF(E79,U226+1,"m"),IF(U226&lt;E78,0,DATEDIF(E78,U226+1,"m"))))&lt;0,0,IF(S227+T227+R227+Q227=12,0,IF(U226&gt;E79,12-DATEDIF(E79,U226+1,"m"),IF(U226&lt;E78,0,DATEDIF(E78,U226+1,"m")))))</f>
        <v>0</v>
      </c>
      <c r="V227" s="406">
        <f>IF(IF(T227+U227+S227+R227+Q227=12,0,IF(V226&gt;E79,12-DATEDIF(E79,V226+1,"m"),IF(V226&lt;E78,0,DATEDIF(E78,V226+1,"m"))))&lt;0,0,IF(T227+U227+S227+R227+Q227=12,0,IF(V226&gt;E79,12-DATEDIF(E79,V226+1,"m"),IF(V226&lt;E78,0,DATEDIF(E78,V226+1,"m")))))</f>
        <v>0</v>
      </c>
      <c r="W227" s="406">
        <f>IF(IF(U227+V227+T227+S227+R227+Q227=12,0,IF(W226&gt;E79,12-DATEDIF(E79,W226+1,"m"),IF(W226&lt;E78,0,DATEDIF(E78,W226+1,"m"))))&lt;0,0,IF(U227+V227+T227+S227+R227+Q227=12,0,IF(W226&gt;E79,12-DATEDIF(E79,W226+1,"m"),IF(W226&lt;E78,0,DATEDIF(E78,W226+1,"m")))))</f>
        <v>0</v>
      </c>
      <c r="X227" s="406">
        <f>IF(IF(V227+W227+U227+T227+S227+R227+Q227=12,0,IF(X226&gt;E79,12-DATEDIF(E79,X226+1,"m"),IF(X226&lt;E78,0,DATEDIF(E78,X226+1,"m"))))&lt;0,0,IF(V227+W227+U227+T227+S227+R227+Q227=12,0,IF(X226&gt;E79,12-DATEDIF(E79,X226+1,"m"),IF(X226&lt;E78,0,DATEDIF(E78,X226+1,"m")))))</f>
        <v>0</v>
      </c>
      <c r="Y227" s="406">
        <f>IF(IF(W227+X227+V227+U227+T227+S227+R227=12,0,IF(Y226&gt;E79,12-DATEDIF(E79,Y226+1,"m"),IF(Y226&lt;E78,0,DATEDIF(E78,Y226+1,"m"))))&lt;0,0,IF(W227+X227+V227+U227+T227+S227+R227=12,0,IF(Y226&gt;E79,12-DATEDIF(E79,Y226+1,"m"),IF(Y226&lt;E78,0,DATEDIF(E78,Y226+1,"m")))))</f>
        <v>0</v>
      </c>
      <c r="Z227" s="406">
        <f>IF(IF(X227+Y227+W227+V227+U227+T227+S227=12,0,IF(Z226&gt;E79,12-DATEDIF(E79,Z226+1,"m"),IF(Z226&lt;E78,0,DATEDIF(E78,Z226+1,"m"))))&lt;0,0,IF(X227+Y227+W227+V227+U227+T227+S227=12,0,IF(Z226&gt;E79,12-DATEDIF(E79,Z226+1,"m"),IF(Z226&lt;E78,0,DATEDIF(E78,Z226+1,"m")))))</f>
        <v>0</v>
      </c>
      <c r="AA227" s="406"/>
      <c r="AB227" s="406"/>
      <c r="AC227" s="406"/>
      <c r="AD227" s="406"/>
      <c r="AE227" s="406"/>
      <c r="AF227" s="406"/>
      <c r="AG227" s="406"/>
      <c r="AH227" s="423">
        <f>SUM(Q227:AG227)</f>
        <v>0</v>
      </c>
      <c r="AI227" s="406">
        <f t="shared" si="106"/>
        <v>0</v>
      </c>
      <c r="AJ227" s="406">
        <f t="shared" si="106"/>
        <v>0</v>
      </c>
      <c r="AK227" s="406">
        <f t="shared" si="106"/>
        <v>0</v>
      </c>
      <c r="AL227" s="406">
        <f t="shared" si="106"/>
        <v>0</v>
      </c>
      <c r="AM227" s="406">
        <f t="shared" si="106"/>
        <v>0</v>
      </c>
      <c r="AN227" s="406">
        <f t="shared" si="106"/>
        <v>0</v>
      </c>
      <c r="AO227" s="406">
        <f t="shared" si="106"/>
        <v>0</v>
      </c>
      <c r="AP227" s="406">
        <f t="shared" si="106"/>
        <v>0</v>
      </c>
      <c r="AQ227" s="406">
        <f t="shared" si="106"/>
        <v>0</v>
      </c>
      <c r="AR227" s="406">
        <f t="shared" si="106"/>
        <v>0</v>
      </c>
      <c r="AS227" s="406">
        <f t="shared" si="107"/>
        <v>0</v>
      </c>
      <c r="AT227" s="406">
        <f t="shared" si="107"/>
        <v>0</v>
      </c>
      <c r="AU227" s="406">
        <f t="shared" si="107"/>
        <v>0</v>
      </c>
      <c r="AV227" s="406">
        <f t="shared" si="107"/>
        <v>0</v>
      </c>
      <c r="AW227" s="406">
        <f t="shared" si="107"/>
        <v>0</v>
      </c>
      <c r="AX227" s="406">
        <f t="shared" si="107"/>
        <v>0</v>
      </c>
      <c r="AY227" s="406">
        <f t="shared" si="107"/>
        <v>0</v>
      </c>
      <c r="AZ227" s="219">
        <f>SUM(AI227:AY227)</f>
        <v>0</v>
      </c>
    </row>
    <row r="228" spans="1:52" ht="23.25" customHeight="1">
      <c r="A228" s="215" t="s">
        <v>149</v>
      </c>
      <c r="B228" s="575"/>
      <c r="C228" s="575"/>
      <c r="D228" s="575"/>
      <c r="E228" s="575"/>
      <c r="F228" s="575"/>
      <c r="G228" s="575"/>
      <c r="H228" s="575"/>
      <c r="I228" s="575"/>
      <c r="J228" s="575"/>
      <c r="K228" s="575"/>
      <c r="L228" s="576"/>
      <c r="P228" s="207">
        <f t="shared" si="100"/>
        <v>1</v>
      </c>
      <c r="Q228" s="407">
        <f>IF(Q227=0,0,(IF(($C$84+$B$84+$D$84+$E$84)&lt;=25000,(($E$84/+$AH227)*Q227)*VLOOKUP('1. SUMMARY'!$C$20,rate,Sheet1!T$21,0),((IF(($B$84+$C$84+$D$84)&gt;=25000,0,(((25000-($B$84+$C$84+$D$84))/+$AH227)*Q227)*(VLOOKUP('1. SUMMARY'!$C$20,rate,Sheet1!T$21,0))))))))</f>
        <v>0</v>
      </c>
      <c r="R228" s="407">
        <f>IF(R227=0,0,(IF(($C$84+$B$84+$D$84+$E$84)&lt;=25000,(($E$84/+$AH227)*R227)*VLOOKUP('1. SUMMARY'!$C$20,rate,Sheet1!U$21,0),((IF(($B$84+$C$84+$D$84)&gt;=25000,0,(((25000-($B$84+$C$84+$D$84))/+$AH227)*R227)*(VLOOKUP('1. SUMMARY'!$C$20,rate,Sheet1!U$21,0))))))))</f>
        <v>0</v>
      </c>
      <c r="S228" s="407">
        <f>IF(S227=0,0,(IF(($C$84+$B$84+$D$84+$E$84)&lt;=25000,(($E$84/+$AH227)*S227)*VLOOKUP('1. SUMMARY'!$C$20,rate,Sheet1!V$21,0),((IF(($B$84+$C$84+$D$84)&gt;=25000,0,(((25000-($B$84+$C$84+$D$84))/+$AH227)*S227)*(VLOOKUP('1. SUMMARY'!$C$20,rate,Sheet1!V$21,0))))))))</f>
        <v>0</v>
      </c>
      <c r="T228" s="407">
        <f>IF(T227=0,0,(IF(($C$84+$B$84+$D$84+$E$84)&lt;=25000,(($E$84/+$AH227)*T227)*VLOOKUP('1. SUMMARY'!$C$20,rate,Sheet1!W$21,0),((IF(($B$84+$C$84+$D$84)&gt;=25000,0,(((25000-($B$84+$C$84+$D$84))/+$AH227)*T227)*(VLOOKUP('1. SUMMARY'!$C$20,rate,Sheet1!W$21,0))))))))</f>
        <v>0</v>
      </c>
      <c r="U228" s="407">
        <f>IF(U227=0,0,(IF(($C$84+$B$84+$D$84+$E$84)&lt;=25000,(($E$84/+$AH227)*U227)*VLOOKUP('1. SUMMARY'!$C$20,rate,Sheet1!X$21,0),((IF(($B$84+$C$84+$D$84)&gt;=25000,0,(((25000-($B$84+$C$84+$D$84))/+$AH227)*U227)*(VLOOKUP('1. SUMMARY'!$C$20,rate,Sheet1!X$21,0))))))))</f>
        <v>0</v>
      </c>
      <c r="V228" s="407">
        <f>IF(V227=0,0,(IF(($C$84+$B$84+$D$84+$E$84)&lt;=25000,(($E$84/+$AH227)*V227)*VLOOKUP('1. SUMMARY'!$C$20,rate,Sheet1!Y$21,0),((IF(($B$84+$C$84+$D$84)&gt;=25000,0,(((25000-($B$84+$C$84+$D$84))/+$AH227)*V227)*(VLOOKUP('1. SUMMARY'!$C$20,rate,Sheet1!Y$21,0))))))))</f>
        <v>0</v>
      </c>
      <c r="W228" s="407">
        <f>IF(W227=0,0,(IF(($C$84+$B$84+$D$84+$E$84)&lt;=25000,(($E$84/+$AH227)*W227)*VLOOKUP('1. SUMMARY'!$C$20,rate,Sheet1!Z$21,0),((IF(($B$84+$C$84+$D$84)&gt;=25000,0,(((25000-($B$84+$C$84+$D$84))/+$AH227)*W227)*(VLOOKUP('1. SUMMARY'!$C$20,rate,Sheet1!Z$21,0))))))))</f>
        <v>0</v>
      </c>
      <c r="X228" s="407">
        <f>IF(X227=0,0,(IF(($C$84+$B$84+$D$84+$E$84)&lt;=25000,(($E$84/+$AH227)*X227)*VLOOKUP('1. SUMMARY'!$C$20,rate,Sheet1!AA$21,0),((IF(($B$84+$C$84+$D$84)&gt;=25000,0,(((25000-($B$84+$C$84+$D$84))/+$AH227)*X227)*(VLOOKUP('1. SUMMARY'!$C$20,rate,Sheet1!AA$21,0))))))))</f>
        <v>0</v>
      </c>
      <c r="Y228" s="407">
        <f>IF(Y227=0,0,(IF(($C$84+$B$84+$D$84+$E$84)&lt;=25000,(($E$84/+$AH227)*Y227)*VLOOKUP('1. SUMMARY'!$C$20,rate,Sheet1!AB$21,0),((IF(($B$84+$C$84+$D$84)&gt;=25000,0,(((25000-($B$84+$C$84+$D$84))/+$AH227)*Y227)*(VLOOKUP('1. SUMMARY'!$C$20,rate,Sheet1!AB$21,0))))))))</f>
        <v>0</v>
      </c>
      <c r="Z228" s="407">
        <f>IF(Z227=0,0,(IF(($C$84+$B$84+$D$84+$E$84)&lt;=25000,(($E$84/+$AH227)*Z227)*VLOOKUP('1. SUMMARY'!$C$20,rate,Sheet1!AC$21,0),((IF(($B$84+$C$84+$D$84)&gt;=25000,0,(((25000-($B$84+$C$84+$D$84))/+$AH227)*Z227)*(VLOOKUP('1. SUMMARY'!$C$20,rate,Sheet1!AC$21,0))))))))</f>
        <v>0</v>
      </c>
      <c r="AA228" s="407">
        <f>IF(AA227=0,0,(IF(($C$84+$B$84+$D$84+$E$84)&lt;=25000,(($E$84/+$AH227)*AA227)*VLOOKUP('1. SUMMARY'!$C$20,rate,Sheet1!AD$21,0),((IF(($B$84+$C$84+$D$84)&gt;=25000,0,(((25000-($B$84+$C$84+$D$84))/+$AH227)*AA227)*(VLOOKUP('1. SUMMARY'!$C$20,rate,Sheet1!AD$21,0))))))))</f>
        <v>0</v>
      </c>
      <c r="AB228" s="407">
        <f>IF(AB227=0,0,(IF(($C$84+$B$84+$D$84+$E$84)&lt;=25000,(($E$84/+$AH227)*AB227)*VLOOKUP('1. SUMMARY'!$C$20,rate,Sheet1!AE$21,0),((IF(($B$84+$C$84+$D$84)&gt;=25000,0,(((25000-($B$84+$C$84+$D$84))/+$AH227)*AB227)*(VLOOKUP('1. SUMMARY'!$C$20,rate,Sheet1!AE$21,0))))))))</f>
        <v>0</v>
      </c>
      <c r="AC228" s="407">
        <f>IF(AC227=0,0,(IF(($C$84+$B$84+$D$84+$E$84)&lt;=25000,(($E$84/+$AH227)*AC227)*VLOOKUP('1. SUMMARY'!$C$20,rate,Sheet1!AF$21,0),((IF(($B$84+$C$84+$D$84)&gt;=25000,0,(((25000-($B$84+$C$84+$D$84))/+$AH227)*AC227)*(VLOOKUP('1. SUMMARY'!$C$20,rate,Sheet1!AF$21,0))))))))</f>
        <v>0</v>
      </c>
      <c r="AD228" s="407">
        <f>IF(AD227=0,0,(IF(($C$84+$B$84+$D$84+$E$84)&lt;=25000,(($E$84/+$AH227)*AD227)*VLOOKUP('1. SUMMARY'!$C$20,rate,Sheet1!AG$21,0),((IF(($B$84+$C$84+$D$84)&gt;=25000,0,(((25000-($B$84+$C$84+$D$84))/+$AH227)*AD227)*(VLOOKUP('1. SUMMARY'!$C$20,rate,Sheet1!AG$21,0))))))))</f>
        <v>0</v>
      </c>
      <c r="AE228" s="407">
        <f>IF(AE227=0,0,(IF(($C$84+$B$84+$D$84+$E$84)&lt;=25000,(($E$84/+$AH227)*AE227)*VLOOKUP('1. SUMMARY'!$C$20,rate,Sheet1!AH$21,0),((IF(($B$84+$C$84+$D$84)&gt;=25000,0,(((25000-($B$84+$C$84+$D$84))/+$AH227)*AE227)*(VLOOKUP('1. SUMMARY'!$C$20,rate,Sheet1!AH$21,0))))))))</f>
        <v>0</v>
      </c>
      <c r="AF228" s="407">
        <f>IF(AF227=0,0,(IF(($C$84+$B$84+$D$84+$E$84)&lt;=25000,(($E$84/+$AH227)*AF227)*VLOOKUP('1. SUMMARY'!$C$20,rate,Sheet1!AI$21,0),((IF(($B$84+$C$84+$D$84)&gt;=25000,0,(((25000-($B$84+$C$84+$D$84))/+$AH227)*AF227)*(VLOOKUP('1. SUMMARY'!$C$20,rate,Sheet1!AI$21,0))))))))</f>
        <v>0</v>
      </c>
      <c r="AG228" s="407">
        <f>IF(AG227=0,0,(IF(($C$84+$B$84+$D$84+$E$84)&lt;=25000,(($E$84/+$AH227)*AG227)*VLOOKUP('1. SUMMARY'!$C$20,rate,Sheet1!AJ$21,0),((IF(($B$84+$C$84+$D$84)&gt;=25000,0,(((25000-($B$84+$C$84+$D$84))/+$AH227)*AG227)*(VLOOKUP('1. SUMMARY'!$C$20,rate,Sheet1!AJ$21,0))))))))</f>
        <v>0</v>
      </c>
      <c r="AH228" s="219">
        <f>SUM(Q228:AG228)</f>
        <v>0</v>
      </c>
      <c r="AI228" s="407">
        <f>IF(AI227=0,0,((+$E84/$AZ$22)*AI227)*VLOOKUP('1. SUMMARY'!$C$20,rate,Sheet1!T$21,0))</f>
        <v>0</v>
      </c>
      <c r="AJ228" s="407">
        <f>IF(AJ227=0,0,((+$E84/$AZ$22)*AJ227)*VLOOKUP('1. SUMMARY'!$C$20,rate,Sheet1!U$21,0))</f>
        <v>0</v>
      </c>
      <c r="AK228" s="407">
        <f>IF(AK227=0,0,((+$E84/$AZ$22)*AK227)*VLOOKUP('1. SUMMARY'!$C$20,rate,Sheet1!V$21,0))</f>
        <v>0</v>
      </c>
      <c r="AL228" s="407">
        <f>IF(AL227=0,0,((+$E84/$AZ$22)*AL227)*VLOOKUP('1. SUMMARY'!$C$20,rate,Sheet1!W$21,0))</f>
        <v>0</v>
      </c>
      <c r="AM228" s="407">
        <f>IF(AM227=0,0,((+$E84/$AZ$22)*AM227)*VLOOKUP('1. SUMMARY'!$C$20,rate,Sheet1!X$21,0))</f>
        <v>0</v>
      </c>
      <c r="AN228" s="407">
        <f>IF(AN227=0,0,((+$E84/$AZ$22)*AN227)*VLOOKUP('1. SUMMARY'!$C$20,rate,Sheet1!Y$21,0))</f>
        <v>0</v>
      </c>
      <c r="AO228" s="407">
        <f>IF(AO227=0,0,((+$E84/$AZ$22)*AO227)*VLOOKUP('1. SUMMARY'!$C$20,rate,Sheet1!Z$21,0))</f>
        <v>0</v>
      </c>
      <c r="AP228" s="407">
        <f>IF(AP227=0,0,((+$E84/$AZ$22)*AP227)*VLOOKUP('1. SUMMARY'!$C$20,rate,Sheet1!AA$21,0))</f>
        <v>0</v>
      </c>
      <c r="AQ228" s="407">
        <f>IF(AQ227=0,0,((+$E84/$AZ$22)*AQ227)*VLOOKUP('1. SUMMARY'!$C$20,rate,Sheet1!AB$21,0))</f>
        <v>0</v>
      </c>
      <c r="AR228" s="407">
        <f>IF(AR227=0,0,((+$E84/$AZ$22)*AR227)*VLOOKUP('1. SUMMARY'!$C$20,rate,Sheet1!AC$21,0))</f>
        <v>0</v>
      </c>
      <c r="AS228" s="407">
        <f>IF(AS227=0,0,((+$E84/$AZ$22)*AS227)*VLOOKUP('1. SUMMARY'!$C$20,rate,Sheet1!AD$21,0))</f>
        <v>0</v>
      </c>
      <c r="AT228" s="407">
        <f>IF(AT227=0,0,((+$E84/$AZ$22)*AT227)*VLOOKUP('1. SUMMARY'!$C$20,rate,Sheet1!AE$21,0))</f>
        <v>0</v>
      </c>
      <c r="AU228" s="407">
        <f>IF(AU227=0,0,((+$E84/$AZ$22)*AU227)*VLOOKUP('1. SUMMARY'!$C$20,rate,Sheet1!AF$21,0))</f>
        <v>0</v>
      </c>
      <c r="AV228" s="407">
        <f>IF(AV227=0,0,((+$E84/$AZ$22)*AV227)*VLOOKUP('1. SUMMARY'!$C$20,rate,Sheet1!AG$21,0))</f>
        <v>0</v>
      </c>
      <c r="AW228" s="407">
        <f>IF(AW227=0,0,((+$E84/$AZ$22)*AW227)*VLOOKUP('1. SUMMARY'!$C$20,rate,Sheet1!AH$21,0))</f>
        <v>0</v>
      </c>
      <c r="AX228" s="407">
        <f>IF(AX227=0,0,((+$E84/$AZ$22)*AX227)*VLOOKUP('1. SUMMARY'!$C$20,rate,Sheet1!AI$21,0))</f>
        <v>0</v>
      </c>
      <c r="AY228" s="407">
        <f>IF(AY227=0,0,((+$E84/$AZ$22)*AY227)*VLOOKUP('1. SUMMARY'!$C$20,rate,Sheet1!AJ$21,0))</f>
        <v>0</v>
      </c>
      <c r="AZ228" s="219">
        <f>SUM(AI228:AY228)</f>
        <v>0</v>
      </c>
    </row>
    <row r="229" spans="1:52" ht="12.75" customHeight="1">
      <c r="A229" s="216"/>
      <c r="B229" s="217"/>
      <c r="C229" s="217"/>
      <c r="D229" s="217"/>
      <c r="E229" s="217"/>
      <c r="F229" s="217"/>
      <c r="G229" s="217"/>
      <c r="H229" s="217"/>
      <c r="I229" s="217"/>
      <c r="J229" s="217"/>
      <c r="K229" s="217"/>
      <c r="L229" s="218"/>
      <c r="P229" s="207">
        <f t="shared" si="100"/>
        <v>1</v>
      </c>
      <c r="Q229" s="407">
        <f>+Q228/VLOOKUP('1. SUMMARY'!$C$20,rate,Sheet1!T$21,0)</f>
        <v>0</v>
      </c>
      <c r="R229" s="407">
        <f>+R228/VLOOKUP('1. SUMMARY'!$C$20,rate,Sheet1!U$21,0)</f>
        <v>0</v>
      </c>
      <c r="S229" s="407">
        <f>+S228/VLOOKUP('1. SUMMARY'!$C$20,rate,Sheet1!V$21,0)</f>
        <v>0</v>
      </c>
      <c r="T229" s="407">
        <f>+T228/VLOOKUP('1. SUMMARY'!$C$20,rate,Sheet1!W$21,0)</f>
        <v>0</v>
      </c>
      <c r="U229" s="407">
        <f>+U228/VLOOKUP('1. SUMMARY'!$C$20,rate,Sheet1!X$21,0)</f>
        <v>0</v>
      </c>
      <c r="V229" s="407">
        <f>+V228/VLOOKUP('1. SUMMARY'!$C$20,rate,Sheet1!Y$21,0)</f>
        <v>0</v>
      </c>
      <c r="W229" s="407">
        <f>+W228/VLOOKUP('1. SUMMARY'!$C$20,rate,Sheet1!Z$21,0)</f>
        <v>0</v>
      </c>
      <c r="X229" s="407">
        <f>+X228/VLOOKUP('1. SUMMARY'!$C$20,rate,Sheet1!AA$21,0)</f>
        <v>0</v>
      </c>
      <c r="Y229" s="407">
        <f>+Y228/VLOOKUP('1. SUMMARY'!$C$20,rate,Sheet1!AB$21,0)</f>
        <v>0</v>
      </c>
      <c r="Z229" s="407">
        <f>+Z228/VLOOKUP('1. SUMMARY'!$C$20,rate,Sheet1!AC$21,0)</f>
        <v>0</v>
      </c>
      <c r="AA229" s="407">
        <f>+AA228/VLOOKUP('1. SUMMARY'!$C$20,rate,Sheet1!AD$21,0)</f>
        <v>0</v>
      </c>
      <c r="AB229" s="407">
        <f>+AB228/VLOOKUP('1. SUMMARY'!$C$20,rate,Sheet1!AE$21,0)</f>
        <v>0</v>
      </c>
      <c r="AC229" s="407">
        <f>+AC228/VLOOKUP('1. SUMMARY'!$C$20,rate,Sheet1!AF$21,0)</f>
        <v>0</v>
      </c>
      <c r="AD229" s="407">
        <f>+AD228/VLOOKUP('1. SUMMARY'!$C$20,rate,Sheet1!AG$21,0)</f>
        <v>0</v>
      </c>
      <c r="AE229" s="407">
        <f>+AE228/VLOOKUP('1. SUMMARY'!$C$20,rate,Sheet1!AH$21,0)</f>
        <v>0</v>
      </c>
      <c r="AF229" s="407">
        <f>+AF228/VLOOKUP('1. SUMMARY'!$C$20,rate,Sheet1!AI$21,0)</f>
        <v>0</v>
      </c>
      <c r="AG229" s="407">
        <f>+AG228/VLOOKUP('1. SUMMARY'!$C$20,rate,Sheet1!AJ$21,0)</f>
        <v>0</v>
      </c>
      <c r="AH229" s="219"/>
      <c r="AI229" s="407">
        <v>0</v>
      </c>
      <c r="AJ229" s="407">
        <v>0</v>
      </c>
      <c r="AK229" s="407">
        <v>0</v>
      </c>
      <c r="AL229" s="407">
        <v>0</v>
      </c>
      <c r="AM229" s="407">
        <v>0</v>
      </c>
      <c r="AN229" s="407">
        <v>0</v>
      </c>
      <c r="AO229" s="407">
        <v>0</v>
      </c>
      <c r="AP229" s="407">
        <v>0</v>
      </c>
      <c r="AQ229" s="407"/>
      <c r="AR229" s="407"/>
      <c r="AS229" s="407"/>
      <c r="AT229" s="407"/>
      <c r="AU229" s="407"/>
      <c r="AV229" s="407"/>
      <c r="AW229" s="407"/>
      <c r="AX229" s="407"/>
      <c r="AY229" s="407"/>
      <c r="AZ229" s="219"/>
    </row>
    <row r="230" spans="1:52" ht="12.75" customHeight="1">
      <c r="A230" s="216"/>
      <c r="B230" s="175" t="s">
        <v>81</v>
      </c>
      <c r="C230" s="175" t="s">
        <v>82</v>
      </c>
      <c r="D230" s="175" t="s">
        <v>83</v>
      </c>
      <c r="E230" s="175" t="s">
        <v>84</v>
      </c>
      <c r="F230" s="175" t="s">
        <v>85</v>
      </c>
      <c r="G230" s="175" t="s">
        <v>86</v>
      </c>
      <c r="H230" s="175" t="s">
        <v>87</v>
      </c>
      <c r="I230" s="175" t="s">
        <v>224</v>
      </c>
      <c r="J230" s="175" t="s">
        <v>225</v>
      </c>
      <c r="K230" s="175" t="s">
        <v>226</v>
      </c>
      <c r="L230" s="220" t="s">
        <v>47</v>
      </c>
      <c r="P230" s="207">
        <f t="shared" si="100"/>
        <v>1</v>
      </c>
      <c r="Q230" s="408">
        <f>Sheet1!$T$8</f>
        <v>44105</v>
      </c>
      <c r="R230" s="408">
        <f>Sheet1!$U$8</f>
        <v>44470</v>
      </c>
      <c r="S230" s="408">
        <f>Sheet1!$V$8</f>
        <v>44835</v>
      </c>
      <c r="T230" s="408">
        <f>Sheet1!$W$8</f>
        <v>45200</v>
      </c>
      <c r="U230" s="408">
        <f>Sheet1!$X$8</f>
        <v>45566</v>
      </c>
      <c r="V230" s="408">
        <f>Sheet1!$Y$8</f>
        <v>45931</v>
      </c>
      <c r="W230" s="408">
        <f>Sheet1!$Z$8</f>
        <v>46296</v>
      </c>
      <c r="X230" s="408">
        <f>Sheet1!$AA$8</f>
        <v>46661</v>
      </c>
      <c r="Y230" s="408">
        <f>Sheet1!$AB$8</f>
        <v>47027</v>
      </c>
      <c r="Z230" s="408">
        <f>Sheet1!$AC$8</f>
        <v>47392</v>
      </c>
      <c r="AA230" s="408">
        <f>$AA$5</f>
        <v>47757</v>
      </c>
      <c r="AB230" s="408">
        <f>$AB$5</f>
        <v>48122</v>
      </c>
      <c r="AC230" s="408">
        <f>$AC$5</f>
        <v>48488</v>
      </c>
      <c r="AD230" s="408">
        <f>$AD$5</f>
        <v>48853</v>
      </c>
      <c r="AE230" s="408">
        <f>$AE$5</f>
        <v>49218</v>
      </c>
      <c r="AF230" s="408">
        <f>$AF$5</f>
        <v>49583</v>
      </c>
      <c r="AG230" s="408">
        <f>$AG$5</f>
        <v>49949</v>
      </c>
      <c r="AH230" s="211"/>
      <c r="AI230" s="408">
        <f t="shared" ref="AI230:AR232" si="108">+Q230</f>
        <v>44105</v>
      </c>
      <c r="AJ230" s="408">
        <f t="shared" si="108"/>
        <v>44470</v>
      </c>
      <c r="AK230" s="408">
        <f t="shared" si="108"/>
        <v>44835</v>
      </c>
      <c r="AL230" s="408">
        <f t="shared" si="108"/>
        <v>45200</v>
      </c>
      <c r="AM230" s="408">
        <f t="shared" si="108"/>
        <v>45566</v>
      </c>
      <c r="AN230" s="408">
        <f t="shared" si="108"/>
        <v>45931</v>
      </c>
      <c r="AO230" s="408">
        <f t="shared" si="108"/>
        <v>46296</v>
      </c>
      <c r="AP230" s="408">
        <f t="shared" si="108"/>
        <v>46661</v>
      </c>
      <c r="AQ230" s="408">
        <f t="shared" si="108"/>
        <v>47027</v>
      </c>
      <c r="AR230" s="408">
        <f t="shared" si="108"/>
        <v>47392</v>
      </c>
      <c r="AS230" s="408">
        <f t="shared" ref="AS230:AY232" si="109">+AA230</f>
        <v>47757</v>
      </c>
      <c r="AT230" s="408">
        <f t="shared" si="109"/>
        <v>48122</v>
      </c>
      <c r="AU230" s="408">
        <f t="shared" si="109"/>
        <v>48488</v>
      </c>
      <c r="AV230" s="408">
        <f t="shared" si="109"/>
        <v>48853</v>
      </c>
      <c r="AW230" s="408">
        <f t="shared" si="109"/>
        <v>49218</v>
      </c>
      <c r="AX230" s="408">
        <f t="shared" si="109"/>
        <v>49583</v>
      </c>
      <c r="AY230" s="408">
        <f t="shared" si="109"/>
        <v>49949</v>
      </c>
      <c r="AZ230" s="211"/>
    </row>
    <row r="231" spans="1:52" ht="12.75" customHeight="1">
      <c r="A231" s="221"/>
      <c r="B231" s="222">
        <f>'1. SUMMARY'!C17</f>
        <v>0</v>
      </c>
      <c r="C231" s="222" t="str">
        <f>IF(+B232+1&gt;'1. SUMMARY'!$C$18,"No "&amp;C230,+B232+1)</f>
        <v>No Year 2</v>
      </c>
      <c r="D231" s="222" t="str">
        <f>IF(C231="No "&amp;C230,"No "&amp;D230,IF(+C232+1&gt;'1. SUMMARY'!$C$18,"No "&amp;D230,+C232+1))</f>
        <v>No Year 3</v>
      </c>
      <c r="E231" s="222" t="str">
        <f>IF(D231="No "&amp;D230,"No "&amp;E230,IF(+D232+1&gt;'1. SUMMARY'!$C$18,"No "&amp;E230,+D232+1))</f>
        <v>No Year 4</v>
      </c>
      <c r="F231" s="222" t="str">
        <f>IF(E231="No "&amp;E230,"No "&amp;F230,IF(+E232+1&gt;'1. SUMMARY'!$C$18,"No "&amp;F230,+E232+1))</f>
        <v>No Year 5</v>
      </c>
      <c r="G231" s="222" t="str">
        <f>IF(F231="No "&amp;F230,"No "&amp;G230,IF(+F232+1&gt;'1. SUMMARY'!$C$18,"No "&amp;G230,+F232+1))</f>
        <v>No Year 6</v>
      </c>
      <c r="H231" s="222" t="str">
        <f>IF(G231="No "&amp;G230,"No "&amp;H230,IF(+G232+1&gt;'1. SUMMARY'!$C$18,"No "&amp;H230,+G232+1))</f>
        <v>No Year 7</v>
      </c>
      <c r="I231" s="222" t="str">
        <f>IF(H231="No "&amp;H230,"No "&amp;I230,IF(+H232+1&gt;'1. SUMMARY'!$C$18,"No "&amp;I230,+H232+1))</f>
        <v>No Year 8</v>
      </c>
      <c r="J231" s="222" t="str">
        <f>IF(I231="No "&amp;I230,"No "&amp;J230,IF(+I232+1&gt;'1. SUMMARY'!$C$18,"No "&amp;J230,+I232+1))</f>
        <v>No Year 9</v>
      </c>
      <c r="K231" s="222" t="str">
        <f>IF(J231="No "&amp;J230,"No "&amp;K230,IF(+J232+1&gt;'1. SUMMARY'!$C$18,"No "&amp;K230,+J232+1))</f>
        <v>No Year 10</v>
      </c>
      <c r="L231" s="223"/>
      <c r="P231" s="207">
        <f t="shared" si="100"/>
        <v>1</v>
      </c>
      <c r="Q231" s="408">
        <f>Sheet1!$T$9</f>
        <v>44469</v>
      </c>
      <c r="R231" s="408">
        <f>Sheet1!$U$9</f>
        <v>44834</v>
      </c>
      <c r="S231" s="408">
        <f>Sheet1!$V$9</f>
        <v>45199</v>
      </c>
      <c r="T231" s="408">
        <f>Sheet1!$W$9</f>
        <v>45565</v>
      </c>
      <c r="U231" s="408">
        <f>Sheet1!$X$9</f>
        <v>45930</v>
      </c>
      <c r="V231" s="408">
        <f>Sheet1!$Y$9</f>
        <v>46295</v>
      </c>
      <c r="W231" s="408">
        <f>Sheet1!$Z$9</f>
        <v>46660</v>
      </c>
      <c r="X231" s="408">
        <f>Sheet1!$AA$9</f>
        <v>47026</v>
      </c>
      <c r="Y231" s="408">
        <f>Sheet1!$AB$9</f>
        <v>47391</v>
      </c>
      <c r="Z231" s="408">
        <f>Sheet1!$AC$9</f>
        <v>47756</v>
      </c>
      <c r="AA231" s="408">
        <f>$AA$6</f>
        <v>48121</v>
      </c>
      <c r="AB231" s="408">
        <f>$AB$6</f>
        <v>48487</v>
      </c>
      <c r="AC231" s="408">
        <f>$AC$6</f>
        <v>48852</v>
      </c>
      <c r="AD231" s="408">
        <f>$AD$6</f>
        <v>49217</v>
      </c>
      <c r="AE231" s="408">
        <f>$AE$6</f>
        <v>49582</v>
      </c>
      <c r="AF231" s="408">
        <f>$AF$6</f>
        <v>49948</v>
      </c>
      <c r="AG231" s="408">
        <f>$AG$6</f>
        <v>50313</v>
      </c>
      <c r="AH231" s="211"/>
      <c r="AI231" s="408">
        <f t="shared" si="108"/>
        <v>44469</v>
      </c>
      <c r="AJ231" s="408">
        <f t="shared" si="108"/>
        <v>44834</v>
      </c>
      <c r="AK231" s="408">
        <f t="shared" si="108"/>
        <v>45199</v>
      </c>
      <c r="AL231" s="408">
        <f t="shared" si="108"/>
        <v>45565</v>
      </c>
      <c r="AM231" s="408">
        <f t="shared" si="108"/>
        <v>45930</v>
      </c>
      <c r="AN231" s="408">
        <f t="shared" si="108"/>
        <v>46295</v>
      </c>
      <c r="AO231" s="408">
        <f t="shared" si="108"/>
        <v>46660</v>
      </c>
      <c r="AP231" s="408">
        <f t="shared" si="108"/>
        <v>47026</v>
      </c>
      <c r="AQ231" s="408">
        <f t="shared" si="108"/>
        <v>47391</v>
      </c>
      <c r="AR231" s="408">
        <f t="shared" si="108"/>
        <v>47756</v>
      </c>
      <c r="AS231" s="408">
        <f t="shared" si="109"/>
        <v>48121</v>
      </c>
      <c r="AT231" s="408">
        <f t="shared" si="109"/>
        <v>48487</v>
      </c>
      <c r="AU231" s="408">
        <f t="shared" si="109"/>
        <v>48852</v>
      </c>
      <c r="AV231" s="408">
        <f t="shared" si="109"/>
        <v>49217</v>
      </c>
      <c r="AW231" s="408">
        <f t="shared" si="109"/>
        <v>49582</v>
      </c>
      <c r="AX231" s="408">
        <f t="shared" si="109"/>
        <v>49948</v>
      </c>
      <c r="AY231" s="408">
        <f t="shared" si="109"/>
        <v>50313</v>
      </c>
      <c r="AZ231" s="211"/>
    </row>
    <row r="232" spans="1:52" ht="12.75" customHeight="1">
      <c r="A232" s="221"/>
      <c r="B232" s="224">
        <f>IF((DATE(YEAR(B231), MONTH(B231)+12, DAY(B231)-1))&lt;=('1. SUMMARY'!$C$18),DATE(YEAR(B231), MONTH(B231)+12, DAY(B231)-1),'1. SUMMARY'!$C$18)</f>
        <v>0</v>
      </c>
      <c r="C232" s="224" t="str">
        <f>IF(C231="No "&amp;C230,"No "&amp;C230,IF(B232='1. SUMMARY'!B209,"a",IF((DATE(YEAR(C231),MONTH(C231)+12,DAY(C231)-1))&lt;=('1. SUMMARY'!$C$18),DATE(YEAR(C231),MONTH(C231)+12,DAY(C231)-1),'1. SUMMARY'!$C$18)))</f>
        <v>No Year 2</v>
      </c>
      <c r="D232" s="224" t="str">
        <f>IF(D231="No "&amp;D230,"No "&amp;D230,IF(C232='1. SUMMARY'!C209,"a",IF((DATE(YEAR(D231),MONTH(D231)+12,DAY(D231)-1))&lt;=('1. SUMMARY'!$C$18),DATE(YEAR(D231),MONTH(D231)+12,DAY(D231)-1),'1. SUMMARY'!$C$18)))</f>
        <v>No Year 3</v>
      </c>
      <c r="E232" s="224" t="str">
        <f>IF(E231="No "&amp;E230,"No "&amp;E230,IF(D232='1. SUMMARY'!E209,"a",IF((DATE(YEAR(E231),MONTH(E231)+12,DAY(E231)-1))&lt;=('1. SUMMARY'!$C$18),DATE(YEAR(E231),MONTH(E231)+12,DAY(E231)-1),'1. SUMMARY'!$C$18)))</f>
        <v>No Year 4</v>
      </c>
      <c r="F232" s="224" t="str">
        <f>IF(F231="No "&amp;F230,"No "&amp;F230,IF(E232='1. SUMMARY'!F209,"a",IF((DATE(YEAR(F231),MONTH(F231)+12,DAY(F231)-1))&lt;=('1. SUMMARY'!$C$18),DATE(YEAR(F231),MONTH(F231)+12,DAY(F231)-1),'1. SUMMARY'!$C$18)))</f>
        <v>No Year 5</v>
      </c>
      <c r="G232" s="224" t="str">
        <f>IF(G231="No "&amp;G230,"No "&amp;G230,IF(F232='1. SUMMARY'!G209,"a",IF((DATE(YEAR(G231),MONTH(G231)+12,DAY(G231)-1))&lt;=('1. SUMMARY'!$C$18),DATE(YEAR(G231),MONTH(G231)+12,DAY(G231)-1),'1. SUMMARY'!$C$18)))</f>
        <v>No Year 6</v>
      </c>
      <c r="H232" s="224" t="str">
        <f>IF(H231="No "&amp;H230,"No "&amp;H230,IF(G232='1. SUMMARY'!H209,"a",IF((DATE(YEAR(H231),MONTH(H231)+12,DAY(H231)-1))&lt;=('1. SUMMARY'!$C$18),DATE(YEAR(H231),MONTH(H231)+12,DAY(H231)-1),'1. SUMMARY'!$C$18)))</f>
        <v>No Year 7</v>
      </c>
      <c r="I232" s="224" t="str">
        <f>IF(I231="No "&amp;I230,"No "&amp;I230,IF(H232='1. SUMMARY'!N209,"a",IF((DATE(YEAR(I231),MONTH(I231)+12,DAY(I231)-1))&lt;=('1. SUMMARY'!$C$18),DATE(YEAR(I231),MONTH(I231)+12,DAY(I231)-1),'1. SUMMARY'!$C$18)))</f>
        <v>No Year 8</v>
      </c>
      <c r="J232" s="224" t="str">
        <f>IF(J231="No "&amp;J230,"No "&amp;J230,IF(I232='1. SUMMARY'!O209,"a",IF((DATE(YEAR(J231),MONTH(J231)+12,DAY(J231)-1))&lt;=('1. SUMMARY'!$C$18),DATE(YEAR(J231),MONTH(J231)+12,DAY(J231)-1),'1. SUMMARY'!$C$18)))</f>
        <v>No Year 9</v>
      </c>
      <c r="K232" s="224" t="str">
        <f>IF(K231="No "&amp;K230,"No "&amp;K230,IF(J232='1. SUMMARY'!P207,"a",IF((DATE(YEAR(K231),MONTH(K231)+12,DAY(K231)-1))&lt;=('1. SUMMARY'!$C$18),DATE(YEAR(K231),MONTH(K231)+12,DAY(K231)-1),'1. SUMMARY'!$C$18)))</f>
        <v>No Year 10</v>
      </c>
      <c r="L232" s="218"/>
      <c r="O232" s="207">
        <v>5</v>
      </c>
      <c r="P232" s="207">
        <f t="shared" si="100"/>
        <v>1</v>
      </c>
      <c r="Q232" s="409">
        <f>IF(IF(Q231&lt;F78,0,DATEDIF(F78,Q231+1,"m"))&lt;0,0,IF(Q231&lt;F78,0,DATEDIF(F78,Q231+1,"m")))</f>
        <v>0</v>
      </c>
      <c r="R232" s="409">
        <f>IF(IF(Q232=12,0,IF(R231&gt;F79,12-DATEDIF(F79,R231+1,"m"),IF(R231&lt;F78,0,DATEDIF(F78,R231+1,"m"))))&lt;0,0,IF(Q232=12,0,IF(R231&gt;F79,12-DATEDIF(F79,R231+1,"m"),IF(R231&lt;F78,0,DATEDIF(F78,R231+1,"m")))))</f>
        <v>0</v>
      </c>
      <c r="S232" s="409">
        <f>IF(IF(Q232+R232=12,0,IF(S231&gt;F79,12-DATEDIF(F79,S231+1,"m"),IF(S231&lt;F78,0,DATEDIF(F78,S231+1,"m"))))&lt;0,0,IF(Q232+R232=12,0,IF(S231&gt;F79,12-DATEDIF(F79,S231+1,"m"),IF(S231&lt;F78,0,DATEDIF(F78,S231+1,"m")))))</f>
        <v>0</v>
      </c>
      <c r="T232" s="409">
        <f>IF(IF(R232+S232+Q232=12,0,IF(T231&gt;F79,12-DATEDIF(F79,T231+1,"m"),IF(T231&lt;F78,0,DATEDIF(F78,T231+1,"m"))))&lt;0,0,IF(R232+S232+Q232=12,0,IF(T231&gt;F79,12-DATEDIF(F79,T231+1,"m"),IF(T231&lt;F78,0,DATEDIF(F78,T231+1,"m")))))</f>
        <v>0</v>
      </c>
      <c r="U232" s="409">
        <f>IF(IF(S232+T232+R232+Q232=12,0,IF(U231&gt;F79,12-DATEDIF(F79,U231+1,"m"),IF(U231&lt;F78,0,DATEDIF(F78,U231+1,"m"))))&lt;0,0,IF(S232+T232+R232+Q232=12,0,IF(U231&gt;F79,12-DATEDIF(F79,U231+1,"m"),IF(U231&lt;F78,0,DATEDIF(F78,U231+1,"m")))))</f>
        <v>0</v>
      </c>
      <c r="V232" s="409">
        <f>IF(IF(T232+U232+S232+R232+Q232=12,0,IF(V231&gt;F79,12-DATEDIF(F79,V231+1,"m"),IF(V231&lt;F78,0,DATEDIF(F78,V231+1,"m"))))&lt;0,0,IF(T232+U232+S232+R232+Q232=12,0,IF(V231&gt;F79,12-DATEDIF(F79,V231+1,"m"),IF(V231&lt;F78,0,DATEDIF(F78,V231+1,"m")))))</f>
        <v>0</v>
      </c>
      <c r="W232" s="409">
        <f>IF(IF(U232+V232+T232+S232+R232+Q232=12,0,IF(W231&gt;F79,12-DATEDIF(F79,W231+1,"m"),IF(W231&lt;F78,0,DATEDIF(F78,W231+1,"m"))))&lt;0,0,IF(U232+V232+T232+S232+R232+Q232=12,0,IF(W231&gt;F79,12-DATEDIF(F79,W231+1,"m"),IF(W231&lt;F78,0,DATEDIF(F78,W231+1,"m")))))</f>
        <v>0</v>
      </c>
      <c r="X232" s="409">
        <f>IF(IF(V232+W232+U232+T232+S232+R232+Q232=12,0,IF(X231&gt;F79,12-DATEDIF(F79,X231+1,"m"),IF(X231&lt;F78,0,DATEDIF(F78,X231+1,"m"))))&lt;0,0,IF(V232+W232+U232+T232+S232+R232+Q232=12,0,IF(X231&gt;F79,12-DATEDIF(F79,X231+1,"m"),IF(X231&lt;F78,0,DATEDIF(F78,X231+1,"m")))))</f>
        <v>0</v>
      </c>
      <c r="Y232" s="409">
        <f>IF(IF(W232+X232+V232+U232+T232+S232+R232=12,0,IF(Y231&gt;F79,12-DATEDIF(F79,Y231+1,"m"),IF(Y231&lt;F78,0,DATEDIF(F78,Y231+1,"m"))))&lt;0,0,IF(W232+X232+V232+U232+T232+S232+R232=12,0,IF(Y231&gt;F79,12-DATEDIF(F79,Y231+1,"m"),IF(Y231&lt;F78,0,DATEDIF(F78,Y231+1,"m")))))</f>
        <v>0</v>
      </c>
      <c r="Z232" s="409">
        <f>IF(IF(X232+Y232+W232+V232+U232+T232+S232=12,0,IF(Z231&gt;F79,12-DATEDIF(F79,Z231+1,"m"),IF(Z231&lt;F78,0,DATEDIF(F78,Z231+1,"m"))))&lt;0,0,IF(X232+Y232+W232+V232+U232+T232+S232=12,0,IF(Z231&gt;F79,12-DATEDIF(F79,Z231+1,"m"),IF(Z231&lt;F78,0,DATEDIF(F78,Z231+1,"m")))))</f>
        <v>0</v>
      </c>
      <c r="AA232" s="409"/>
      <c r="AB232" s="409"/>
      <c r="AC232" s="409"/>
      <c r="AD232" s="409"/>
      <c r="AE232" s="409"/>
      <c r="AF232" s="409"/>
      <c r="AG232" s="409"/>
      <c r="AH232" s="423">
        <f>SUM(Q232:AG232)</f>
        <v>0</v>
      </c>
      <c r="AI232" s="409">
        <f t="shared" si="108"/>
        <v>0</v>
      </c>
      <c r="AJ232" s="409">
        <f t="shared" si="108"/>
        <v>0</v>
      </c>
      <c r="AK232" s="409">
        <f t="shared" si="108"/>
        <v>0</v>
      </c>
      <c r="AL232" s="409">
        <f t="shared" si="108"/>
        <v>0</v>
      </c>
      <c r="AM232" s="409">
        <f t="shared" si="108"/>
        <v>0</v>
      </c>
      <c r="AN232" s="409">
        <f t="shared" si="108"/>
        <v>0</v>
      </c>
      <c r="AO232" s="409">
        <f t="shared" si="108"/>
        <v>0</v>
      </c>
      <c r="AP232" s="409">
        <f t="shared" si="108"/>
        <v>0</v>
      </c>
      <c r="AQ232" s="409">
        <f t="shared" si="108"/>
        <v>0</v>
      </c>
      <c r="AR232" s="409">
        <f t="shared" si="108"/>
        <v>0</v>
      </c>
      <c r="AS232" s="409">
        <f t="shared" si="109"/>
        <v>0</v>
      </c>
      <c r="AT232" s="409">
        <f t="shared" si="109"/>
        <v>0</v>
      </c>
      <c r="AU232" s="409">
        <f t="shared" si="109"/>
        <v>0</v>
      </c>
      <c r="AV232" s="409">
        <f t="shared" si="109"/>
        <v>0</v>
      </c>
      <c r="AW232" s="409">
        <f t="shared" si="109"/>
        <v>0</v>
      </c>
      <c r="AX232" s="409">
        <f t="shared" si="109"/>
        <v>0</v>
      </c>
      <c r="AY232" s="409">
        <f t="shared" si="109"/>
        <v>0</v>
      </c>
      <c r="AZ232" s="219">
        <f>SUM(AI232:AY232)</f>
        <v>0</v>
      </c>
    </row>
    <row r="233" spans="1:52" ht="12.75" customHeight="1">
      <c r="A233" s="216"/>
      <c r="B233" s="225"/>
      <c r="C233" s="225"/>
      <c r="D233" s="225"/>
      <c r="E233" s="225"/>
      <c r="F233" s="225"/>
      <c r="G233" s="225"/>
      <c r="H233" s="225"/>
      <c r="I233" s="225"/>
      <c r="J233" s="225"/>
      <c r="K233" s="225"/>
      <c r="L233" s="223"/>
      <c r="P233" s="207">
        <f t="shared" si="100"/>
        <v>1</v>
      </c>
      <c r="Q233" s="410">
        <f>IF(Q232=0,0,(IF(($C$84+$B$84+$D$84+$E$84+$F$84)&lt;=25000,(($F$84/+$AH$232)*Q232)*VLOOKUP('1. SUMMARY'!$C$20,rate,Sheet1!T$21,0),((IF(($B$84+$C$84+$D$84+$E$84)&gt;=25000,0,(((25000-($B$84+$C$84+$D$84+$E$84))/+$AH$232)*Q232)*(VLOOKUP('1. SUMMARY'!$C$20,rate,Sheet1!T$21,0))))))))</f>
        <v>0</v>
      </c>
      <c r="R233" s="410">
        <f>IF(R232=0,0,(IF(($C$84+$B$84+$D$84+$E$84+$F$84)&lt;=25000,(($F$84/+$AH$232)*R232)*VLOOKUP('1. SUMMARY'!$C$20,rate,Sheet1!U$21,0),((IF(($B$84+$C$84+$D$84+$E$84)&gt;=25000,0,(((25000-($B$84+$C$84+$D$84+$E$84))/+$AH$232)*R232)*(VLOOKUP('1. SUMMARY'!$C$20,rate,Sheet1!U$21,0))))))))</f>
        <v>0</v>
      </c>
      <c r="S233" s="410">
        <f>IF(S232=0,0,(IF(($C$84+$B$84+$D$84+$E$84+$F$84)&lt;=25000,(($F$84/+$AH$232)*S232)*VLOOKUP('1. SUMMARY'!$C$20,rate,Sheet1!V$21,0),((IF(($B$84+$C$84+$D$84+$E$84)&gt;=25000,0,(((25000-($B$84+$C$84+$D$84+$E$84))/+$AH$232)*S232)*(VLOOKUP('1. SUMMARY'!$C$20,rate,Sheet1!V$21,0))))))))</f>
        <v>0</v>
      </c>
      <c r="T233" s="410">
        <f>IF(T232=0,0,(IF(($C$84+$B$84+$D$84+$E$84+$F$84)&lt;=25000,(($F$84/+$AH$232)*T232)*VLOOKUP('1. SUMMARY'!$C$20,rate,Sheet1!W$21,0),((IF(($B$84+$C$84+$D$84+$E$84)&gt;=25000,0,(((25000-($B$84+$C$84+$D$84+$E$84))/+$AH$232)*T232)*(VLOOKUP('1. SUMMARY'!$C$20,rate,Sheet1!W$21,0))))))))</f>
        <v>0</v>
      </c>
      <c r="U233" s="410">
        <f>IF(U232=0,0,(IF(($C$84+$B$84+$D$84+$E$84+$F$84)&lt;=25000,(($F$84/+$AH$232)*U232)*VLOOKUP('1. SUMMARY'!$C$20,rate,Sheet1!X$21,0),((IF(($B$84+$C$84+$D$84+$E$84)&gt;=25000,0,(((25000-($B$84+$C$84+$D$84+$E$84))/+$AH$232)*U232)*(VLOOKUP('1. SUMMARY'!$C$20,rate,Sheet1!X$21,0))))))))</f>
        <v>0</v>
      </c>
      <c r="V233" s="410">
        <f>IF(V232=0,0,(IF(($C$84+$B$84+$D$84+$E$84+$F$84)&lt;=25000,(($F$84/+$AH$232)*V232)*VLOOKUP('1. SUMMARY'!$C$20,rate,Sheet1!Y$21,0),((IF(($B$84+$C$84+$D$84+$E$84)&gt;=25000,0,(((25000-($B$84+$C$84+$D$84+$E$84))/+$AH$232)*V232)*(VLOOKUP('1. SUMMARY'!$C$20,rate,Sheet1!Y$21,0))))))))</f>
        <v>0</v>
      </c>
      <c r="W233" s="410">
        <f>IF(W232=0,0,(IF(($C$84+$B$84+$D$84+$E$84+$F$84)&lt;=25000,(($F$84/+$AH$232)*W232)*VLOOKUP('1. SUMMARY'!$C$20,rate,Sheet1!Z$21,0),((IF(($B$84+$C$84+$D$84+$E$84)&gt;=25000,0,(((25000-($B$84+$C$84+$D$84+$E$84))/+$AH$232)*W232)*(VLOOKUP('1. SUMMARY'!$C$20,rate,Sheet1!Z$21,0))))))))</f>
        <v>0</v>
      </c>
      <c r="X233" s="410">
        <f>IF(X232=0,0,(IF(($C$84+$B$84+$D$84+$E$84+$F$84)&lt;=25000,(($F$84/+$AH$232)*X232)*VLOOKUP('1. SUMMARY'!$C$20,rate,Sheet1!AA$21,0),((IF(($B$84+$C$84+$D$84+$E$84)&gt;=25000,0,(((25000-($B$84+$C$84+$D$84+$E$84))/+$AH$232)*X232)*(VLOOKUP('1. SUMMARY'!$C$20,rate,Sheet1!AA$21,0))))))))</f>
        <v>0</v>
      </c>
      <c r="Y233" s="410">
        <f>IF(Y232=0,0,(IF(($C$84+$B$84+$D$84+$E$84+$F$84)&lt;=25000,(($F$84/+$AH$232)*Y232)*VLOOKUP('1. SUMMARY'!$C$20,rate,Sheet1!AB$21,0),((IF(($B$84+$C$84+$D$84+$E$84)&gt;=25000,0,(((25000-($B$84+$C$84+$D$84+$E$84))/+$AH$232)*Y232)*(VLOOKUP('1. SUMMARY'!$C$20,rate,Sheet1!AB$21,0))))))))</f>
        <v>0</v>
      </c>
      <c r="Z233" s="410">
        <f>IF(Z232=0,0,(IF(($C$84+$B$84+$D$84+$E$84+$F$84)&lt;=25000,(($F$84/+$AH$232)*Z232)*VLOOKUP('1. SUMMARY'!$C$20,rate,Sheet1!AC$21,0),((IF(($B$84+$C$84+$D$84+$E$84)&gt;=25000,0,(((25000-($B$84+$C$84+$D$84+$E$84))/+$AH$232)*Z232)*(VLOOKUP('1. SUMMARY'!$C$20,rate,Sheet1!AC$21,0))))))))</f>
        <v>0</v>
      </c>
      <c r="AA233" s="410">
        <f>IF(AA232=0,0,(IF(($C$84+$B$84+$D$84+$E$84+$F$84)&lt;=25000,(($F$84/+$AH$232)*AA232)*VLOOKUP('1. SUMMARY'!$C$20,rate,Sheet1!AD$21,0),((IF(($B$84+$C$84+$D$84+$E$84)&gt;=25000,0,(((25000-($B$84+$C$84+$D$84+$E$84))/+$AH$232)*AA232)*(VLOOKUP('1. SUMMARY'!$C$20,rate,Sheet1!AD$21,0))))))))</f>
        <v>0</v>
      </c>
      <c r="AB233" s="410">
        <f>IF(AB232=0,0,(IF(($C$84+$B$84+$D$84+$E$84+$F$84)&lt;=25000,(($F$84/+$AH$232)*AB232)*VLOOKUP('1. SUMMARY'!$C$20,rate,Sheet1!AE$21,0),((IF(($B$84+$C$84+$D$84+$E$84)&gt;=25000,0,(((25000-($B$84+$C$84+$D$84+$E$84))/+$AH$232)*AB232)*(VLOOKUP('1. SUMMARY'!$C$20,rate,Sheet1!AE$21,0))))))))</f>
        <v>0</v>
      </c>
      <c r="AC233" s="410">
        <f>IF(AC232=0,0,(IF(($C$84+$B$84+$D$84+$E$84+$F$84)&lt;=25000,(($F$84/+$AH$232)*AC232)*VLOOKUP('1. SUMMARY'!$C$20,rate,Sheet1!AF$21,0),((IF(($B$84+$C$84+$D$84+$E$84)&gt;=25000,0,(((25000-($B$84+$C$84+$D$84+$E$84))/+$AH$232)*AC232)*(VLOOKUP('1. SUMMARY'!$C$20,rate,Sheet1!AF$21,0))))))))</f>
        <v>0</v>
      </c>
      <c r="AD233" s="410">
        <f>IF(AD232=0,0,(IF(($C$84+$B$84+$D$84+$E$84+$F$84)&lt;=25000,(($F$84/+$AH$232)*AD232)*VLOOKUP('1. SUMMARY'!$C$20,rate,Sheet1!AG$21,0),((IF(($B$84+$C$84+$D$84+$E$84)&gt;=25000,0,(((25000-($B$84+$C$84+$D$84+$E$84))/+$AH$232)*AD232)*(VLOOKUP('1. SUMMARY'!$C$20,rate,Sheet1!AG$21,0))))))))</f>
        <v>0</v>
      </c>
      <c r="AE233" s="410">
        <f>IF(AE232=0,0,(IF(($C$84+$B$84+$D$84+$E$84+$F$84)&lt;=25000,(($F$84/+$AH$232)*AE232)*VLOOKUP('1. SUMMARY'!$C$20,rate,Sheet1!AH$21,0),((IF(($B$84+$C$84+$D$84+$E$84)&gt;=25000,0,(((25000-($B$84+$C$84+$D$84+$E$84))/+$AH$232)*AE232)*(VLOOKUP('1. SUMMARY'!$C$20,rate,Sheet1!AH$21,0))))))))</f>
        <v>0</v>
      </c>
      <c r="AF233" s="410">
        <f>IF(AF232=0,0,(IF(($C$84+$B$84+$D$84+$E$84+$F$84)&lt;=25000,(($F$84/+$AH$232)*AF232)*VLOOKUP('1. SUMMARY'!$C$20,rate,Sheet1!AI$21,0),((IF(($B$84+$C$84+$D$84+$E$84)&gt;=25000,0,(((25000-($B$84+$C$84+$D$84+$E$84))/+$AH$232)*AF232)*(VLOOKUP('1. SUMMARY'!$C$20,rate,Sheet1!AI$21,0))))))))</f>
        <v>0</v>
      </c>
      <c r="AG233" s="410">
        <f>IF(AG232=0,0,(IF(($C$84+$B$84+$D$84+$E$84+$F$84)&lt;=25000,(($F$84/+$AH$232)*AG232)*VLOOKUP('1. SUMMARY'!$C$20,rate,Sheet1!AJ$21,0),((IF(($B$84+$C$84+$D$84+$E$84)&gt;=25000,0,(((25000-($B$84+$C$84+$D$84+$E$84))/+$AH$232)*AG232)*(VLOOKUP('1. SUMMARY'!$C$20,rate,Sheet1!AJ$21,0))))))))</f>
        <v>0</v>
      </c>
      <c r="AH233" s="219">
        <f>SUM(Q233:AG233)</f>
        <v>0</v>
      </c>
      <c r="AI233" s="410">
        <f>IF(AI232=0,0,((+$F84/$AZ232)*AI232)*VLOOKUP('1. SUMMARY'!$C$20,rate,Sheet1!T$21,0))</f>
        <v>0</v>
      </c>
      <c r="AJ233" s="410">
        <f>IF(AJ232=0,0,((+$F84/$AZ232)*AJ232)*VLOOKUP('1. SUMMARY'!$C$20,rate,Sheet1!U$21,0))</f>
        <v>0</v>
      </c>
      <c r="AK233" s="410">
        <f>IF(AK232=0,0,((+$F84/$AZ232)*AK232)*VLOOKUP('1. SUMMARY'!$C$20,rate,Sheet1!V$21,0))</f>
        <v>0</v>
      </c>
      <c r="AL233" s="410">
        <f>IF(AL232=0,0,((+$F84/$AZ232)*AL232)*VLOOKUP('1. SUMMARY'!$C$20,rate,Sheet1!W$21,0))</f>
        <v>0</v>
      </c>
      <c r="AM233" s="410">
        <f>IF(AM232=0,0,((+$F84/$AZ232)*AM232)*VLOOKUP('1. SUMMARY'!$C$20,rate,Sheet1!X$21,0))</f>
        <v>0</v>
      </c>
      <c r="AN233" s="410">
        <f>IF(AN232=0,0,((+$F84/$AZ232)*AN232)*VLOOKUP('1. SUMMARY'!$C$20,rate,Sheet1!Y$21,0))</f>
        <v>0</v>
      </c>
      <c r="AO233" s="410">
        <f>IF(AO232=0,0,((+$F84/$AZ232)*AO232)*VLOOKUP('1. SUMMARY'!$C$20,rate,Sheet1!Z$21,0))</f>
        <v>0</v>
      </c>
      <c r="AP233" s="410">
        <f>IF(AP232=0,0,((+$F84/$AZ232)*AP232)*VLOOKUP('1. SUMMARY'!$C$20,rate,Sheet1!AA$21,0))</f>
        <v>0</v>
      </c>
      <c r="AQ233" s="410">
        <f>IF(AQ232=0,0,((+$F84/$AZ232)*AQ232)*VLOOKUP('1. SUMMARY'!$C$20,rate,Sheet1!AB$21,0))</f>
        <v>0</v>
      </c>
      <c r="AR233" s="410">
        <f>IF(AR232=0,0,((+$F84/$AZ232)*AR232)*VLOOKUP('1. SUMMARY'!$C$20,rate,Sheet1!AC$21,0))</f>
        <v>0</v>
      </c>
      <c r="AS233" s="410">
        <f>IF(AS232=0,0,((+$F84/$AZ232)*AS232)*VLOOKUP('1. SUMMARY'!$C$20,rate,Sheet1!AD$21,0))</f>
        <v>0</v>
      </c>
      <c r="AT233" s="410">
        <f>IF(AT232=0,0,((+$F84/$AZ232)*AT232)*VLOOKUP('1. SUMMARY'!$C$20,rate,Sheet1!AE$21,0))</f>
        <v>0</v>
      </c>
      <c r="AU233" s="410">
        <f>IF(AU232=0,0,((+$F84/$AZ232)*AU232)*VLOOKUP('1. SUMMARY'!$C$20,rate,Sheet1!AF$21,0))</f>
        <v>0</v>
      </c>
      <c r="AV233" s="410">
        <f>IF(AV232=0,0,((+$F84/$AZ232)*AV232)*VLOOKUP('1. SUMMARY'!$C$20,rate,Sheet1!AG$21,0))</f>
        <v>0</v>
      </c>
      <c r="AW233" s="410">
        <f>IF(AW232=0,0,((+$F84/$AZ232)*AW232)*VLOOKUP('1. SUMMARY'!$C$20,rate,Sheet1!AH$21,0))</f>
        <v>0</v>
      </c>
      <c r="AX233" s="410">
        <f>IF(AX232=0,0,((+$F84/$AZ232)*AX232)*VLOOKUP('1. SUMMARY'!$C$20,rate,Sheet1!AI$21,0))</f>
        <v>0</v>
      </c>
      <c r="AY233" s="410">
        <f>IF(AY232=0,0,((+$F84/$AZ232)*AY232)*VLOOKUP('1. SUMMARY'!$C$20,rate,Sheet1!AJ$21,0))</f>
        <v>0</v>
      </c>
      <c r="AZ233" s="219">
        <f>SUM(AI233:AY233)</f>
        <v>0</v>
      </c>
    </row>
    <row r="234" spans="1:52" ht="12.75" customHeight="1">
      <c r="A234" s="226" t="s">
        <v>150</v>
      </c>
      <c r="B234" s="227"/>
      <c r="C234" s="227"/>
      <c r="D234" s="227"/>
      <c r="E234" s="227"/>
      <c r="F234" s="227"/>
      <c r="G234" s="228"/>
      <c r="H234" s="228"/>
      <c r="I234" s="228"/>
      <c r="J234" s="228"/>
      <c r="K234" s="228"/>
      <c r="L234" s="229">
        <f>SUM(B234:K234)</f>
        <v>0</v>
      </c>
      <c r="P234" s="207">
        <f t="shared" si="100"/>
        <v>1</v>
      </c>
      <c r="Q234" s="410">
        <f>+Q233/VLOOKUP('1. SUMMARY'!$C$20,rate,Sheet1!T$21,0)</f>
        <v>0</v>
      </c>
      <c r="R234" s="410">
        <f>+R233/VLOOKUP('1. SUMMARY'!$C$20,rate,Sheet1!U$21,0)</f>
        <v>0</v>
      </c>
      <c r="S234" s="410">
        <f>+S233/VLOOKUP('1. SUMMARY'!$C$20,rate,Sheet1!V$21,0)</f>
        <v>0</v>
      </c>
      <c r="T234" s="410">
        <f>+T233/VLOOKUP('1. SUMMARY'!$C$20,rate,Sheet1!W$21,0)</f>
        <v>0</v>
      </c>
      <c r="U234" s="410">
        <f>+U233/VLOOKUP('1. SUMMARY'!$C$20,rate,Sheet1!X$21,0)</f>
        <v>0</v>
      </c>
      <c r="V234" s="410">
        <f>+V233/VLOOKUP('1. SUMMARY'!$C$20,rate,Sheet1!Y$21,0)</f>
        <v>0</v>
      </c>
      <c r="W234" s="410">
        <f>+W233/VLOOKUP('1. SUMMARY'!$C$20,rate,Sheet1!Z$21,0)</f>
        <v>0</v>
      </c>
      <c r="X234" s="410">
        <f>+X233/VLOOKUP('1. SUMMARY'!$C$20,rate,Sheet1!AA$21,0)</f>
        <v>0</v>
      </c>
      <c r="Y234" s="410">
        <f>+Y233/VLOOKUP('1. SUMMARY'!$C$20,rate,Sheet1!AB$21,0)</f>
        <v>0</v>
      </c>
      <c r="Z234" s="410">
        <f>+Z233/VLOOKUP('1. SUMMARY'!$C$20,rate,Sheet1!AC$21,0)</f>
        <v>0</v>
      </c>
      <c r="AA234" s="410">
        <f>+AA233/VLOOKUP('1. SUMMARY'!$C$20,rate,Sheet1!AD$21,0)</f>
        <v>0</v>
      </c>
      <c r="AB234" s="410">
        <f>+AB233/VLOOKUP('1. SUMMARY'!$C$20,rate,Sheet1!AE$21,0)</f>
        <v>0</v>
      </c>
      <c r="AC234" s="410">
        <f>+AC233/VLOOKUP('1. SUMMARY'!$C$20,rate,Sheet1!AF$21,0)</f>
        <v>0</v>
      </c>
      <c r="AD234" s="410">
        <f>+AD233/VLOOKUP('1. SUMMARY'!$C$20,rate,Sheet1!AG$21,0)</f>
        <v>0</v>
      </c>
      <c r="AE234" s="410">
        <f>+AE233/VLOOKUP('1. SUMMARY'!$C$20,rate,Sheet1!AH$21,0)</f>
        <v>0</v>
      </c>
      <c r="AF234" s="410">
        <f>+AF233/VLOOKUP('1. SUMMARY'!$C$20,rate,Sheet1!AI$21,0)</f>
        <v>0</v>
      </c>
      <c r="AG234" s="410">
        <f>+AG233/VLOOKUP('1. SUMMARY'!$C$20,rate,Sheet1!AJ$21,0)</f>
        <v>0</v>
      </c>
      <c r="AH234" s="219"/>
      <c r="AI234" s="410">
        <v>0</v>
      </c>
      <c r="AJ234" s="410">
        <v>0</v>
      </c>
      <c r="AK234" s="410">
        <v>0</v>
      </c>
      <c r="AL234" s="410">
        <v>0</v>
      </c>
      <c r="AM234" s="410">
        <v>0</v>
      </c>
      <c r="AN234" s="410">
        <v>0</v>
      </c>
      <c r="AO234" s="410">
        <v>0</v>
      </c>
      <c r="AP234" s="410">
        <v>0</v>
      </c>
      <c r="AQ234" s="410"/>
      <c r="AR234" s="410"/>
      <c r="AS234" s="410"/>
      <c r="AT234" s="410"/>
      <c r="AU234" s="410"/>
      <c r="AV234" s="410"/>
      <c r="AW234" s="410"/>
      <c r="AX234" s="410"/>
      <c r="AY234" s="410"/>
      <c r="AZ234" s="219"/>
    </row>
    <row r="235" spans="1:52" ht="12.75" customHeight="1">
      <c r="A235" s="221" t="s">
        <v>151</v>
      </c>
      <c r="B235" s="227"/>
      <c r="C235" s="227"/>
      <c r="D235" s="227"/>
      <c r="E235" s="227"/>
      <c r="F235" s="227"/>
      <c r="G235" s="228"/>
      <c r="H235" s="228"/>
      <c r="I235" s="228"/>
      <c r="J235" s="228"/>
      <c r="K235" s="228"/>
      <c r="L235" s="229">
        <f>SUM(B235:K235)</f>
        <v>0</v>
      </c>
      <c r="P235" s="207">
        <f t="shared" ref="P235:P259" si="110">IF(Q360=39356,(+P234+1),P234)</f>
        <v>1</v>
      </c>
      <c r="Q235" s="413">
        <f>Sheet1!$T$8</f>
        <v>44105</v>
      </c>
      <c r="R235" s="413">
        <f>Sheet1!$U$8</f>
        <v>44470</v>
      </c>
      <c r="S235" s="413">
        <f>Sheet1!$V$8</f>
        <v>44835</v>
      </c>
      <c r="T235" s="413">
        <f>Sheet1!$W$8</f>
        <v>45200</v>
      </c>
      <c r="U235" s="413">
        <f>Sheet1!$X$8</f>
        <v>45566</v>
      </c>
      <c r="V235" s="413">
        <f>Sheet1!$Y$8</f>
        <v>45931</v>
      </c>
      <c r="W235" s="413">
        <f>Sheet1!$Z$8</f>
        <v>46296</v>
      </c>
      <c r="X235" s="413">
        <f>Sheet1!$AA$8</f>
        <v>46661</v>
      </c>
      <c r="Y235" s="413">
        <f>Sheet1!$AB$8</f>
        <v>47027</v>
      </c>
      <c r="Z235" s="413">
        <f>Sheet1!$AC$8</f>
        <v>47392</v>
      </c>
      <c r="AA235" s="413">
        <f>$AA$5</f>
        <v>47757</v>
      </c>
      <c r="AB235" s="413">
        <f>$AB$5</f>
        <v>48122</v>
      </c>
      <c r="AC235" s="413">
        <f>$AC$5</f>
        <v>48488</v>
      </c>
      <c r="AD235" s="413">
        <f>$AD$5</f>
        <v>48853</v>
      </c>
      <c r="AE235" s="413">
        <f>$AE$5</f>
        <v>49218</v>
      </c>
      <c r="AF235" s="413">
        <f>$AF$5</f>
        <v>49583</v>
      </c>
      <c r="AG235" s="413">
        <f>$AG$5</f>
        <v>49949</v>
      </c>
      <c r="AH235" s="211"/>
      <c r="AI235" s="413">
        <f t="shared" ref="AI235:AR237" si="111">+Q235</f>
        <v>44105</v>
      </c>
      <c r="AJ235" s="413">
        <f t="shared" si="111"/>
        <v>44470</v>
      </c>
      <c r="AK235" s="413">
        <f t="shared" si="111"/>
        <v>44835</v>
      </c>
      <c r="AL235" s="413">
        <f t="shared" si="111"/>
        <v>45200</v>
      </c>
      <c r="AM235" s="413">
        <f t="shared" si="111"/>
        <v>45566</v>
      </c>
      <c r="AN235" s="413">
        <f t="shared" si="111"/>
        <v>45931</v>
      </c>
      <c r="AO235" s="413">
        <f t="shared" si="111"/>
        <v>46296</v>
      </c>
      <c r="AP235" s="413">
        <f t="shared" si="111"/>
        <v>46661</v>
      </c>
      <c r="AQ235" s="413">
        <f t="shared" si="111"/>
        <v>47027</v>
      </c>
      <c r="AR235" s="413">
        <f t="shared" si="111"/>
        <v>47392</v>
      </c>
      <c r="AS235" s="413">
        <f t="shared" ref="AS235:AY237" si="112">+AA235</f>
        <v>47757</v>
      </c>
      <c r="AT235" s="413">
        <f t="shared" si="112"/>
        <v>48122</v>
      </c>
      <c r="AU235" s="413">
        <f t="shared" si="112"/>
        <v>48488</v>
      </c>
      <c r="AV235" s="413">
        <f t="shared" si="112"/>
        <v>48853</v>
      </c>
      <c r="AW235" s="413">
        <f t="shared" si="112"/>
        <v>49218</v>
      </c>
      <c r="AX235" s="413">
        <f t="shared" si="112"/>
        <v>49583</v>
      </c>
      <c r="AY235" s="413">
        <f t="shared" si="112"/>
        <v>49949</v>
      </c>
      <c r="AZ235" s="211"/>
    </row>
    <row r="236" spans="1:52" ht="12.75" customHeight="1">
      <c r="A236" s="216"/>
      <c r="B236" s="217"/>
      <c r="C236" s="217"/>
      <c r="D236" s="217"/>
      <c r="E236" s="217"/>
      <c r="F236" s="217"/>
      <c r="G236" s="217"/>
      <c r="H236" s="217"/>
      <c r="I236" s="217"/>
      <c r="J236" s="217"/>
      <c r="K236" s="217"/>
      <c r="L236" s="218"/>
      <c r="P236" s="207">
        <f t="shared" si="110"/>
        <v>1</v>
      </c>
      <c r="Q236" s="413">
        <f>Sheet1!$T$9</f>
        <v>44469</v>
      </c>
      <c r="R236" s="413">
        <f>Sheet1!$U$9</f>
        <v>44834</v>
      </c>
      <c r="S236" s="413">
        <f>Sheet1!$V$9</f>
        <v>45199</v>
      </c>
      <c r="T236" s="413">
        <f>Sheet1!$W$9</f>
        <v>45565</v>
      </c>
      <c r="U236" s="413">
        <f>Sheet1!$X$9</f>
        <v>45930</v>
      </c>
      <c r="V236" s="413">
        <f>Sheet1!$Y$9</f>
        <v>46295</v>
      </c>
      <c r="W236" s="413">
        <f>Sheet1!$Z$9</f>
        <v>46660</v>
      </c>
      <c r="X236" s="413">
        <f>Sheet1!$AA$9</f>
        <v>47026</v>
      </c>
      <c r="Y236" s="413">
        <f>Sheet1!$AB$9</f>
        <v>47391</v>
      </c>
      <c r="Z236" s="413">
        <f>Sheet1!$AC$9</f>
        <v>47756</v>
      </c>
      <c r="AA236" s="413">
        <f>$AA$6</f>
        <v>48121</v>
      </c>
      <c r="AB236" s="413">
        <f>$AB$6</f>
        <v>48487</v>
      </c>
      <c r="AC236" s="413">
        <f>$AC$6</f>
        <v>48852</v>
      </c>
      <c r="AD236" s="413">
        <f>$AD$6</f>
        <v>49217</v>
      </c>
      <c r="AE236" s="413">
        <f>$AE$6</f>
        <v>49582</v>
      </c>
      <c r="AF236" s="413">
        <f>$AF$6</f>
        <v>49948</v>
      </c>
      <c r="AG236" s="413">
        <f>$AG$6</f>
        <v>50313</v>
      </c>
      <c r="AH236" s="211"/>
      <c r="AI236" s="413">
        <f t="shared" si="111"/>
        <v>44469</v>
      </c>
      <c r="AJ236" s="413">
        <f t="shared" si="111"/>
        <v>44834</v>
      </c>
      <c r="AK236" s="413">
        <f t="shared" si="111"/>
        <v>45199</v>
      </c>
      <c r="AL236" s="413">
        <f t="shared" si="111"/>
        <v>45565</v>
      </c>
      <c r="AM236" s="413">
        <f t="shared" si="111"/>
        <v>45930</v>
      </c>
      <c r="AN236" s="413">
        <f t="shared" si="111"/>
        <v>46295</v>
      </c>
      <c r="AO236" s="413">
        <f t="shared" si="111"/>
        <v>46660</v>
      </c>
      <c r="AP236" s="413">
        <f t="shared" si="111"/>
        <v>47026</v>
      </c>
      <c r="AQ236" s="413">
        <f t="shared" si="111"/>
        <v>47391</v>
      </c>
      <c r="AR236" s="413">
        <f t="shared" si="111"/>
        <v>47756</v>
      </c>
      <c r="AS236" s="413">
        <f t="shared" si="112"/>
        <v>48121</v>
      </c>
      <c r="AT236" s="413">
        <f t="shared" si="112"/>
        <v>48487</v>
      </c>
      <c r="AU236" s="413">
        <f t="shared" si="112"/>
        <v>48852</v>
      </c>
      <c r="AV236" s="413">
        <f t="shared" si="112"/>
        <v>49217</v>
      </c>
      <c r="AW236" s="413">
        <f t="shared" si="112"/>
        <v>49582</v>
      </c>
      <c r="AX236" s="413">
        <f t="shared" si="112"/>
        <v>49948</v>
      </c>
      <c r="AY236" s="413">
        <f t="shared" si="112"/>
        <v>50313</v>
      </c>
      <c r="AZ236" s="211"/>
    </row>
    <row r="237" spans="1:52" ht="12.75" customHeight="1">
      <c r="A237" s="231" t="s">
        <v>152</v>
      </c>
      <c r="B237" s="146">
        <f t="shared" ref="B237:K237" si="113">SUM(B234:B235)</f>
        <v>0</v>
      </c>
      <c r="C237" s="146">
        <f t="shared" si="113"/>
        <v>0</v>
      </c>
      <c r="D237" s="146">
        <f t="shared" si="113"/>
        <v>0</v>
      </c>
      <c r="E237" s="146">
        <f t="shared" si="113"/>
        <v>0</v>
      </c>
      <c r="F237" s="146">
        <f t="shared" si="113"/>
        <v>0</v>
      </c>
      <c r="G237" s="146">
        <f t="shared" si="113"/>
        <v>0</v>
      </c>
      <c r="H237" s="146">
        <f t="shared" si="113"/>
        <v>0</v>
      </c>
      <c r="I237" s="146">
        <f t="shared" si="113"/>
        <v>0</v>
      </c>
      <c r="J237" s="146">
        <f t="shared" si="113"/>
        <v>0</v>
      </c>
      <c r="K237" s="146">
        <f t="shared" si="113"/>
        <v>0</v>
      </c>
      <c r="L237" s="229">
        <f>SUM(B237:K237)</f>
        <v>0</v>
      </c>
      <c r="O237" s="207">
        <v>6</v>
      </c>
      <c r="P237" s="207">
        <f t="shared" si="110"/>
        <v>1</v>
      </c>
      <c r="Q237" s="424">
        <f>IF(IF(Q236&lt;$G$27,0,DATEDIF($G$27,Q236+1,"m"))&lt;0,0,IF(Q236&lt;$G$27,0,DATEDIF($G$27,Q236+1,"m")))</f>
        <v>0</v>
      </c>
      <c r="R237" s="424">
        <f>IF(IF(Q237=12,0,IF(R236&gt;$G$28,12-DATEDIF($G$28,R236+1,"m"),IF(R236&lt;$G$27,0,DATEDIF($G$27,R236+1,"m"))))&lt;0,0,IF(Q237=12,0,IF(R236&gt;$G$28,12-DATEDIF($G$28,R236+1,"m"),IF(R236&lt;$G$27,0,DATEDIF($G$27,R236+1,"m")))))</f>
        <v>0</v>
      </c>
      <c r="S237" s="424">
        <f>IF(IF(Q237+R237=12,0,IF(S236&gt;$G$28,12-DATEDIF($G$28,S236+1,"m"),IF(S236&lt;$G$27,0,DATEDIF($G$27,S236+1,"m"))))&lt;0,0,IF(Q237+R237=12,0,IF(S236&gt;$G$28,12-DATEDIF($G$28,S236+1,"m"),IF(S236&lt;$G$27,0,DATEDIF($G$27,S236+1,"m")))))</f>
        <v>0</v>
      </c>
      <c r="T237" s="424">
        <f>IF(IF(R237+S237+Q237=12,0,IF(T236&gt;$G$28,12-DATEDIF($G$28,T236+1,"m"),IF(T236&lt;$G$27,0,DATEDIF($G$27,T236+1,"m"))))&lt;0,0,IF(R237+S237+Q237=12,0,IF(T236&gt;$G$28,12-DATEDIF($G$28,T236+1,"m"),IF(T236&lt;$G$27,0,DATEDIF($G$27,T236+1,"m")))))</f>
        <v>0</v>
      </c>
      <c r="U237" s="424">
        <f>IF(IF(S237+T237+R237+Q237=12,0,IF(U236&gt;$G$28,12-DATEDIF($G$28,U236+1,"m"),IF(U236&lt;$G$27,0,DATEDIF($G$27,U236+1,"m"))))&lt;0,0,IF(S237+T237+R237+Q237=12,0,IF(U236&gt;$G$28,12-DATEDIF($G$28,U236+1,"m"),IF(U236&lt;$G$27,0,DATEDIF($G$27,U236+1,"m")))))</f>
        <v>0</v>
      </c>
      <c r="V237" s="424">
        <f>IF(IF(T237+U237+S237+R237+Q237=12,0,IF(V236&gt;$G$28,12-DATEDIF($G$28,V236+1,"m"),IF(V236&lt;$G$27,0,DATEDIF($G$27,V236+1,"m"))))&lt;0,0,IF(T237+U237+S237+R237+Q237=12,0,IF(V236&gt;$G$28,12-DATEDIF($G$28,V236+1,"m"),IF(V236&lt;$G$27,0,DATEDIF($G$27,V236+1,"m")))))</f>
        <v>0</v>
      </c>
      <c r="W237" s="424">
        <f>IF(IF(U237+V237+T237+S237+R237+Q237=12,0,IF(W236&gt;$G$28,12-DATEDIF($G$28,W236+1,"m"),IF(W236&lt;$G$27,0,DATEDIF($G$27,W236+1,"m"))))&lt;0,0,IF(U237+V237+T237+S237+R237+Q237=12,0,IF(W236&gt;$G$28,12-DATEDIF($G$28,W236+1,"m"),IF(W236&lt;$G$27,0,DATEDIF($G$27,W236+1,"m")))))</f>
        <v>0</v>
      </c>
      <c r="X237" s="424">
        <f>IF(IF(V237+W237+U237+T237+S237+R237+Q237=12,0,IF(X236&gt;$G$28,12-DATEDIF($G$28,X236+1,"m"),IF(X236&lt;$G$27,0,DATEDIF($G$27,X236+1,"m"))))&lt;0,0,IF(V237+W237+U237+T237+S237+R237+Q237=12,0,IF(X236&gt;$G$28,12-DATEDIF($G$28,X236+1,"m"),IF(X236&lt;$G$27,0,DATEDIF($G$27,X236+1,"m")))))</f>
        <v>0</v>
      </c>
      <c r="Y237" s="424">
        <f>IF(IF(W237+X237+V237+U237+T237+S237+R237+Q237=12,0,IF(Y236&gt;$G$28,12-DATEDIF($G$28,Y236+1,"m"),IF(Y236&lt;$G$27,0,DATEDIF($G$27,Y236+1,"m"))))&lt;0,0,IF(W237+X237+V237+U237+T237+S237+R237+Q237=12,0,IF(Y236&gt;$G$28,12-DATEDIF($G$28,Y236+1,"m"),IF(Y236&lt;$G$27,0,DATEDIF($G$27,Y236+1,"m")))))</f>
        <v>0</v>
      </c>
      <c r="Z237" s="424">
        <f>IF(IF(X237+Y237+W237+V237+U237+T237+S237+R237+Q237=12,0,IF(Z236&gt;$G$28,12-DATEDIF($G$28,Z236+1,"m"),IF(Z236&lt;$G$27,0,DATEDIF($G$27,Z236+1,"m"))))&lt;0,0,IF(X237+Y237+W237+V237+U237+T237+S237+R237+Q237=12,0,IF(Z236&gt;$G$28,12-DATEDIF($G$28,Z236+1,"m"),IF(Z236&lt;$G$27,0,DATEDIF($G$27,Z236+1,"m")))))</f>
        <v>0</v>
      </c>
      <c r="AA237" s="414">
        <f>IF(IF(Q237+R237+S237+Y237+Z237+X237+W237+V237+U237+T237=12,0,IF(AA236&gt;$G$28,12-DATEDIF($G$28,AA236+1,"m"),IF(AA236&lt;$G$27,0,DATEDIF($G$27,AA236+1,"m"))))&lt;0,0,IF(Q237+R237+S237+Y237+Z237+X237+W237+V237+U237+T237=12,0,IF(AA236&gt;$G$28,12-DATEDIF($G$28,AA236+1,"m"),IF(AA236&lt;$G$27,0,DATEDIF($G$27,AA236+1,"m")))))</f>
        <v>0</v>
      </c>
      <c r="AB237" s="414">
        <f>IF(IF(Q237+R237+S237+T237+Z237+AA237+Y237+X237+W237+V237+U237=12,0,IF(AB236&gt;$G$28,12-DATEDIF($G$28,AB236+1,"m"),IF(AB236&lt;$G$27,0,DATEDIF($G$27,AB236+1,"m"))))&lt;0,0,IF(Q237+R237+S237+T237+Z237+AA237+Y237+X237+W237+V237+U237=12,0,IF(AB236&gt;$G$28,12-DATEDIF($G$28,AB236+1,"m"),IF(AB236&lt;$G$27,0,DATEDIF($G$27,AB236+1,"m")))))</f>
        <v>0</v>
      </c>
      <c r="AC237" s="414">
        <f>IF(IF(Q237+R237+S237+T237+U237+AA237+AB237+Z237+Y237+X237+W237+V237=12,0,IF(AC236&gt;$G$28,12-DATEDIF($G$28,AC236+1,"m"),IF(AC236&lt;$G$27,0,DATEDIF($G$27,AC236+1,"m"))))&lt;0,0,IF(Q237+R237+S237+T237+U237+AA237+AB237+Z237+Y237+X237+W237+V237=12,0,IF(AC236&gt;$G$28,12-DATEDIF($G$28,AC236+1,"m"),IF(AC236&lt;$G$27,0,DATEDIF($G$27,AC236+1,"m")))))</f>
        <v>0</v>
      </c>
      <c r="AD237" s="414">
        <f>IF(IF(Q237+R237+S237+T237+U237+V237+AB237+AC237+AA237+Z237+Y237+X237+W237=12,0,IF(AD236&gt;$G$28,12-DATEDIF($G$28,AD236+1,"m"),IF(AD236&lt;$G$27,0,DATEDIF($G$27,AD236+1,"m"))))&lt;0,0,IF(Q237+R237+S237+T237+U237+V237+AB237+AC237+AA237+Z237+Y237+X237+W237=12,0,IF(AD236&gt;$G$28,12-DATEDIF($G$28,AD236+1,"m"),IF(AD236&lt;$G$27,0,DATEDIF($G$27,AD236+1,"m")))))</f>
        <v>0</v>
      </c>
      <c r="AE237" s="414"/>
      <c r="AF237" s="414"/>
      <c r="AG237" s="414"/>
      <c r="AH237" s="423">
        <f>SUM(Q237:AG237)</f>
        <v>0</v>
      </c>
      <c r="AI237" s="414">
        <f t="shared" si="111"/>
        <v>0</v>
      </c>
      <c r="AJ237" s="414">
        <f t="shared" si="111"/>
        <v>0</v>
      </c>
      <c r="AK237" s="414">
        <f t="shared" si="111"/>
        <v>0</v>
      </c>
      <c r="AL237" s="414">
        <f t="shared" si="111"/>
        <v>0</v>
      </c>
      <c r="AM237" s="414">
        <f t="shared" si="111"/>
        <v>0</v>
      </c>
      <c r="AN237" s="414">
        <f t="shared" si="111"/>
        <v>0</v>
      </c>
      <c r="AO237" s="414">
        <f t="shared" si="111"/>
        <v>0</v>
      </c>
      <c r="AP237" s="414">
        <f t="shared" si="111"/>
        <v>0</v>
      </c>
      <c r="AQ237" s="414">
        <f t="shared" si="111"/>
        <v>0</v>
      </c>
      <c r="AR237" s="414">
        <f t="shared" si="111"/>
        <v>0</v>
      </c>
      <c r="AS237" s="414">
        <f t="shared" si="112"/>
        <v>0</v>
      </c>
      <c r="AT237" s="414">
        <f t="shared" si="112"/>
        <v>0</v>
      </c>
      <c r="AU237" s="414">
        <f t="shared" si="112"/>
        <v>0</v>
      </c>
      <c r="AV237" s="414">
        <f t="shared" si="112"/>
        <v>0</v>
      </c>
      <c r="AW237" s="414">
        <f t="shared" si="112"/>
        <v>0</v>
      </c>
      <c r="AX237" s="414">
        <f t="shared" si="112"/>
        <v>0</v>
      </c>
      <c r="AY237" s="414">
        <f t="shared" si="112"/>
        <v>0</v>
      </c>
      <c r="AZ237" s="219">
        <f>SUM(AI237:AY237)</f>
        <v>0</v>
      </c>
    </row>
    <row r="238" spans="1:52" ht="12.75" customHeight="1">
      <c r="A238" s="216"/>
      <c r="B238" s="217"/>
      <c r="C238" s="217"/>
      <c r="D238" s="217"/>
      <c r="E238" s="217"/>
      <c r="F238" s="217"/>
      <c r="G238" s="217"/>
      <c r="H238" s="217"/>
      <c r="I238" s="217"/>
      <c r="J238" s="217"/>
      <c r="K238" s="217"/>
      <c r="L238" s="218"/>
      <c r="P238" s="207">
        <f t="shared" si="110"/>
        <v>1</v>
      </c>
      <c r="Q238" s="415">
        <f>IF(Q237=0,0,(IF(($B$84+$C$84+$D$84+$E$84+$F$84+$G$84)&lt;=25000,(($G$84/+$AH237)*Q237)*VLOOKUP('1. SUMMARY'!$C$20,rate,Sheet1!T$21,0),((IF(($F$84+$B$84+$C$84+$D$84+$E$84)&gt;=25000,0,(((25000-($B$84+$C$84+$D$84+$E$84+$F$84))/+$AH237)*Q237)*(VLOOKUP('1. SUMMARY'!$C$20,rate,Sheet1!T$21,0))))))))</f>
        <v>0</v>
      </c>
      <c r="R238" s="415">
        <f>IF(R237=0,0,(IF(($B$84+$C$84+$D$84+$E$84+$F$84+$G$84)&lt;=25000,(($G$84/+$AH237)*R237)*VLOOKUP('1. SUMMARY'!$C$20,rate,Sheet1!U$21,0),((IF(($F$84+$B$84+$C$84+$D$84+$E$84)&gt;=25000,0,(((25000-($B$84+$C$84+$D$84+$E$84+$F$84))/+$AH237)*R237)*(VLOOKUP('1. SUMMARY'!$C$20,rate,Sheet1!U$21,0))))))))</f>
        <v>0</v>
      </c>
      <c r="S238" s="415">
        <f>IF(S237=0,0,(IF(($B$84+$C$84+$D$84+$E$84+$F$84+$G$84)&lt;=25000,(($G$84/+$AH237)*S237)*VLOOKUP('1. SUMMARY'!$C$20,rate,Sheet1!V$21,0),((IF(($F$84+$B$84+$C$84+$D$84+$E$84)&gt;=25000,0,(((25000-($B$84+$C$84+$D$84+$E$84+$F$84))/+$AH237)*S237)*(VLOOKUP('1. SUMMARY'!$C$20,rate,Sheet1!V$21,0))))))))</f>
        <v>0</v>
      </c>
      <c r="T238" s="415">
        <f>IF(T237=0,0,(IF(($B$84+$C$84+$D$84+$E$84+$F$84+$G$84)&lt;=25000,(($G$84/+$AH237)*T237)*VLOOKUP('1. SUMMARY'!$C$20,rate,Sheet1!W$21,0),((IF(($F$84+$B$84+$C$84+$D$84+$E$84)&gt;=25000,0,(((25000-($B$84+$C$84+$D$84+$E$84+$F$84))/+$AH237)*T237)*(VLOOKUP('1. SUMMARY'!$C$20,rate,Sheet1!W$21,0))))))))</f>
        <v>0</v>
      </c>
      <c r="U238" s="415">
        <f>IF(U237=0,0,(IF(($B$84+$C$84+$D$84+$E$84+$F$84+$G$84)&lt;=25000,(($G$84/+$AH237)*U237)*VLOOKUP('1. SUMMARY'!$C$20,rate,Sheet1!X$21,0),((IF(($F$84+$B$84+$C$84+$D$84+$E$84)&gt;=25000,0,(((25000-($B$84+$C$84+$D$84+$E$84+$F$84))/+$AH237)*U237)*(VLOOKUP('1. SUMMARY'!$C$20,rate,Sheet1!X$21,0))))))))</f>
        <v>0</v>
      </c>
      <c r="V238" s="415">
        <f>IF(V237=0,0,(IF(($B$84+$C$84+$D$84+$E$84+$F$84+$G$84)&lt;=25000,(($G$84/+$AH237)*V237)*VLOOKUP('1. SUMMARY'!$C$20,rate,Sheet1!Y$21,0),((IF(($F$84+$B$84+$C$84+$D$84+$E$84)&gt;=25000,0,(((25000-($B$84+$C$84+$D$84+$E$84+$F$84))/+$AH237)*V237)*(VLOOKUP('1. SUMMARY'!$C$20,rate,Sheet1!Y$21,0))))))))</f>
        <v>0</v>
      </c>
      <c r="W238" s="415">
        <f>IF(W237=0,0,(IF(($B$84+$C$84+$D$84+$E$84+$F$84+$G$84)&lt;=25000,(($G$84/+$AH237)*W237)*VLOOKUP('1. SUMMARY'!$C$20,rate,Sheet1!Z$21,0),((IF(($F$84+$B$84+$C$84+$D$84+$E$84)&gt;=25000,0,(((25000-($B$84+$C$84+$D$84+$E$84+$F$84))/+$AH237)*W237)*(VLOOKUP('1. SUMMARY'!$C$20,rate,Sheet1!Z$21,0))))))))</f>
        <v>0</v>
      </c>
      <c r="X238" s="415">
        <f>IF(X237=0,0,(IF(($B$84+$C$84+$D$84+$E$84+$F$84+$G$84)&lt;=25000,(($G$84/+$AH237)*X237)*VLOOKUP('1. SUMMARY'!$C$20,rate,Sheet1!AA$21,0),((IF(($F$84+$B$84+$C$84+$D$84+$E$84)&gt;=25000,0,(((25000-($B$84+$C$84+$D$84+$E$84+$F$84))/+$AH237)*X237)*(VLOOKUP('1. SUMMARY'!$C$20,rate,Sheet1!AA$21,0))))))))</f>
        <v>0</v>
      </c>
      <c r="Y238" s="415">
        <f>IF(Y237=0,0,(IF(($B$84+$C$84+$D$84+$E$84+$F$84+$G$84)&lt;=25000,(($G$84/+$AH237)*Y237)*VLOOKUP('1. SUMMARY'!$C$20,rate,Sheet1!AB$21,0),((IF(($F$84+$B$84+$C$84+$D$84+$E$84)&gt;=25000,0,(((25000-($B$84+$C$84+$D$84+$E$84+$F$84))/+$AH237)*Y237)*(VLOOKUP('1. SUMMARY'!$C$20,rate,Sheet1!AB$21,0))))))))</f>
        <v>0</v>
      </c>
      <c r="Z238" s="415">
        <f>IF(Z237=0,0,(IF(($B$84+$C$84+$D$84+$E$84+$F$84+$G$84)&lt;=25000,(($G$84/+$AH237)*Z237)*VLOOKUP('1. SUMMARY'!$C$20,rate,Sheet1!AC$21,0),((IF(($F$84+$B$84+$C$84+$D$84+$E$84)&gt;=25000,0,(((25000-($B$84+$C$84+$D$84+$E$84+$F$84))/+$AH237)*Z237)*(VLOOKUP('1. SUMMARY'!$C$20,rate,Sheet1!AC$21,0))))))))</f>
        <v>0</v>
      </c>
      <c r="AA238" s="415">
        <f>IF(AA237=0,0,(IF(($B$84+$C$84+$D$84+$E$84+$F$84+$G$84)&lt;=25000,(($G$84/+$AH237)*AA237)*VLOOKUP('1. SUMMARY'!$C$20,rate,Sheet1!AD$21,0),((IF(($F$84+$B$84+$C$84+$D$84+$E$84)&gt;=25000,0,(((25000-($B$84+$C$84+$D$84+$E$84+$F$84))/+$AH237)*AA237)*(VLOOKUP('1. SUMMARY'!$C$20,rate,Sheet1!AD$21,0))))))))</f>
        <v>0</v>
      </c>
      <c r="AB238" s="415">
        <f>IF(AB237=0,0,(IF(($B$84+$C$84+$D$84+$E$84+$F$84+$G$84)&lt;=25000,(($G$84/+$AH237)*AB237)*VLOOKUP('1. SUMMARY'!$C$20,rate,Sheet1!AE$21,0),((IF(($F$84+$B$84+$C$84+$D$84+$E$84)&gt;=25000,0,(((25000-($B$84+$C$84+$D$84+$E$84+$F$84))/+$AH237)*AB237)*(VLOOKUP('1. SUMMARY'!$C$20,rate,Sheet1!AE$21,0))))))))</f>
        <v>0</v>
      </c>
      <c r="AC238" s="415">
        <f>IF(AC237=0,0,(IF(($B$84+$C$84+$D$84+$E$84+$F$84+$G$84)&lt;=25000,(($G$84/+$AH237)*AC237)*VLOOKUP('1. SUMMARY'!$C$20,rate,Sheet1!AF$21,0),((IF(($F$84+$B$84+$C$84+$D$84+$E$84)&gt;=25000,0,(((25000-($B$84+$C$84+$D$84+$E$84+$F$84))/+$AH237)*AC237)*(VLOOKUP('1. SUMMARY'!$C$20,rate,Sheet1!AF$21,0))))))))</f>
        <v>0</v>
      </c>
      <c r="AD238" s="415">
        <f>IF(AD237=0,0,(IF(($B$84+$C$84+$D$84+$E$84+$F$84+$G$84)&lt;=25000,(($G$84/+$AH237)*AD237)*VLOOKUP('1. SUMMARY'!$C$20,rate,Sheet1!AG$21,0),((IF(($F$84+$B$84+$C$84+$D$84+$E$84)&gt;=25000,0,(((25000-($B$84+$C$84+$D$84+$E$84+$F$84))/+$AH237)*AD237)*(VLOOKUP('1. SUMMARY'!$C$20,rate,Sheet1!AG$21,0))))))))</f>
        <v>0</v>
      </c>
      <c r="AE238" s="415">
        <f>IF(AE237=0,0,(IF(($B$84+$C$84+$D$84+$E$84+$F$84+$G$84)&lt;=25000,(($G$84/+$AH237)*AE237)*VLOOKUP('1. SUMMARY'!$C$20,rate,Sheet1!AH$21,0),((IF(($F$84+$B$84+$C$84+$D$84+$E$84)&gt;=25000,0,(((25000-($B$84+$C$84+$D$84+$E$84+$F$84))/+$AH237)*AE237)*(VLOOKUP('1. SUMMARY'!$C$20,rate,Sheet1!AH$21,0))))))))</f>
        <v>0</v>
      </c>
      <c r="AF238" s="415">
        <f>IF(AF237=0,0,(IF(($B$84+$C$84+$D$84+$E$84+$F$84+$G$84)&lt;=25000,(($G$84/+$AH237)*AF237)*VLOOKUP('1. SUMMARY'!$C$20,rate,Sheet1!AI$21,0),((IF(($F$84+$B$84+$C$84+$D$84+$E$84)&gt;=25000,0,(((25000-($B$84+$C$84+$D$84+$E$84+$F$84))/+$AH237)*AF237)*(VLOOKUP('1. SUMMARY'!$C$20,rate,Sheet1!AI$21,0))))))))</f>
        <v>0</v>
      </c>
      <c r="AG238" s="415">
        <f>IF(AG237=0,0,(IF(($B$84+$C$84+$D$84+$E$84+$F$84+$G$84)&lt;=25000,(($G$84/+$AH237)*AG237)*VLOOKUP('1. SUMMARY'!$C$20,rate,Sheet1!AJ$21,0),((IF(($F$84+$B$84+$C$84+$D$84+$E$84)&gt;=25000,0,(((25000-($B$84+$C$84+$D$84+$E$84+$F$84))/+$AH237)*AG237)*(VLOOKUP('1. SUMMARY'!$C$20,rate,Sheet1!AJ$21,0))))))))</f>
        <v>0</v>
      </c>
      <c r="AH238" s="219">
        <f>SUM(Q238:AG238)</f>
        <v>0</v>
      </c>
      <c r="AI238" s="415">
        <f>IF(AI237=0,0,((+$G84/$AZ237)*AI237)*VLOOKUP('1. SUMMARY'!$C$20,rate,Sheet1!T$21,0))</f>
        <v>0</v>
      </c>
      <c r="AJ238" s="415">
        <f>IF(AJ237=0,0,((+$G84/$AZ237)*AJ237)*VLOOKUP('1. SUMMARY'!$C$20,rate,Sheet1!U$21,0))</f>
        <v>0</v>
      </c>
      <c r="AK238" s="415">
        <f>IF(AK237=0,0,((+$G84/$AZ237)*AK237)*VLOOKUP('1. SUMMARY'!$C$20,rate,Sheet1!V$21,0))</f>
        <v>0</v>
      </c>
      <c r="AL238" s="415">
        <f>IF(AL237=0,0,((+$G84/$AZ237)*AL237)*VLOOKUP('1. SUMMARY'!$C$20,rate,Sheet1!W$21,0))</f>
        <v>0</v>
      </c>
      <c r="AM238" s="415">
        <f>IF(AM237=0,0,((+$G84/$AZ237)*AM237)*VLOOKUP('1. SUMMARY'!$C$20,rate,Sheet1!X$21,0))</f>
        <v>0</v>
      </c>
      <c r="AN238" s="415">
        <f>IF(AN237=0,0,((+$G84/$AZ237)*AN237)*VLOOKUP('1. SUMMARY'!$C$20,rate,Sheet1!Y$21,0))</f>
        <v>0</v>
      </c>
      <c r="AO238" s="415">
        <f>IF(AO237=0,0,((+$G84/$AZ237)*AO237)*VLOOKUP('1. SUMMARY'!$C$20,rate,Sheet1!Z$21,0))</f>
        <v>0</v>
      </c>
      <c r="AP238" s="415">
        <f>IF(AP237=0,0,((+$G84/$AZ237)*AP237)*VLOOKUP('1. SUMMARY'!$C$20,rate,Sheet1!AA$21,0))</f>
        <v>0</v>
      </c>
      <c r="AQ238" s="415">
        <f>IF(AQ237=0,0,((+$G84/$AZ237)*AQ237)*VLOOKUP('1. SUMMARY'!$C$20,rate,Sheet1!AB$21,0))</f>
        <v>0</v>
      </c>
      <c r="AR238" s="415">
        <f>IF(AR237=0,0,((+$G84/$AZ237)*AR237)*VLOOKUP('1. SUMMARY'!$C$20,rate,Sheet1!AC$21,0))</f>
        <v>0</v>
      </c>
      <c r="AS238" s="415">
        <f>IF(AS237=0,0,((+$G84/$AZ237)*AS237)*VLOOKUP('1. SUMMARY'!$C$20,rate,Sheet1!AD$21,0))</f>
        <v>0</v>
      </c>
      <c r="AT238" s="415">
        <f>IF(AT237=0,0,((+$G84/$AZ237)*AT237)*VLOOKUP('1. SUMMARY'!$C$20,rate,Sheet1!AE$21,0))</f>
        <v>0</v>
      </c>
      <c r="AU238" s="415">
        <f>IF(AU237=0,0,((+$G84/$AZ237)*AU237)*VLOOKUP('1. SUMMARY'!$C$20,rate,Sheet1!AF$21,0))</f>
        <v>0</v>
      </c>
      <c r="AV238" s="415">
        <f>IF(AV237=0,0,((+$G84/$AZ237)*AV237)*VLOOKUP('1. SUMMARY'!$C$20,rate,Sheet1!AG$21,0))</f>
        <v>0</v>
      </c>
      <c r="AW238" s="415">
        <f>IF(AW237=0,0,((+$G84/$AZ237)*AW237)*VLOOKUP('1. SUMMARY'!$C$20,rate,Sheet1!AH$21,0))</f>
        <v>0</v>
      </c>
      <c r="AX238" s="415">
        <f>IF(AX237=0,0,((+$G84/$AZ237)*AX237)*VLOOKUP('1. SUMMARY'!$C$20,rate,Sheet1!AI$21,0))</f>
        <v>0</v>
      </c>
      <c r="AY238" s="415">
        <f>IF(AY237=0,0,((+$G84/$AZ237)*AY237)*VLOOKUP('1. SUMMARY'!$C$20,rate,Sheet1!AJ$21,0))</f>
        <v>0</v>
      </c>
      <c r="AZ238" s="219">
        <f>SUM(AI238:AY238)</f>
        <v>0</v>
      </c>
    </row>
    <row r="239" spans="1:52" ht="12.75" customHeight="1">
      <c r="A239" s="226" t="s">
        <v>153</v>
      </c>
      <c r="B239" s="233">
        <f>IF(B231="No "&amp;B230,0,IF('1. SUMMARY'!$Q$20=1,$AH673,$AZ673))</f>
        <v>0</v>
      </c>
      <c r="C239" s="233">
        <f>IF(C231="No "&amp;C230,0,IF('1. SUMMARY'!$Q$20=1,$AH678,$AZ678))</f>
        <v>0</v>
      </c>
      <c r="D239" s="233">
        <f>IF(D231="No "&amp;D230,0,IF('1. SUMMARY'!$Q$20=1,$AH683,$AZ683))</f>
        <v>0</v>
      </c>
      <c r="E239" s="233">
        <f>IF(E231="No "&amp;E230,0,IF('1. SUMMARY'!$Q$20=1,$AH688,$AZ688))</f>
        <v>0</v>
      </c>
      <c r="F239" s="233">
        <f>IF(F231="No "&amp;F230,0,IF('1. SUMMARY'!$Q$20=1,$AH693,$AZ693))</f>
        <v>0</v>
      </c>
      <c r="G239" s="233">
        <f>IF(G231="No "&amp;G230,0,IF('1. SUMMARY'!$Q$20=1,$AH698,$AZ698))</f>
        <v>0</v>
      </c>
      <c r="H239" s="233">
        <f>IF(H231="No "&amp;H230,0,IF('1. SUMMARY'!$Q$20=1,$AH703,$AZ703))</f>
        <v>0</v>
      </c>
      <c r="I239" s="233">
        <f>IF(I231="No "&amp;I230,0,IF('1. SUMMARY'!$Q$20=1,$AH708,$AZ708))</f>
        <v>0</v>
      </c>
      <c r="J239" s="233">
        <f>IF(J231="No "&amp;J230,0,IF('1. SUMMARY'!$Q$20=1,$AH713,$AZ713))</f>
        <v>0</v>
      </c>
      <c r="K239" s="233">
        <f>IF(K231="No "&amp;K230,0,IF('1. SUMMARY'!$Q$20=1,$AH718,$AZ718))</f>
        <v>0</v>
      </c>
      <c r="L239" s="229">
        <f>SUM(B239:K239)</f>
        <v>0</v>
      </c>
      <c r="P239" s="207">
        <f t="shared" si="110"/>
        <v>1</v>
      </c>
      <c r="Q239" s="415">
        <f>+Q238/VLOOKUP('1. SUMMARY'!$C$20,rate,Sheet1!T$21,0)</f>
        <v>0</v>
      </c>
      <c r="R239" s="415">
        <f>+R238/VLOOKUP('1. SUMMARY'!$C$20,rate,Sheet1!U$21,0)</f>
        <v>0</v>
      </c>
      <c r="S239" s="415">
        <f>+S238/VLOOKUP('1. SUMMARY'!$C$20,rate,Sheet1!V$21,0)</f>
        <v>0</v>
      </c>
      <c r="T239" s="415">
        <f>+T238/VLOOKUP('1. SUMMARY'!$C$20,rate,Sheet1!W$21,0)</f>
        <v>0</v>
      </c>
      <c r="U239" s="415">
        <f>+U238/VLOOKUP('1. SUMMARY'!$C$20,rate,Sheet1!X$21,0)</f>
        <v>0</v>
      </c>
      <c r="V239" s="415">
        <f>+V238/VLOOKUP('1. SUMMARY'!$C$20,rate,Sheet1!Y$21,0)</f>
        <v>0</v>
      </c>
      <c r="W239" s="415">
        <f>+W238/VLOOKUP('1. SUMMARY'!$C$20,rate,Sheet1!Z$21,0)</f>
        <v>0</v>
      </c>
      <c r="X239" s="415">
        <f>+X238/VLOOKUP('1. SUMMARY'!$C$20,rate,Sheet1!AA$21,0)</f>
        <v>0</v>
      </c>
      <c r="Y239" s="415">
        <f>+Y238/VLOOKUP('1. SUMMARY'!$C$20,rate,Sheet1!AB$21,0)</f>
        <v>0</v>
      </c>
      <c r="Z239" s="415">
        <f>+Z238/VLOOKUP('1. SUMMARY'!$C$20,rate,Sheet1!AC$21,0)</f>
        <v>0</v>
      </c>
      <c r="AA239" s="415">
        <f>+AA238/VLOOKUP('1. SUMMARY'!$C$20,rate,Sheet1!AD$21,0)</f>
        <v>0</v>
      </c>
      <c r="AB239" s="415">
        <f>+AB238/VLOOKUP('1. SUMMARY'!$C$20,rate,Sheet1!AE$21,0)</f>
        <v>0</v>
      </c>
      <c r="AC239" s="415">
        <f>+AC238/VLOOKUP('1. SUMMARY'!$C$20,rate,Sheet1!AF$21,0)</f>
        <v>0</v>
      </c>
      <c r="AD239" s="415">
        <f>+AD238/VLOOKUP('1. SUMMARY'!$C$20,rate,Sheet1!AG$21,0)</f>
        <v>0</v>
      </c>
      <c r="AE239" s="415">
        <f>+AE238/VLOOKUP('1. SUMMARY'!$C$20,rate,Sheet1!AH$21,0)</f>
        <v>0</v>
      </c>
      <c r="AF239" s="415">
        <f>+AF238/VLOOKUP('1. SUMMARY'!$C$20,rate,Sheet1!AI$21,0)</f>
        <v>0</v>
      </c>
      <c r="AG239" s="415">
        <f>+AG238/VLOOKUP('1. SUMMARY'!$C$20,rate,Sheet1!AJ$21,0)</f>
        <v>0</v>
      </c>
      <c r="AH239" s="219"/>
      <c r="AI239" s="415"/>
      <c r="AJ239" s="415"/>
      <c r="AK239" s="415"/>
      <c r="AL239" s="415"/>
      <c r="AM239" s="415"/>
      <c r="AN239" s="415"/>
      <c r="AO239" s="415"/>
      <c r="AP239" s="415"/>
      <c r="AQ239" s="415"/>
      <c r="AR239" s="415"/>
      <c r="AS239" s="415"/>
      <c r="AT239" s="415"/>
      <c r="AU239" s="415"/>
      <c r="AV239" s="415"/>
      <c r="AW239" s="415"/>
      <c r="AX239" s="415"/>
      <c r="AY239" s="415"/>
      <c r="AZ239" s="219"/>
    </row>
    <row r="240" spans="1:52" ht="12.75" customHeight="1">
      <c r="A240" s="216"/>
      <c r="B240" s="234"/>
      <c r="C240" s="234"/>
      <c r="D240" s="234"/>
      <c r="E240" s="234"/>
      <c r="F240" s="234"/>
      <c r="G240" s="234"/>
      <c r="H240" s="234"/>
      <c r="I240" s="234"/>
      <c r="J240" s="234"/>
      <c r="K240" s="234"/>
      <c r="L240" s="235"/>
      <c r="P240" s="207">
        <f t="shared" si="110"/>
        <v>1</v>
      </c>
      <c r="Q240" s="411">
        <f>Sheet1!$T$8</f>
        <v>44105</v>
      </c>
      <c r="R240" s="411">
        <f>Sheet1!$U$8</f>
        <v>44470</v>
      </c>
      <c r="S240" s="411">
        <f>Sheet1!$V$8</f>
        <v>44835</v>
      </c>
      <c r="T240" s="411">
        <f>Sheet1!$W$8</f>
        <v>45200</v>
      </c>
      <c r="U240" s="411">
        <f>Sheet1!$X$8</f>
        <v>45566</v>
      </c>
      <c r="V240" s="411">
        <f>Sheet1!$Y$8</f>
        <v>45931</v>
      </c>
      <c r="W240" s="411">
        <f>Sheet1!$Z$8</f>
        <v>46296</v>
      </c>
      <c r="X240" s="411">
        <f>Sheet1!$AA$8</f>
        <v>46661</v>
      </c>
      <c r="Y240" s="411">
        <f>Sheet1!$AB$8</f>
        <v>47027</v>
      </c>
      <c r="Z240" s="411">
        <f>Sheet1!$AC$8</f>
        <v>47392</v>
      </c>
      <c r="AA240" s="411">
        <f>$AA$5</f>
        <v>47757</v>
      </c>
      <c r="AB240" s="411">
        <f>$AB$5</f>
        <v>48122</v>
      </c>
      <c r="AC240" s="411">
        <f>$AC$5</f>
        <v>48488</v>
      </c>
      <c r="AD240" s="411">
        <f>$AD$5</f>
        <v>48853</v>
      </c>
      <c r="AE240" s="411">
        <f>$AE$5</f>
        <v>49218</v>
      </c>
      <c r="AF240" s="411">
        <f>$AF$5</f>
        <v>49583</v>
      </c>
      <c r="AG240" s="411">
        <f>$AG$5</f>
        <v>49949</v>
      </c>
      <c r="AH240" s="219"/>
      <c r="AI240" s="411">
        <f t="shared" ref="AI240:AR242" si="114">+Q240</f>
        <v>44105</v>
      </c>
      <c r="AJ240" s="411">
        <f t="shared" si="114"/>
        <v>44470</v>
      </c>
      <c r="AK240" s="411">
        <f t="shared" si="114"/>
        <v>44835</v>
      </c>
      <c r="AL240" s="411">
        <f t="shared" si="114"/>
        <v>45200</v>
      </c>
      <c r="AM240" s="411">
        <f t="shared" si="114"/>
        <v>45566</v>
      </c>
      <c r="AN240" s="411">
        <f t="shared" si="114"/>
        <v>45931</v>
      </c>
      <c r="AO240" s="411">
        <f t="shared" si="114"/>
        <v>46296</v>
      </c>
      <c r="AP240" s="411">
        <f t="shared" si="114"/>
        <v>46661</v>
      </c>
      <c r="AQ240" s="411">
        <f t="shared" si="114"/>
        <v>47027</v>
      </c>
      <c r="AR240" s="411">
        <f t="shared" si="114"/>
        <v>47392</v>
      </c>
      <c r="AS240" s="411">
        <f t="shared" ref="AS240:AY242" si="115">+AA240</f>
        <v>47757</v>
      </c>
      <c r="AT240" s="411">
        <f t="shared" si="115"/>
        <v>48122</v>
      </c>
      <c r="AU240" s="411">
        <f t="shared" si="115"/>
        <v>48488</v>
      </c>
      <c r="AV240" s="411">
        <f t="shared" si="115"/>
        <v>48853</v>
      </c>
      <c r="AW240" s="411">
        <f t="shared" si="115"/>
        <v>49218</v>
      </c>
      <c r="AX240" s="411">
        <f t="shared" si="115"/>
        <v>49583</v>
      </c>
      <c r="AY240" s="411">
        <f t="shared" si="115"/>
        <v>49949</v>
      </c>
      <c r="AZ240" s="219"/>
    </row>
    <row r="241" spans="1:52" ht="12.75" customHeight="1" thickBot="1">
      <c r="A241" s="236" t="s">
        <v>154</v>
      </c>
      <c r="B241" s="237">
        <f>SUM(B237:B239)</f>
        <v>0</v>
      </c>
      <c r="C241" s="237" t="str">
        <f>IF(C231="No Year 2","",SUM(C237:C239))</f>
        <v/>
      </c>
      <c r="D241" s="237" t="str">
        <f>IF(D231="No Year 3","",SUM(D237:D239))</f>
        <v/>
      </c>
      <c r="E241" s="237" t="str">
        <f>IF(E231="No Year 4","",SUM(E237:E239))</f>
        <v/>
      </c>
      <c r="F241" s="237" t="str">
        <f>IF(F231="No Year 5","",SUM(F237:F239))</f>
        <v/>
      </c>
      <c r="G241" s="237" t="str">
        <f>IF(G231="No Year 6","",SUM(G237:G239))</f>
        <v/>
      </c>
      <c r="H241" s="237" t="str">
        <f>IF(H231="No Year 7","",SUM(H237:H239))</f>
        <v/>
      </c>
      <c r="I241" s="237" t="str">
        <f>IF(I231="No Year 8","",SUM(I237:I239))</f>
        <v/>
      </c>
      <c r="J241" s="237" t="str">
        <f>IF(J231="No Year 9","",SUM(J237:J239))</f>
        <v/>
      </c>
      <c r="K241" s="237" t="str">
        <f>IF(K231="No Year 10","",SUM(K237:K239))</f>
        <v/>
      </c>
      <c r="L241" s="238">
        <f>SUM(B241:K241)</f>
        <v>0</v>
      </c>
      <c r="N241" s="86">
        <f>IF(L241&gt;0,1,0)</f>
        <v>0</v>
      </c>
      <c r="P241" s="207">
        <f t="shared" si="110"/>
        <v>1</v>
      </c>
      <c r="Q241" s="411">
        <f>Sheet1!$T$9</f>
        <v>44469</v>
      </c>
      <c r="R241" s="411">
        <f>Sheet1!$U$9</f>
        <v>44834</v>
      </c>
      <c r="S241" s="411">
        <f>Sheet1!$V$9</f>
        <v>45199</v>
      </c>
      <c r="T241" s="411">
        <f>Sheet1!$W$9</f>
        <v>45565</v>
      </c>
      <c r="U241" s="411">
        <f>Sheet1!$X$9</f>
        <v>45930</v>
      </c>
      <c r="V241" s="411">
        <f>Sheet1!$Y$9</f>
        <v>46295</v>
      </c>
      <c r="W241" s="411">
        <f>Sheet1!$Z$9</f>
        <v>46660</v>
      </c>
      <c r="X241" s="411">
        <f>Sheet1!$AA$9</f>
        <v>47026</v>
      </c>
      <c r="Y241" s="411">
        <f>Sheet1!$AB$9</f>
        <v>47391</v>
      </c>
      <c r="Z241" s="411">
        <f>Sheet1!$AC$9</f>
        <v>47756</v>
      </c>
      <c r="AA241" s="411">
        <f>$AA$6</f>
        <v>48121</v>
      </c>
      <c r="AB241" s="411">
        <f>$AB$6</f>
        <v>48487</v>
      </c>
      <c r="AC241" s="411">
        <f>$AC$6</f>
        <v>48852</v>
      </c>
      <c r="AD241" s="411">
        <f>$AD$6</f>
        <v>49217</v>
      </c>
      <c r="AE241" s="411">
        <f>$AE$6</f>
        <v>49582</v>
      </c>
      <c r="AF241" s="411">
        <f>$AF$6</f>
        <v>49948</v>
      </c>
      <c r="AG241" s="411">
        <f>$AG$6</f>
        <v>50313</v>
      </c>
      <c r="AH241" s="219"/>
      <c r="AI241" s="411">
        <f t="shared" si="114"/>
        <v>44469</v>
      </c>
      <c r="AJ241" s="411">
        <f t="shared" si="114"/>
        <v>44834</v>
      </c>
      <c r="AK241" s="411">
        <f t="shared" si="114"/>
        <v>45199</v>
      </c>
      <c r="AL241" s="411">
        <f t="shared" si="114"/>
        <v>45565</v>
      </c>
      <c r="AM241" s="411">
        <f t="shared" si="114"/>
        <v>45930</v>
      </c>
      <c r="AN241" s="411">
        <f t="shared" si="114"/>
        <v>46295</v>
      </c>
      <c r="AO241" s="411">
        <f t="shared" si="114"/>
        <v>46660</v>
      </c>
      <c r="AP241" s="411">
        <f t="shared" si="114"/>
        <v>47026</v>
      </c>
      <c r="AQ241" s="411">
        <f t="shared" si="114"/>
        <v>47391</v>
      </c>
      <c r="AR241" s="411">
        <f t="shared" si="114"/>
        <v>47756</v>
      </c>
      <c r="AS241" s="411">
        <f t="shared" si="115"/>
        <v>48121</v>
      </c>
      <c r="AT241" s="411">
        <f t="shared" si="115"/>
        <v>48487</v>
      </c>
      <c r="AU241" s="411">
        <f t="shared" si="115"/>
        <v>48852</v>
      </c>
      <c r="AV241" s="411">
        <f t="shared" si="115"/>
        <v>49217</v>
      </c>
      <c r="AW241" s="411">
        <f t="shared" si="115"/>
        <v>49582</v>
      </c>
      <c r="AX241" s="411">
        <f t="shared" si="115"/>
        <v>49948</v>
      </c>
      <c r="AY241" s="411">
        <f t="shared" si="115"/>
        <v>50313</v>
      </c>
      <c r="AZ241" s="219"/>
    </row>
    <row r="242" spans="1:52" ht="12.75" customHeight="1" thickTop="1">
      <c r="O242" s="207">
        <v>7</v>
      </c>
      <c r="P242" s="207">
        <f t="shared" si="110"/>
        <v>1</v>
      </c>
      <c r="Q242" s="412">
        <f>IF(IF(Q241&lt;$H$27,0,DATEDIF($H$27,Q241+1,"m"))&lt;0,0,IF(Q241&lt;$H$27,0,DATEDIF($H$27,Q241+1,"m")))</f>
        <v>0</v>
      </c>
      <c r="R242" s="412">
        <f>IF(IF(Q242=12,0,IF(R241&gt;$H$28,12-DATEDIF($H$28,R241+1,"m"),IF(R241&lt;$H$27,0,DATEDIF($H$27,R241+1,"m"))))&lt;0,0,IF(Q242=12,0,IF(R241&gt;$H$28,12-DATEDIF($H$28,R241+1,"m"),IF(R241&lt;$H$27,0,DATEDIF($H$27,R241+1,"m")))))</f>
        <v>0</v>
      </c>
      <c r="S242" s="412">
        <f>IF(IF(Q242+R242=12,0,IF(S241&gt;$H$28,12-DATEDIF($H$28,S241+1,"m"),IF(S241&lt;$H$27,0,DATEDIF($H$27,S241+1,"m"))))&lt;0,0,IF(Q242+R242=12,0,IF(S241&gt;$H$28,12-DATEDIF($H$28,S241+1,"m"),IF(S241&lt;$H$27,0,DATEDIF($H$27,S241+1,"m")))))</f>
        <v>0</v>
      </c>
      <c r="T242" s="412">
        <f>IF(IF(R242+S242+Q242=12,0,IF(T241&gt;$H$28,12-DATEDIF($H$28,T241+1,"m"),IF(T241&lt;$H$27,0,DATEDIF($H$27,T241+1,"m"))))&lt;0,0,IF(R242+S242+Q242=12,0,IF(T241&gt;$H$28,12-DATEDIF($H$28,T241+1,"m"),IF(T241&lt;$H$27,0,DATEDIF($H$27,T241+1,"m")))))</f>
        <v>0</v>
      </c>
      <c r="U242" s="412">
        <f>IF(IF(S242+T242+R242+Q242=12,0,IF(U241&gt;$H$28,12-DATEDIF($H$28,U241+1,"m"),IF(U241&lt;$H$27,0,DATEDIF($H$27,U241+1,"m"))))&lt;0,0,IF(S242+T242+R242+Q242=12,0,IF(U241&gt;$H$28,12-DATEDIF($H$28,U241+1,"m"),IF(U241&lt;$H$27,0,DATEDIF($H$27,U241+1,"m")))))</f>
        <v>0</v>
      </c>
      <c r="V242" s="412">
        <f>IF(IF(T242+U242+S242+R242+Q242=12,0,IF(V241&gt;$H$28,12-DATEDIF($H$28,V241+1,"m"),IF(V241&lt;$H$27,0,DATEDIF($H$27,V241+1,"m"))))&lt;0,0,IF(T242+U242+S242+R242+Q242=12,0,IF(V241&gt;$H$28,12-DATEDIF($H$28,V241+1,"m"),IF(V241&lt;$H$27,0,DATEDIF($H$27,V241+1,"m")))))</f>
        <v>0</v>
      </c>
      <c r="W242" s="412">
        <f>IF(IF(U242+V242+T242+S242+R242+Q242=12,0,IF(W241&gt;$H$28,12-DATEDIF($H$28,W241+1,"m"),IF(W241&lt;$H$27,0,DATEDIF($H$27,W241+1,"m"))))&lt;0,0,IF(U242+V242+T242+S242+R242+Q242=12,0,IF(W241&gt;$H$28,12-DATEDIF($H$28,W241+1,"m"),IF(W241&lt;$H$27,0,DATEDIF($H$27,W241+1,"m")))))</f>
        <v>0</v>
      </c>
      <c r="X242" s="412">
        <f>IF(IF(V242+W242+U242+T242+S242+R242+Q242=12,0,IF(X241&gt;$H$28,12-DATEDIF($H$28,X241+1,"m"),IF(X241&lt;$H$27,0,DATEDIF($H$27,X241+1,"m"))))&lt;0,0,IF(V242+W242+U242+T242+S242+R242+Q242=12,0,IF(X241&gt;$H$28,12-DATEDIF($H$28,X241+1,"m"),IF(X241&lt;$H$27,0,DATEDIF($H$27,X241+1,"m")))))</f>
        <v>0</v>
      </c>
      <c r="Y242" s="412">
        <f>IF(IF(W242+X242+V242+U242+T242+S242+R242+Q242=12,0,IF(Y241&gt;$H$28,12-DATEDIF($H$28,Y241+1,"m"),IF(Y241&lt;$H$27,0,DATEDIF($H$27,Y241+1,"m"))))&lt;0,0,IF(W242+X242+V242+U242+T242+S242+R242+Q242=12,0,IF(Y241&gt;$H$28,12-DATEDIF($H$28,Y241+1,"m"),IF(Y241&lt;$H$27,0,DATEDIF($H$27,Y241+1,"m")))))</f>
        <v>0</v>
      </c>
      <c r="Z242" s="412">
        <f>IF(IF(X242+Y242+W242+V242+U242+T242+S242+R242+Q242=12,0,IF(Z241&gt;$H$28,12-DATEDIF($H$28,Z241+1,"m"),IF(Z241&lt;$H$27,0,DATEDIF($H$27,Z241+1,"m"))))&lt;0,0,IF(X242+Y242+W242+V242+U242+T242+S242+R242+Q242=12,0,IF(Z241&gt;$H$28,12-DATEDIF($H$28,Z241+1,"m"),IF(Z241&lt;$H$27,0,DATEDIF($H$27,Z241+1,"m")))))</f>
        <v>0</v>
      </c>
      <c r="AA242" s="412">
        <f>IF(IF(Q242+R242+S242+Y242+Z242+X242+W242+V242+U242+T242=12,0,IF(AA241&gt;$H$28,12-DATEDIF($H$28,AA241+1,"m"),IF(AA241&lt;$H$27,0,DATEDIF($H$27,AA241+1,"m"))))&lt;0,0,IF(Q242+R242+S242+Y242+Z242+X242+W242+V242+U242+T242=12,0,IF(AA241&gt;$H$28,12-DATEDIF($H$28,AA241+1,"m"),IF(AA241&lt;$H$27,0,DATEDIF($H$27,AA241+1,"m")))))</f>
        <v>0</v>
      </c>
      <c r="AB242" s="412">
        <f>IF(IF(Q242+R242+S242+T242+Z242+AA242+Y242+X242+W242+V242+U242=12,0,IF(AB241&gt;$H$28,12-DATEDIF($H$28,AB241+1,"m"),IF(AB241&lt;$H$27,0,DATEDIF($H$27,AB241+1,"m"))))&lt;0,0,IF(Q242+R242+S242+T242+Z242+AA242+Y242+X242+W242+V242+U242=12,0,IF(AB241&gt;$H$28,12-DATEDIF($H$28,AB241+1,"m"),IF(AB241&lt;$H$27,0,DATEDIF($H$27,AB241+1,"m")))))</f>
        <v>0</v>
      </c>
      <c r="AC242" s="412">
        <f>IF(IF(Q242+R242+S242+T242+U242+AA242+AB242+Z242+Y242+X242+W242+V242=12,0,IF(AC241&gt;$H$28,12-DATEDIF($H$28,AC241+1,"m"),IF(AC241&lt;$H$27,0,DATEDIF($H$27,AC241+1,"m"))))&lt;0,0,IF(Q242+R242+S242+T242+U242+AA242+AB242+Z242+Y242+X242+W242+V242=12,0,IF(AC241&gt;$H$28,12-DATEDIF($H$28,AC241+1,"m"),IF(AC241&lt;$H$27,0,DATEDIF($H$27,AC241+1,"m")))))</f>
        <v>0</v>
      </c>
      <c r="AD242" s="412">
        <f>IF(IF(Q242+R242+S242+T242+U242+V242+AB242+AC242+AA242+Z242+Y242+X242+W242=12,0,IF(AD241&gt;$H$28,12-DATEDIF($H$28,AD241+1,"m"),IF(AD241&lt;$H$27,0,DATEDIF($H$27,AD241+1,"m"))))&lt;0,0,IF(Q242+R242+S242+T242+U242+V242+AB242+AC242+AA242+Z242+Y242+X242+W242=12,0,IF(AD241&gt;$H$28,12-DATEDIF($H$28,AD241+1,"m"),IF(AD241&lt;$H$27,0,DATEDIF($H$27,AD241+1,"m")))))</f>
        <v>0</v>
      </c>
      <c r="AE242" s="412">
        <f>IF(IF(Q242+R242+S242+T242+U242+V242+W242+AC242+AD242+AB242+AA242+Z242+Y242+X242=12,0,IF(AE241&gt;$H$28,12-DATEDIF($H$28,AE241+1,"m"),IF(AE241&lt;$H$27,0,DATEDIF($H$27,AE241+1,"m"))))&lt;0,0,IF(Q242+R242+S242+T242+U242+V242+W242+AC242+AD242+AB242+AA242+Z242+Y242+X242=12,0,IF(AE241&gt;$H$28,12-DATEDIF($H$28,AE241+1,"m"),IF(AE241&lt;$H$27,0,DATEDIF($H$27,AE241+1,"m")))))</f>
        <v>0</v>
      </c>
      <c r="AF242" s="412">
        <f>IF(IF(Q242+R242+S242+T242+U242+V242+W242+X242+AD242+AE242+AC242+AB242+AA242+Z242+Y242=12,0,IF(AF241&gt;$H$28,12-DATEDIF($H$28,AF241+1,"m"),IF(AF241&lt;$H$27,0,DATEDIF($H$27,AF241+1,"m"))))&lt;0,0,IF(Q242+R242+S242+T242+U242+V242+W242+X242+AD242+AE242+AC242+AB242+AA242+Z242+Y242=12,0,IF(AF241&gt;$H$28,12-DATEDIF($H$28,AF241+1,"m"),IF(AF241&lt;$H$27,0,DATEDIF($H$27,AF241+1,"m")))))</f>
        <v>0</v>
      </c>
      <c r="AG242" s="412">
        <f>IF(IF(Q242+R242+S242+T242+U242+V242+W242+X242+Y242+AE242+AF242+AD242+AC242+AB242+AA242+Z242=12,0,IF(AG241&gt;$H$28,12-DATEDIF($H$28,AG241+1,"m"),IF(AG241&lt;$H$27,0,DATEDIF($H$27,AG241+1,"m"))))&lt;0,0,IF(Q242+R242+S242+T242+U242+V242+W242+X242+Y242+AE242+AF242+AD242+AC242+AB242+AA242+Z242=12,0,IF(AG241&gt;$H$28,12-DATEDIF($H$28,AG241+1,"m"),IF(AG241&lt;$H$27,0,DATEDIF($H$27,AG241+1,"m")))))</f>
        <v>0</v>
      </c>
      <c r="AH242" s="423">
        <f>SUM(Q242:AG242)</f>
        <v>0</v>
      </c>
      <c r="AI242" s="412">
        <f t="shared" si="114"/>
        <v>0</v>
      </c>
      <c r="AJ242" s="412">
        <f t="shared" si="114"/>
        <v>0</v>
      </c>
      <c r="AK242" s="412">
        <f t="shared" si="114"/>
        <v>0</v>
      </c>
      <c r="AL242" s="412">
        <f t="shared" si="114"/>
        <v>0</v>
      </c>
      <c r="AM242" s="412">
        <f t="shared" si="114"/>
        <v>0</v>
      </c>
      <c r="AN242" s="412">
        <f t="shared" si="114"/>
        <v>0</v>
      </c>
      <c r="AO242" s="412">
        <f t="shared" si="114"/>
        <v>0</v>
      </c>
      <c r="AP242" s="412">
        <f t="shared" si="114"/>
        <v>0</v>
      </c>
      <c r="AQ242" s="412">
        <f t="shared" si="114"/>
        <v>0</v>
      </c>
      <c r="AR242" s="412">
        <f t="shared" si="114"/>
        <v>0</v>
      </c>
      <c r="AS242" s="412">
        <f t="shared" si="115"/>
        <v>0</v>
      </c>
      <c r="AT242" s="412">
        <f t="shared" si="115"/>
        <v>0</v>
      </c>
      <c r="AU242" s="412">
        <f t="shared" si="115"/>
        <v>0</v>
      </c>
      <c r="AV242" s="412">
        <f t="shared" si="115"/>
        <v>0</v>
      </c>
      <c r="AW242" s="412">
        <f t="shared" si="115"/>
        <v>0</v>
      </c>
      <c r="AX242" s="412">
        <f t="shared" si="115"/>
        <v>0</v>
      </c>
      <c r="AY242" s="412">
        <f t="shared" si="115"/>
        <v>0</v>
      </c>
      <c r="AZ242" s="219">
        <f>SUM(AI242:AY242)</f>
        <v>0</v>
      </c>
    </row>
    <row r="243" spans="1:52" ht="12.75" customHeight="1" thickBot="1">
      <c r="P243" s="207">
        <f t="shared" si="110"/>
        <v>1</v>
      </c>
      <c r="Q243" s="412">
        <f>IF(Q242=0,0,(IF(($B$84+$C$84+$D$84+$E$84+$F$84+$G$84+$H$84)&lt;=25000,(($H$84/+$AH242)*Q242)*VLOOKUP('1. SUMMARY'!$C$20,rate,Sheet1!T$21,0),((IF(($F$84+$B$84+$C$84+$D$84+$E$84+$G$84)&gt;=25000,0,(((25000-($B$84+$C$84+$D$84+$E$84+$F$84+$G$84))/+$AH242)*Q242)*(VLOOKUP('1. SUMMARY'!$C$20,rate,Sheet1!T$21,0))))))))</f>
        <v>0</v>
      </c>
      <c r="R243" s="412">
        <f>IF(R242=0,0,(IF(($B$84+$C$84+$D$84+$E$84+$F$84+$G$84+$H$84)&lt;=25000,(($H$84/+$AH242)*R242)*VLOOKUP('1. SUMMARY'!$C$20,rate,Sheet1!U$21,0),((IF(($F$84+$B$84+$C$84+$D$84+$E$84+$G$84)&gt;=25000,0,(((25000-($B$84+$C$84+$D$84+$E$84+$F$84+$G$84))/+$AH242)*R242)*(VLOOKUP('1. SUMMARY'!$C$20,rate,Sheet1!U$21,0))))))))</f>
        <v>0</v>
      </c>
      <c r="S243" s="412">
        <f>IF(S242=0,0,(IF(($B$84+$C$84+$D$84+$E$84+$F$84+$G$84+$H$84)&lt;=25000,(($H$84/+$AH242)*S242)*VLOOKUP('1. SUMMARY'!$C$20,rate,Sheet1!V$21,0),((IF(($F$84+$B$84+$C$84+$D$84+$E$84+$G$84)&gt;=25000,0,(((25000-($B$84+$C$84+$D$84+$E$84+$F$84+$G$84))/+$AH242)*S242)*(VLOOKUP('1. SUMMARY'!$C$20,rate,Sheet1!V$21,0))))))))</f>
        <v>0</v>
      </c>
      <c r="T243" s="412">
        <f>IF(T242=0,0,(IF(($B$84+$C$84+$D$84+$E$84+$F$84+$G$84+$H$84)&lt;=25000,(($H$84/+$AH242)*T242)*VLOOKUP('1. SUMMARY'!$C$20,rate,Sheet1!W$21,0),((IF(($F$84+$B$84+$C$84+$D$84+$E$84+$G$84)&gt;=25000,0,(((25000-($B$84+$C$84+$D$84+$E$84+$F$84+$G$84))/+$AH242)*T242)*(VLOOKUP('1. SUMMARY'!$C$20,rate,Sheet1!W$21,0))))))))</f>
        <v>0</v>
      </c>
      <c r="U243" s="412">
        <f>IF(U242=0,0,(IF(($B$84+$C$84+$D$84+$E$84+$F$84+$G$84+$H$84)&lt;=25000,(($H$84/+$AH242)*U242)*VLOOKUP('1. SUMMARY'!$C$20,rate,Sheet1!X$21,0),((IF(($F$84+$B$84+$C$84+$D$84+$E$84+$G$84)&gt;=25000,0,(((25000-($B$84+$C$84+$D$84+$E$84+$F$84+$G$84))/+$AH242)*U242)*(VLOOKUP('1. SUMMARY'!$C$20,rate,Sheet1!X$21,0))))))))</f>
        <v>0</v>
      </c>
      <c r="V243" s="412">
        <f>IF(V242=0,0,(IF(($B$84+$C$84+$D$84+$E$84+$F$84+$G$84+$H$84)&lt;=25000,(($H$84/+$AH242)*V242)*VLOOKUP('1. SUMMARY'!$C$20,rate,Sheet1!Y$21,0),((IF(($F$84+$B$84+$C$84+$D$84+$E$84+$G$84)&gt;=25000,0,(((25000-($B$84+$C$84+$D$84+$E$84+$F$84+$G$84))/+$AH242)*V242)*(VLOOKUP('1. SUMMARY'!$C$20,rate,Sheet1!Y$21,0))))))))</f>
        <v>0</v>
      </c>
      <c r="W243" s="412">
        <f>IF(W242=0,0,(IF(($B$84+$C$84+$D$84+$E$84+$F$84+$G$84+$H$84)&lt;=25000,(($H$84/+$AH242)*W242)*VLOOKUP('1. SUMMARY'!$C$20,rate,Sheet1!Z$21,0),((IF(($F$84+$B$84+$C$84+$D$84+$E$84+$G$84)&gt;=25000,0,(((25000-($B$84+$C$84+$D$84+$E$84+$F$84+$G$84))/+$AH242)*W242)*(VLOOKUP('1. SUMMARY'!$C$20,rate,Sheet1!Z$21,0))))))))</f>
        <v>0</v>
      </c>
      <c r="X243" s="412">
        <f>IF(X242=0,0,(IF(($B$84+$C$84+$D$84+$E$84+$F$84+$G$84+$H$84)&lt;=25000,(($H$84/+$AH242)*X242)*VLOOKUP('1. SUMMARY'!$C$20,rate,Sheet1!AA$21,0),((IF(($F$84+$B$84+$C$84+$D$84+$E$84+$G$84)&gt;=25000,0,(((25000-($B$84+$C$84+$D$84+$E$84+$F$84+$G$84))/+$AH242)*X242)*(VLOOKUP('1. SUMMARY'!$C$20,rate,Sheet1!AA$21,0))))))))</f>
        <v>0</v>
      </c>
      <c r="Y243" s="412">
        <f>IF(Y242=0,0,(IF(($B$84+$C$84+$D$84+$E$84+$F$84+$G$84+$H$84)&lt;=25000,(($H$84/+$AH242)*Y242)*VLOOKUP('1. SUMMARY'!$C$20,rate,Sheet1!AB$21,0),((IF(($F$84+$B$84+$C$84+$D$84+$E$84+$G$84)&gt;=25000,0,(((25000-($B$84+$C$84+$D$84+$E$84+$F$84+$G$84))/+$AH242)*Y242)*(VLOOKUP('1. SUMMARY'!$C$20,rate,Sheet1!AB$21,0))))))))</f>
        <v>0</v>
      </c>
      <c r="Z243" s="412">
        <f>IF(Z242=0,0,(IF(($B$84+$C$84+$D$84+$E$84+$F$84+$G$84+$H$84)&lt;=25000,(($H$84/+$AH242)*Z242)*VLOOKUP('1. SUMMARY'!$C$20,rate,Sheet1!AC$21,0),((IF(($F$84+$B$84+$C$84+$D$84+$E$84+$G$84)&gt;=25000,0,(((25000-($B$84+$C$84+$D$84+$E$84+$F$84+$G$84))/+$AH242)*Z242)*(VLOOKUP('1. SUMMARY'!$C$20,rate,Sheet1!AC$21,0))))))))</f>
        <v>0</v>
      </c>
      <c r="AA243" s="412">
        <f>IF(AA242=0,0,(IF(($B$84+$C$84+$D$84+$E$84+$F$84+$G$84+$H$84)&lt;=25000,(($H$84/+$AH242)*AA242)*VLOOKUP('1. SUMMARY'!$C$20,rate,Sheet1!AD$21,0),((IF(($F$84+$B$84+$C$84+$D$84+$E$84+$G$84)&gt;=25000,0,(((25000-($B$84+$C$84+$D$84+$E$84+$F$84+$G$84))/+$AH242)*AA242)*(VLOOKUP('1. SUMMARY'!$C$20,rate,Sheet1!AD$21,0))))))))</f>
        <v>0</v>
      </c>
      <c r="AB243" s="412">
        <f>IF(AB242=0,0,(IF(($B$84+$C$84+$D$84+$E$84+$F$84+$G$84+$H$84)&lt;=25000,(($H$84/+$AH242)*AB242)*VLOOKUP('1. SUMMARY'!$C$20,rate,Sheet1!AE$21,0),((IF(($F$84+$B$84+$C$84+$D$84+$E$84+$G$84)&gt;=25000,0,(((25000-($B$84+$C$84+$D$84+$E$84+$F$84+$G$84))/+$AH242)*AB242)*(VLOOKUP('1. SUMMARY'!$C$20,rate,Sheet1!AE$21,0))))))))</f>
        <v>0</v>
      </c>
      <c r="AC243" s="412">
        <f>IF(AC242=0,0,(IF(($B$84+$C$84+$D$84+$E$84+$F$84+$G$84+$H$84)&lt;=25000,(($H$84/+$AH242)*AC242)*VLOOKUP('1. SUMMARY'!$C$20,rate,Sheet1!AF$21,0),((IF(($F$84+$B$84+$C$84+$D$84+$E$84+$G$84)&gt;=25000,0,(((25000-($B$84+$C$84+$D$84+$E$84+$F$84+$G$84))/+$AH242)*AC242)*(VLOOKUP('1. SUMMARY'!$C$20,rate,Sheet1!AF$21,0))))))))</f>
        <v>0</v>
      </c>
      <c r="AD243" s="412">
        <f>IF(AD242=0,0,(IF(($B$84+$C$84+$D$84+$E$84+$F$84+$G$84+$H$84)&lt;=25000,(($H$84/+$AH242)*AD242)*VLOOKUP('1. SUMMARY'!$C$20,rate,Sheet1!AG$21,0),((IF(($F$84+$B$84+$C$84+$D$84+$E$84+$G$84)&gt;=25000,0,(((25000-($B$84+$C$84+$D$84+$E$84+$F$84+$G$84))/+$AH242)*AD242)*(VLOOKUP('1. SUMMARY'!$C$20,rate,Sheet1!AG$21,0))))))))</f>
        <v>0</v>
      </c>
      <c r="AE243" s="412">
        <f>IF(AE242=0,0,(IF(($B$84+$C$84+$D$84+$E$84+$F$84+$G$84+$H$84)&lt;=25000,(($H$84/+$AH242)*AE242)*VLOOKUP('1. SUMMARY'!$C$20,rate,Sheet1!AH$21,0),((IF(($F$84+$B$84+$C$84+$D$84+$E$84+$G$84)&gt;=25000,0,(((25000-($B$84+$C$84+$D$84+$E$84+$F$84+$G$84))/+$AH242)*AE242)*(VLOOKUP('1. SUMMARY'!$C$20,rate,Sheet1!AH$21,0))))))))</f>
        <v>0</v>
      </c>
      <c r="AF243" s="412">
        <f>IF(AF242=0,0,(IF(($B$84+$C$84+$D$84+$E$84+$F$84+$G$84+$H$84)&lt;=25000,(($H$84/+$AH242)*AF242)*VLOOKUP('1. SUMMARY'!$C$20,rate,Sheet1!AI$21,0),((IF(($F$84+$B$84+$C$84+$D$84+$E$84+$G$84)&gt;=25000,0,(((25000-($B$84+$C$84+$D$84+$E$84+$F$84+$G$84))/+$AH242)*AF242)*(VLOOKUP('1. SUMMARY'!$C$20,rate,Sheet1!AI$21,0))))))))</f>
        <v>0</v>
      </c>
      <c r="AG243" s="412">
        <f>IF(AG242=0,0,(IF(($B$84+$C$84+$D$84+$E$84+$F$84+$G$84+$H$84)&lt;=25000,(($H$84/+$AH242)*AG242)*VLOOKUP('1. SUMMARY'!$C$20,rate,Sheet1!AJ$21,0),((IF(($F$84+$B$84+$C$84+$D$84+$E$84+$G$84)&gt;=25000,0,(((25000-($B$84+$C$84+$D$84+$E$84+$F$84+$G$84))/+$AH242)*AG242)*(VLOOKUP('1. SUMMARY'!$C$20,rate,Sheet1!AJ$21,0))))))))</f>
        <v>0</v>
      </c>
      <c r="AH243" s="219">
        <f>SUM(Q243:AG243)</f>
        <v>0</v>
      </c>
      <c r="AI243" s="412">
        <f>IF(AI242=0,0,((+$H84/$AZ242)*AI242)*VLOOKUP('1. SUMMARY'!$C$20,rate,Sheet1!T$21,0))</f>
        <v>0</v>
      </c>
      <c r="AJ243" s="412">
        <f>IF(AJ242=0,0,((+$H84/$AZ242)*AJ242)*VLOOKUP('1. SUMMARY'!$C$20,rate,Sheet1!U$21,0))</f>
        <v>0</v>
      </c>
      <c r="AK243" s="412">
        <f>IF(AK242=0,0,((+$H84/$AZ242)*AK242)*VLOOKUP('1. SUMMARY'!$C$20,rate,Sheet1!V$21,0))</f>
        <v>0</v>
      </c>
      <c r="AL243" s="412">
        <f>IF(AL242=0,0,((+$H84/$AZ242)*AL242)*VLOOKUP('1. SUMMARY'!$C$20,rate,Sheet1!W$21,0))</f>
        <v>0</v>
      </c>
      <c r="AM243" s="412">
        <f>IF(AM242=0,0,((+$H84/$AZ242)*AM242)*VLOOKUP('1. SUMMARY'!$C$20,rate,Sheet1!X$21,0))</f>
        <v>0</v>
      </c>
      <c r="AN243" s="412">
        <f>IF(AN242=0,0,((+$H84/$AZ242)*AN242)*VLOOKUP('1. SUMMARY'!$C$20,rate,Sheet1!Y$21,0))</f>
        <v>0</v>
      </c>
      <c r="AO243" s="412">
        <f>IF(AO242=0,0,((+$H84/$AZ242)*AO242)*VLOOKUP('1. SUMMARY'!$C$20,rate,Sheet1!Z$21,0))</f>
        <v>0</v>
      </c>
      <c r="AP243" s="412">
        <f>IF(AP242=0,0,((+$H84/$AZ242)*AP242)*VLOOKUP('1. SUMMARY'!$C$20,rate,Sheet1!AA$21,0))</f>
        <v>0</v>
      </c>
      <c r="AQ243" s="412">
        <f>IF(AQ242=0,0,((+$H84/$AZ242)*AQ242)*VLOOKUP('1. SUMMARY'!$C$20,rate,Sheet1!AB$21,0))</f>
        <v>0</v>
      </c>
      <c r="AR243" s="412">
        <f>IF(AR242=0,0,((+$H84/$AZ242)*AR242)*VLOOKUP('1. SUMMARY'!$C$20,rate,Sheet1!AC$21,0))</f>
        <v>0</v>
      </c>
      <c r="AS243" s="412">
        <f>IF(AS242=0,0,((+$H84/$AZ242)*AS242)*VLOOKUP('1. SUMMARY'!$C$20,rate,Sheet1!AD$21,0))</f>
        <v>0</v>
      </c>
      <c r="AT243" s="412">
        <f>IF(AT242=0,0,((+$H84/$AZ242)*AT242)*VLOOKUP('1. SUMMARY'!$C$20,rate,Sheet1!AE$21,0))</f>
        <v>0</v>
      </c>
      <c r="AU243" s="412">
        <f>IF(AU242=0,0,((+$H84/$AZ242)*AU242)*VLOOKUP('1. SUMMARY'!$C$20,rate,Sheet1!AF$21,0))</f>
        <v>0</v>
      </c>
      <c r="AV243" s="412">
        <f>IF(AV242=0,0,((+$H84/$AZ242)*AV242)*VLOOKUP('1. SUMMARY'!$C$20,rate,Sheet1!AG$21,0))</f>
        <v>0</v>
      </c>
      <c r="AW243" s="412">
        <f>IF(AW242=0,0,((+$H84/$AZ242)*AW242)*VLOOKUP('1. SUMMARY'!$C$20,rate,Sheet1!AH$21,0))</f>
        <v>0</v>
      </c>
      <c r="AX243" s="412">
        <f>IF(AX242=0,0,((+$H84/$AZ242)*AX242)*VLOOKUP('1. SUMMARY'!$C$20,rate,Sheet1!AI$21,0))</f>
        <v>0</v>
      </c>
      <c r="AY243" s="412">
        <f>IF(AY242=0,0,((+$H84/$AZ242)*AY242)*VLOOKUP('1. SUMMARY'!$C$20,rate,Sheet1!AJ$21,0))</f>
        <v>0</v>
      </c>
      <c r="AZ243" s="219">
        <f>SUM(AI243:AY243)</f>
        <v>0</v>
      </c>
    </row>
    <row r="244" spans="1:52" ht="12.75" customHeight="1" thickTop="1">
      <c r="A244" s="212" t="s">
        <v>168</v>
      </c>
      <c r="B244" s="213"/>
      <c r="C244" s="213"/>
      <c r="D244" s="213"/>
      <c r="E244" s="213"/>
      <c r="F244" s="213"/>
      <c r="G244" s="213"/>
      <c r="H244" s="213"/>
      <c r="I244" s="213"/>
      <c r="J244" s="213"/>
      <c r="K244" s="213"/>
      <c r="L244" s="214"/>
      <c r="P244" s="207">
        <f t="shared" si="110"/>
        <v>1</v>
      </c>
      <c r="Q244" s="412">
        <f>+Q243/VLOOKUP('1. SUMMARY'!$C$20,rate,Sheet1!T$21,0)</f>
        <v>0</v>
      </c>
      <c r="R244" s="412">
        <f>+R243/VLOOKUP('1. SUMMARY'!$C$20,rate,Sheet1!U$21,0)</f>
        <v>0</v>
      </c>
      <c r="S244" s="412">
        <f>+S243/VLOOKUP('1. SUMMARY'!$C$20,rate,Sheet1!V$21,0)</f>
        <v>0</v>
      </c>
      <c r="T244" s="412">
        <f>+T243/VLOOKUP('1. SUMMARY'!$C$20,rate,Sheet1!W$21,0)</f>
        <v>0</v>
      </c>
      <c r="U244" s="412">
        <f>+U243/VLOOKUP('1. SUMMARY'!$C$20,rate,Sheet1!X$21,0)</f>
        <v>0</v>
      </c>
      <c r="V244" s="412">
        <f>+V243/VLOOKUP('1. SUMMARY'!$C$20,rate,Sheet1!Y$21,0)</f>
        <v>0</v>
      </c>
      <c r="W244" s="412">
        <f>+W243/VLOOKUP('1. SUMMARY'!$C$20,rate,Sheet1!Z$21,0)</f>
        <v>0</v>
      </c>
      <c r="X244" s="412">
        <f>+X243/VLOOKUP('1. SUMMARY'!$C$20,rate,Sheet1!AA$21,0)</f>
        <v>0</v>
      </c>
      <c r="Y244" s="412">
        <f>+Y243/VLOOKUP('1. SUMMARY'!$C$20,rate,Sheet1!AB$21,0)</f>
        <v>0</v>
      </c>
      <c r="Z244" s="412">
        <f>+Z243/VLOOKUP('1. SUMMARY'!$C$20,rate,Sheet1!AC$21,0)</f>
        <v>0</v>
      </c>
      <c r="AA244" s="412">
        <f>+AA243/VLOOKUP('1. SUMMARY'!$C$20,rate,Sheet1!AD$21,0)</f>
        <v>0</v>
      </c>
      <c r="AB244" s="412">
        <f>+AB243/VLOOKUP('1. SUMMARY'!$C$20,rate,Sheet1!AE$21,0)</f>
        <v>0</v>
      </c>
      <c r="AC244" s="412">
        <f>+AC243/VLOOKUP('1. SUMMARY'!$C$20,rate,Sheet1!AF$21,0)</f>
        <v>0</v>
      </c>
      <c r="AD244" s="412">
        <f>+AD243/VLOOKUP('1. SUMMARY'!$C$20,rate,Sheet1!AG$21,0)</f>
        <v>0</v>
      </c>
      <c r="AE244" s="412">
        <f>+AE243/VLOOKUP('1. SUMMARY'!$C$20,rate,Sheet1!AH$21,0)</f>
        <v>0</v>
      </c>
      <c r="AF244" s="412">
        <f>+AF243/VLOOKUP('1. SUMMARY'!$C$20,rate,Sheet1!AI$21,0)</f>
        <v>0</v>
      </c>
      <c r="AG244" s="412">
        <f>+AG243/VLOOKUP('1. SUMMARY'!$C$20,rate,Sheet1!AJ$21,0)</f>
        <v>0</v>
      </c>
      <c r="AH244" s="219"/>
      <c r="AI244" s="412"/>
      <c r="AJ244" s="412"/>
      <c r="AK244" s="412"/>
      <c r="AL244" s="412"/>
      <c r="AM244" s="412"/>
      <c r="AN244" s="412"/>
      <c r="AO244" s="412"/>
      <c r="AP244" s="412"/>
      <c r="AQ244" s="412"/>
      <c r="AR244" s="412"/>
      <c r="AS244" s="412"/>
      <c r="AT244" s="412"/>
      <c r="AU244" s="412"/>
      <c r="AV244" s="412"/>
      <c r="AW244" s="412"/>
      <c r="AX244" s="412"/>
      <c r="AY244" s="412"/>
      <c r="AZ244" s="219"/>
    </row>
    <row r="245" spans="1:52" ht="23.25" customHeight="1">
      <c r="A245" s="215" t="s">
        <v>149</v>
      </c>
      <c r="B245" s="575"/>
      <c r="C245" s="575"/>
      <c r="D245" s="575"/>
      <c r="E245" s="575"/>
      <c r="F245" s="575"/>
      <c r="G245" s="575"/>
      <c r="H245" s="575"/>
      <c r="I245" s="575"/>
      <c r="J245" s="575"/>
      <c r="K245" s="575"/>
      <c r="L245" s="576"/>
      <c r="P245" s="207">
        <f t="shared" si="110"/>
        <v>1</v>
      </c>
      <c r="Q245" s="418">
        <f>Sheet1!$T$8</f>
        <v>44105</v>
      </c>
      <c r="R245" s="418">
        <f>Sheet1!$U$8</f>
        <v>44470</v>
      </c>
      <c r="S245" s="418">
        <f>Sheet1!$V$8</f>
        <v>44835</v>
      </c>
      <c r="T245" s="418">
        <f>Sheet1!$W$8</f>
        <v>45200</v>
      </c>
      <c r="U245" s="418">
        <f>Sheet1!$X$8</f>
        <v>45566</v>
      </c>
      <c r="V245" s="418">
        <f>Sheet1!$Y$8</f>
        <v>45931</v>
      </c>
      <c r="W245" s="418">
        <f>Sheet1!$Z$8</f>
        <v>46296</v>
      </c>
      <c r="X245" s="418">
        <f>Sheet1!$AA$8</f>
        <v>46661</v>
      </c>
      <c r="Y245" s="418">
        <f>Sheet1!$AB$8</f>
        <v>47027</v>
      </c>
      <c r="Z245" s="418">
        <f>Sheet1!$AC$8</f>
        <v>47392</v>
      </c>
      <c r="AA245" s="418">
        <f>$AA$5</f>
        <v>47757</v>
      </c>
      <c r="AB245" s="418">
        <f>$AB$5</f>
        <v>48122</v>
      </c>
      <c r="AC245" s="418">
        <f>$AC$5</f>
        <v>48488</v>
      </c>
      <c r="AD245" s="418">
        <f>$AD$5</f>
        <v>48853</v>
      </c>
      <c r="AE245" s="418">
        <f>$AE$5</f>
        <v>49218</v>
      </c>
      <c r="AF245" s="418">
        <f>$AF$5</f>
        <v>49583</v>
      </c>
      <c r="AG245" s="418">
        <f>$AG$5</f>
        <v>49949</v>
      </c>
      <c r="AH245" s="219"/>
      <c r="AI245" s="418">
        <f t="shared" ref="AI245:AR247" si="116">+Q245</f>
        <v>44105</v>
      </c>
      <c r="AJ245" s="418">
        <f t="shared" si="116"/>
        <v>44470</v>
      </c>
      <c r="AK245" s="418">
        <f t="shared" si="116"/>
        <v>44835</v>
      </c>
      <c r="AL245" s="418">
        <f t="shared" si="116"/>
        <v>45200</v>
      </c>
      <c r="AM245" s="418">
        <f t="shared" si="116"/>
        <v>45566</v>
      </c>
      <c r="AN245" s="418">
        <f t="shared" si="116"/>
        <v>45931</v>
      </c>
      <c r="AO245" s="418">
        <f t="shared" si="116"/>
        <v>46296</v>
      </c>
      <c r="AP245" s="418">
        <f t="shared" si="116"/>
        <v>46661</v>
      </c>
      <c r="AQ245" s="418">
        <f t="shared" si="116"/>
        <v>47027</v>
      </c>
      <c r="AR245" s="418">
        <f t="shared" si="116"/>
        <v>47392</v>
      </c>
      <c r="AS245" s="418">
        <f t="shared" ref="AS245:AY247" si="117">+AA245</f>
        <v>47757</v>
      </c>
      <c r="AT245" s="418">
        <f t="shared" si="117"/>
        <v>48122</v>
      </c>
      <c r="AU245" s="418">
        <f t="shared" si="117"/>
        <v>48488</v>
      </c>
      <c r="AV245" s="418">
        <f t="shared" si="117"/>
        <v>48853</v>
      </c>
      <c r="AW245" s="418">
        <f t="shared" si="117"/>
        <v>49218</v>
      </c>
      <c r="AX245" s="418">
        <f t="shared" si="117"/>
        <v>49583</v>
      </c>
      <c r="AY245" s="418">
        <f t="shared" si="117"/>
        <v>49949</v>
      </c>
      <c r="AZ245" s="211"/>
    </row>
    <row r="246" spans="1:52" ht="12.75" customHeight="1">
      <c r="A246" s="216"/>
      <c r="B246" s="217"/>
      <c r="C246" s="217"/>
      <c r="D246" s="217"/>
      <c r="E246" s="217"/>
      <c r="F246" s="217"/>
      <c r="G246" s="217"/>
      <c r="H246" s="217"/>
      <c r="I246" s="217"/>
      <c r="J246" s="217"/>
      <c r="K246" s="217"/>
      <c r="L246" s="218"/>
      <c r="P246" s="207">
        <f t="shared" si="110"/>
        <v>1</v>
      </c>
      <c r="Q246" s="418">
        <f>Sheet1!$T$9</f>
        <v>44469</v>
      </c>
      <c r="R246" s="418">
        <f>Sheet1!$U$9</f>
        <v>44834</v>
      </c>
      <c r="S246" s="418">
        <f>Sheet1!$V$9</f>
        <v>45199</v>
      </c>
      <c r="T246" s="418">
        <f>Sheet1!$W$9</f>
        <v>45565</v>
      </c>
      <c r="U246" s="418">
        <f>Sheet1!$X$9</f>
        <v>45930</v>
      </c>
      <c r="V246" s="418">
        <f>Sheet1!$Y$9</f>
        <v>46295</v>
      </c>
      <c r="W246" s="418">
        <f>Sheet1!$Z$9</f>
        <v>46660</v>
      </c>
      <c r="X246" s="418">
        <f>Sheet1!$AA$9</f>
        <v>47026</v>
      </c>
      <c r="Y246" s="418">
        <f>Sheet1!$AB$9</f>
        <v>47391</v>
      </c>
      <c r="Z246" s="418">
        <f>Sheet1!$AC$9</f>
        <v>47756</v>
      </c>
      <c r="AA246" s="418">
        <f>$AA$6</f>
        <v>48121</v>
      </c>
      <c r="AB246" s="418">
        <f>$AB$6</f>
        <v>48487</v>
      </c>
      <c r="AC246" s="418">
        <f>$AC$6</f>
        <v>48852</v>
      </c>
      <c r="AD246" s="418">
        <f>$AD$6</f>
        <v>49217</v>
      </c>
      <c r="AE246" s="418">
        <f>$AE$6</f>
        <v>49582</v>
      </c>
      <c r="AF246" s="418">
        <f>$AF$6</f>
        <v>49948</v>
      </c>
      <c r="AG246" s="418">
        <f>$AG$6</f>
        <v>50313</v>
      </c>
      <c r="AH246" s="219"/>
      <c r="AI246" s="418">
        <f t="shared" si="116"/>
        <v>44469</v>
      </c>
      <c r="AJ246" s="418">
        <f t="shared" si="116"/>
        <v>44834</v>
      </c>
      <c r="AK246" s="418">
        <f t="shared" si="116"/>
        <v>45199</v>
      </c>
      <c r="AL246" s="418">
        <f t="shared" si="116"/>
        <v>45565</v>
      </c>
      <c r="AM246" s="418">
        <f t="shared" si="116"/>
        <v>45930</v>
      </c>
      <c r="AN246" s="418">
        <f t="shared" si="116"/>
        <v>46295</v>
      </c>
      <c r="AO246" s="418">
        <f t="shared" si="116"/>
        <v>46660</v>
      </c>
      <c r="AP246" s="418">
        <f t="shared" si="116"/>
        <v>47026</v>
      </c>
      <c r="AQ246" s="418">
        <f t="shared" si="116"/>
        <v>47391</v>
      </c>
      <c r="AR246" s="418">
        <f t="shared" si="116"/>
        <v>47756</v>
      </c>
      <c r="AS246" s="418">
        <f t="shared" si="117"/>
        <v>48121</v>
      </c>
      <c r="AT246" s="418">
        <f t="shared" si="117"/>
        <v>48487</v>
      </c>
      <c r="AU246" s="418">
        <f t="shared" si="117"/>
        <v>48852</v>
      </c>
      <c r="AV246" s="418">
        <f t="shared" si="117"/>
        <v>49217</v>
      </c>
      <c r="AW246" s="418">
        <f t="shared" si="117"/>
        <v>49582</v>
      </c>
      <c r="AX246" s="418">
        <f t="shared" si="117"/>
        <v>49948</v>
      </c>
      <c r="AY246" s="418">
        <f t="shared" si="117"/>
        <v>50313</v>
      </c>
      <c r="AZ246" s="211"/>
    </row>
    <row r="247" spans="1:52" ht="12.75" customHeight="1">
      <c r="A247" s="216"/>
      <c r="B247" s="175" t="s">
        <v>81</v>
      </c>
      <c r="C247" s="175" t="s">
        <v>82</v>
      </c>
      <c r="D247" s="175" t="s">
        <v>83</v>
      </c>
      <c r="E247" s="175" t="s">
        <v>84</v>
      </c>
      <c r="F247" s="175" t="s">
        <v>85</v>
      </c>
      <c r="G247" s="175" t="s">
        <v>86</v>
      </c>
      <c r="H247" s="175" t="s">
        <v>87</v>
      </c>
      <c r="I247" s="175" t="s">
        <v>224</v>
      </c>
      <c r="J247" s="175" t="s">
        <v>225</v>
      </c>
      <c r="K247" s="175" t="s">
        <v>226</v>
      </c>
      <c r="L247" s="220" t="s">
        <v>47</v>
      </c>
      <c r="O247" s="207">
        <v>8</v>
      </c>
      <c r="P247" s="207">
        <f t="shared" si="110"/>
        <v>1</v>
      </c>
      <c r="Q247" s="419">
        <f>IF(IF(Q246&lt;$I$27,0,DATEDIF($I$27,Q246+1,"m"))&lt;0,0,IF(Q246&lt;$I$27,0,DATEDIF($I$27,Q246+1,"m")))</f>
        <v>0</v>
      </c>
      <c r="R247" s="419">
        <f>IF(IF(Q247=12,0,IF(R246&gt;$I$28,12-DATEDIF($I$28,R246+1,"m"),IF(R246&lt;$I$27,0,DATEDIF($I$27,R246+1,"m"))))&lt;0,0,IF(Q247=12,0,IF(R246&gt;$I$28,12-DATEDIF($I$28,R246+1,"m"),IF(R246&lt;$I$27,0,DATEDIF($I$27,R246+1,"m")))))</f>
        <v>0</v>
      </c>
      <c r="S247" s="419">
        <f>IF(IF(Q247+R247=12,0,IF(S246&gt;$I$28,12-DATEDIF($I$28,S246+1,"m"),IF(S246&lt;$I$27,0,DATEDIF($I$27,S246+1,"m"))))&lt;0,0,IF(Q247+R247=12,0,IF(S246&gt;$I$28,12-DATEDIF($I$28,S246+1,"m"),IF(S246&lt;$I$27,0,DATEDIF($I$27,S246+1,"m")))))</f>
        <v>0</v>
      </c>
      <c r="T247" s="419">
        <f>IF(IF(R247+S247+Q247=12,0,IF(T246&gt;$I$28,12-DATEDIF($I$28,T246+1,"m"),IF(T246&lt;$I$27,0,DATEDIF($I$27,T246+1,"m"))))&lt;0,0,IF(R247+S247+Q247=12,0,IF(T246&gt;$I$28,12-DATEDIF($I$28,T246+1,"m"),IF(T246&lt;$I$27,0,DATEDIF($I$27,T246+1,"m")))))</f>
        <v>0</v>
      </c>
      <c r="U247" s="419">
        <f>IF(IF(S247+T247+R247+Q247=12,0,IF(U246&gt;$I$28,12-DATEDIF($I$28,U246+1,"m"),IF(U246&lt;$I$27,0,DATEDIF($I$27,U246+1,"m"))))&lt;0,0,IF(S247+T247+R247+Q247=12,0,IF(U246&gt;$I$28,12-DATEDIF($I$28,U246+1,"m"),IF(U246&lt;$I$27,0,DATEDIF($I$27,U246+1,"m")))))</f>
        <v>0</v>
      </c>
      <c r="V247" s="419">
        <f>IF(IF(T247+U247+S247+R247+Q247=12,0,IF(V246&gt;$I$28,12-DATEDIF($I$28,V246+1,"m"),IF(V246&lt;$I$27,0,DATEDIF($I$27,V246+1,"m"))))&lt;0,0,IF(T247+U247+S247+R247+Q247=12,0,IF(V246&gt;$I$28,12-DATEDIF($I$28,V246+1,"m"),IF(V246&lt;$I$27,0,DATEDIF($I$27,V246+1,"m")))))</f>
        <v>0</v>
      </c>
      <c r="W247" s="419">
        <f>IF(IF(U247+V247+T247+S247+R247+Q247=12,0,IF(W246&gt;$I$28,12-DATEDIF($I$28,W246+1,"m"),IF(W246&lt;$I$27,0,DATEDIF($I$27,W246+1,"m"))))&lt;0,0,IF(U247+V247+T247+S247+R247+Q247=12,0,IF(W246&gt;$I$28,12-DATEDIF($I$28,W246+1,"m"),IF(W246&lt;$I$27,0,DATEDIF($I$27,W246+1,"m")))))</f>
        <v>0</v>
      </c>
      <c r="X247" s="419">
        <f>IF(IF(V247+W247+U247+T247+S247+R247+Q247=12,0,IF(X246&gt;$I$28,12-DATEDIF($I$28,X246+1,"m"),IF(X246&lt;$I$27,0,DATEDIF($I$27,X246+1,"m"))))&lt;0,0,IF(V247+W247+U247+T247+S247+R247+Q247=12,0,IF(X246&gt;$I$28,12-DATEDIF($I$28,X246+1,"m"),IF(X246&lt;$I$27,0,DATEDIF($I$27,X246+1,"m")))))</f>
        <v>0</v>
      </c>
      <c r="Y247" s="419">
        <f>IF(IF(W247+X247+V247+U247+T247+S247+R247+Q247=12,0,IF(Y246&gt;$I$28,12-DATEDIF($I$28,Y246+1,"m"),IF(Y246&lt;$I$27,0,DATEDIF($I$27,Y246+1,"m"))))&lt;0,0,IF(W247+X247+V247+U247+T247+S247+R247+Q247=12,0,IF(Y246&gt;$I$28,12-DATEDIF($I$28,Y246+1,"m"),IF(Y246&lt;$I$27,0,DATEDIF($I$27,Y246+1,"m")))))</f>
        <v>0</v>
      </c>
      <c r="Z247" s="419">
        <f>IF(IF(X247+Y247+W247+V247+U247+T247+S247+R247+Q247=12,0,IF(Z246&gt;$I$28,12-DATEDIF($I$28,Z246+1,"m"),IF(Z246&lt;$I$27,0,DATEDIF($I$27,Z246+1,"m"))))&lt;0,0,IF(X247+Y247+W247+V247+U247+T247+S247+R247+Q247=12,0,IF(Z246&gt;$I$28,12-DATEDIF($I$28,Z246+1,"m"),IF(Z246&lt;$I$27,0,DATEDIF($I$27,Z246+1,"m")))))</f>
        <v>0</v>
      </c>
      <c r="AA247" s="419">
        <f>IF(IF(Q247+R247+S247+Y247+Z247+X247+W247+V247+U247+T247=12,0,IF(AA246&gt;$I$28,12-DATEDIF($I$28,AA246+1,"m"),IF(AA246&lt;$I$27,0,DATEDIF($I$27,AA246+1,"m"))))&lt;0,0,IF(Q247+R247+S247+Y247+Z247+X247+W247+V247+U247+T247=12,0,IF(AA246&gt;$I$28,12-DATEDIF($I$28,AA246+1,"m"),IF(AA246&lt;$I$27,0,DATEDIF($I$27,AA246+1,"m")))))</f>
        <v>0</v>
      </c>
      <c r="AB247" s="419">
        <f>IF(IF(Q247+R247+S247+T247+Z247+AA247+Y247+X247+W247+V247+U247=12,0,IF(AB246&gt;$I$28,12-DATEDIF($I$28,AB246+1,"m"),IF(AB246&lt;$I$27,0,DATEDIF($I$27,AB246+1,"m"))))&lt;0,0,IF(Q247+R247+S247+T247+Z247+AA247+Y247+X247+W247+V247+U247=12,0,IF(AB246&gt;$I$28,12-DATEDIF($I$28,AB246+1,"m"),IF(AB246&lt;$I$27,0,DATEDIF($I$27,AB246+1,"m")))))</f>
        <v>0</v>
      </c>
      <c r="AC247" s="419">
        <f>IF(IF(Q247+R247+S247+T247+U247+AA247+AB247+Z247+Y247+X247+W247+V247=12,0,IF(AC246&gt;$I$28,12-DATEDIF($I$28,AC246+1,"m"),IF(AC246&lt;$I$27,0,DATEDIF($I$27,AC246+1,"m"))))&lt;0,0,IF(Q247+R247+S247+T247+U247+AA247+AB247+Z247+Y247+X247+W247+V247=12,0,IF(AC246&gt;$I$28,12-DATEDIF($I$28,AC246+1,"m"),IF(AC246&lt;$I$27,0,DATEDIF($I$27,AC246+1,"m")))))</f>
        <v>0</v>
      </c>
      <c r="AD247" s="419">
        <f>IF(IF(Q247+R247+S247+T247+U247+V247+AB247+AC247+AA247+Z247+Y247+X247+W247=12,0,IF(AD246&gt;$I$28,12-DATEDIF($I$28,AD246+1,"m"),IF(AD246&lt;$I$27,0,DATEDIF($I$27,AD246+1,"m"))))&lt;0,0,IF(Q247+R247+S247+T247+U247+V247+AB247+AC247+AA247+Z247+Y247+X247+W247=12,0,IF(AD246&gt;$I$28,12-DATEDIF($I$28,AD246+1,"m"),IF(AD246&lt;$I$27,0,DATEDIF($I$27,AD246+1,"m")))))</f>
        <v>0</v>
      </c>
      <c r="AE247" s="419">
        <f>IF(IF(Q247+R247+S247+T247+U247+V247+W247+AC247+AD247+AB247+AA247+Z247+Y247+X247=12,0,IF(AE246&gt;$I$28,12-DATEDIF($I$28,AE246+1,"m"),IF(AE246&lt;$I$27,0,DATEDIF($I$27,AE246+1,"m"))))&lt;0,0,IF(Q247+R247+S247+T247+U247+V247+W247+AC247+AD247+AB247+AA247+Z247+Y247+X247=12,0,IF(AE246&gt;$I$28,12-DATEDIF($I$28,AE246+1,"m"),IF(AE246&lt;$I$27,0,DATEDIF($I$27,AE246+1,"m")))))</f>
        <v>0</v>
      </c>
      <c r="AF247" s="419">
        <f>IF(IF(Q247+R247+S247+T247+U247+V247+W247+X247+AD247+AE247+AC247+AB247+AA247+Z247+Y247=12,0,IF(AF246&gt;$I$28,12-DATEDIF($I$28,AF246+1,"m"),IF(AF246&lt;$I$27,0,DATEDIF($I$27,AF246+1,"m"))))&lt;0,0,IF(Q247+R247+S247+T247+U247+V247+W247+X247+AD247+AE247+AC247+AB247+AA247+Z247+Y247=12,0,IF(AF246&gt;$I$28,12-DATEDIF($I$28,AF246+1,"m"),IF(AF246&lt;$I$27,0,DATEDIF($I$27,AF246+1,"m")))))</f>
        <v>0</v>
      </c>
      <c r="AG247" s="419">
        <f>IF(IF(Q247+R247+S247+T247+U247+V247+W247+X247+Y247+AE247+AF247+AD247+AC247+AB247+AA247+Z247=12,0,IF(AG246&gt;$I$28,12-DATEDIF($I$28,AG246+1,"m"),IF(AG246&lt;$I$27,0,DATEDIF($I$27,AG246+1,"m"))))&lt;0,0,IF(Q247+R247+S247+T247+U247+V247+W247+X247+Y247+AE247+AF247+AD247+AC247+AB247+AA247+Z247=12,0,IF(AG246&gt;$I$28,12-DATEDIF($I$28,AG246+1,"m"),IF(AG246&lt;$I$27,0,DATEDIF($I$27,AG246+1,"m")))))</f>
        <v>0</v>
      </c>
      <c r="AH247" s="423">
        <f>SUM(Q247:AG247)</f>
        <v>0</v>
      </c>
      <c r="AI247" s="419">
        <f t="shared" si="116"/>
        <v>0</v>
      </c>
      <c r="AJ247" s="419">
        <f t="shared" si="116"/>
        <v>0</v>
      </c>
      <c r="AK247" s="419">
        <f t="shared" si="116"/>
        <v>0</v>
      </c>
      <c r="AL247" s="419">
        <f t="shared" si="116"/>
        <v>0</v>
      </c>
      <c r="AM247" s="419">
        <f t="shared" si="116"/>
        <v>0</v>
      </c>
      <c r="AN247" s="419">
        <f t="shared" si="116"/>
        <v>0</v>
      </c>
      <c r="AO247" s="419">
        <f t="shared" si="116"/>
        <v>0</v>
      </c>
      <c r="AP247" s="419">
        <f t="shared" si="116"/>
        <v>0</v>
      </c>
      <c r="AQ247" s="419">
        <f t="shared" si="116"/>
        <v>0</v>
      </c>
      <c r="AR247" s="419">
        <f t="shared" si="116"/>
        <v>0</v>
      </c>
      <c r="AS247" s="419">
        <f t="shared" si="117"/>
        <v>0</v>
      </c>
      <c r="AT247" s="419">
        <f t="shared" si="117"/>
        <v>0</v>
      </c>
      <c r="AU247" s="419">
        <f t="shared" si="117"/>
        <v>0</v>
      </c>
      <c r="AV247" s="419">
        <f t="shared" si="117"/>
        <v>0</v>
      </c>
      <c r="AW247" s="419">
        <f t="shared" si="117"/>
        <v>0</v>
      </c>
      <c r="AX247" s="419">
        <f t="shared" si="117"/>
        <v>0</v>
      </c>
      <c r="AY247" s="419">
        <f t="shared" si="117"/>
        <v>0</v>
      </c>
      <c r="AZ247" s="219">
        <f>SUM(AI247:AY247)</f>
        <v>0</v>
      </c>
    </row>
    <row r="248" spans="1:52" ht="12.75" customHeight="1">
      <c r="A248" s="221"/>
      <c r="B248" s="222">
        <f>'1. SUMMARY'!C17</f>
        <v>0</v>
      </c>
      <c r="C248" s="222" t="str">
        <f>IF(+B249+1&gt;'1. SUMMARY'!$C$18,"No "&amp;C247,+B249+1)</f>
        <v>No Year 2</v>
      </c>
      <c r="D248" s="222" t="str">
        <f>IF(C248="No "&amp;C247,"No "&amp;D247,IF(+C249+1&gt;'1. SUMMARY'!$C$18,"No "&amp;D247,+C249+1))</f>
        <v>No Year 3</v>
      </c>
      <c r="E248" s="222" t="str">
        <f>IF(D248="No "&amp;D247,"No "&amp;E247,IF(+D249+1&gt;'1. SUMMARY'!$C$18,"No "&amp;E247,+D249+1))</f>
        <v>No Year 4</v>
      </c>
      <c r="F248" s="222" t="str">
        <f>IF(E248="No "&amp;E247,"No "&amp;F247,IF(+E249+1&gt;'1. SUMMARY'!$C$18,"No "&amp;F247,+E249+1))</f>
        <v>No Year 5</v>
      </c>
      <c r="G248" s="222" t="str">
        <f>IF(F248="No "&amp;F247,"No "&amp;G247,IF(+F249+1&gt;'1. SUMMARY'!$C$18,"No "&amp;G247,+F249+1))</f>
        <v>No Year 6</v>
      </c>
      <c r="H248" s="222" t="str">
        <f>IF(G248="No "&amp;G247,"No "&amp;H247,IF(+G249+1&gt;'1. SUMMARY'!$C$18,"No "&amp;H247,+G249+1))</f>
        <v>No Year 7</v>
      </c>
      <c r="I248" s="222" t="str">
        <f>IF(H248="No "&amp;H247,"No "&amp;I247,IF(+H249+1&gt;'1. SUMMARY'!$C$18,"No "&amp;I247,+H249+1))</f>
        <v>No Year 8</v>
      </c>
      <c r="J248" s="222" t="str">
        <f>IF(I248="No "&amp;I247,"No "&amp;J247,IF(+I249+1&gt;'1. SUMMARY'!$C$18,"No "&amp;J247,+I249+1))</f>
        <v>No Year 9</v>
      </c>
      <c r="K248" s="222" t="str">
        <f>IF(J248="No "&amp;J247,"No "&amp;K247,IF(+J249+1&gt;'1. SUMMARY'!$C$18,"No "&amp;K247,+J249+1))</f>
        <v>No Year 10</v>
      </c>
      <c r="L248" s="223"/>
      <c r="P248" s="207">
        <f t="shared" si="110"/>
        <v>1</v>
      </c>
      <c r="Q248" s="419">
        <f>IF(Q247=0,0,(IF(($B$84+$C$84+$D$84+$E$84+$F$84+$G$84+$H$84+$I$84)&lt;=25000,(($I$84/+$AH247)*Q247)*VLOOKUP('1. SUMMARY'!$C$20,rate,Sheet1!T$21,0),((IF(($F$84+$B$84+$C$84+$D$84+$E$84+$G$84+$H$84)&gt;=25000,0,(((25000-($B$84+$C$84+$D$84+$E$84+$F$84+$G$84+$H$84))/+$AH247)*Q247)*(VLOOKUP('1. SUMMARY'!$C$20,rate,Sheet1!T$21,0))))))))</f>
        <v>0</v>
      </c>
      <c r="R248" s="419">
        <f>IF(R247=0,0,(IF(($B$84+$C$84+$D$84+$E$84+$F$84+$G$84+$H$84+$I$84)&lt;=25000,(($I$84/+$AH247)*R247)*VLOOKUP('1. SUMMARY'!$C$20,rate,Sheet1!U$21,0),((IF(($F$84+$B$84+$C$84+$D$84+$E$84+$G$84+$H$84)&gt;=25000,0,(((25000-($B$84+$C$84+$D$84+$E$84+$F$84+$G$84+$H$84))/+$AH247)*R247)*(VLOOKUP('1. SUMMARY'!$C$20,rate,Sheet1!U$21,0))))))))</f>
        <v>0</v>
      </c>
      <c r="S248" s="419">
        <f>IF(S247=0,0,(IF(($B$84+$C$84+$D$84+$E$84+$F$84+$G$84+$H$84+$I$84)&lt;=25000,(($I$84/+$AH247)*S247)*VLOOKUP('1. SUMMARY'!$C$20,rate,Sheet1!V$21,0),((IF(($F$84+$B$84+$C$84+$D$84+$E$84+$G$84+$H$84)&gt;=25000,0,(((25000-($B$84+$C$84+$D$84+$E$84+$F$84+$G$84+$H$84))/+$AH247)*S247)*(VLOOKUP('1. SUMMARY'!$C$20,rate,Sheet1!V$21,0))))))))</f>
        <v>0</v>
      </c>
      <c r="T248" s="419">
        <f>IF(T247=0,0,(IF(($B$84+$C$84+$D$84+$E$84+$F$84+$G$84+$H$84+$I$84)&lt;=25000,(($I$84/+$AH247)*T247)*VLOOKUP('1. SUMMARY'!$C$20,rate,Sheet1!W$21,0),((IF(($F$84+$B$84+$C$84+$D$84+$E$84+$G$84+$H$84)&gt;=25000,0,(((25000-($B$84+$C$84+$D$84+$E$84+$F$84+$G$84+$H$84))/+$AH247)*T247)*(VLOOKUP('1. SUMMARY'!$C$20,rate,Sheet1!W$21,0))))))))</f>
        <v>0</v>
      </c>
      <c r="U248" s="419">
        <f>IF(U247=0,0,(IF(($B$84+$C$84+$D$84+$E$84+$F$84+$G$84+$H$84+$I$84)&lt;=25000,(($I$84/+$AH247)*U247)*VLOOKUP('1. SUMMARY'!$C$20,rate,Sheet1!X$21,0),((IF(($F$84+$B$84+$C$84+$D$84+$E$84+$G$84+$H$84)&gt;=25000,0,(((25000-($B$84+$C$84+$D$84+$E$84+$F$84+$G$84+$H$84))/+$AH247)*U247)*(VLOOKUP('1. SUMMARY'!$C$20,rate,Sheet1!X$21,0))))))))</f>
        <v>0</v>
      </c>
      <c r="V248" s="419">
        <f>IF(V247=0,0,(IF(($B$84+$C$84+$D$84+$E$84+$F$84+$G$84+$H$84+$I$84)&lt;=25000,(($I$84/+$AH247)*V247)*VLOOKUP('1. SUMMARY'!$C$20,rate,Sheet1!Y$21,0),((IF(($F$84+$B$84+$C$84+$D$84+$E$84+$G$84+$H$84)&gt;=25000,0,(((25000-($B$84+$C$84+$D$84+$E$84+$F$84+$G$84+$H$84))/+$AH247)*V247)*(VLOOKUP('1. SUMMARY'!$C$20,rate,Sheet1!Y$21,0))))))))</f>
        <v>0</v>
      </c>
      <c r="W248" s="419">
        <f>IF(W247=0,0,(IF(($B$84+$C$84+$D$84+$E$84+$F$84+$G$84+$H$84+$I$84)&lt;=25000,(($I$84/+$AH247)*W247)*VLOOKUP('1. SUMMARY'!$C$20,rate,Sheet1!Z$21,0),((IF(($F$84+$B$84+$C$84+$D$84+$E$84+$G$84+$H$84)&gt;=25000,0,(((25000-($B$84+$C$84+$D$84+$E$84+$F$84+$G$84+$H$84))/+$AH247)*W247)*(VLOOKUP('1. SUMMARY'!$C$20,rate,Sheet1!Z$21,0))))))))</f>
        <v>0</v>
      </c>
      <c r="X248" s="419">
        <f>IF(X247=0,0,(IF(($B$84+$C$84+$D$84+$E$84+$F$84+$G$84+$H$84+$I$84)&lt;=25000,(($I$84/+$AH247)*X247)*VLOOKUP('1. SUMMARY'!$C$20,rate,Sheet1!AA$21,0),((IF(($F$84+$B$84+$C$84+$D$84+$E$84+$G$84+$H$84)&gt;=25000,0,(((25000-($B$84+$C$84+$D$84+$E$84+$F$84+$G$84+$H$84))/+$AH247)*X247)*(VLOOKUP('1. SUMMARY'!$C$20,rate,Sheet1!AA$21,0))))))))</f>
        <v>0</v>
      </c>
      <c r="Y248" s="419">
        <f>IF(Y247=0,0,(IF(($B$84+$C$84+$D$84+$E$84+$F$84+$G$84+$H$84+$I$84)&lt;=25000,(($I$84/+$AH247)*Y247)*VLOOKUP('1. SUMMARY'!$C$20,rate,Sheet1!AB$21,0),((IF(($F$84+$B$84+$C$84+$D$84+$E$84+$G$84+$H$84)&gt;=25000,0,(((25000-($B$84+$C$84+$D$84+$E$84+$F$84+$G$84+$H$84))/+$AH247)*Y247)*(VLOOKUP('1. SUMMARY'!$C$20,rate,Sheet1!AB$21,0))))))))</f>
        <v>0</v>
      </c>
      <c r="Z248" s="419">
        <f>IF(Z247=0,0,(IF(($B$84+$C$84+$D$84+$E$84+$F$84+$G$84+$H$84+$I$84)&lt;=25000,(($I$84/+$AH247)*Z247)*VLOOKUP('1. SUMMARY'!$C$20,rate,Sheet1!AC$21,0),((IF(($F$84+$B$84+$C$84+$D$84+$E$84+$G$84+$H$84)&gt;=25000,0,(((25000-($B$84+$C$84+$D$84+$E$84+$F$84+$G$84+$H$84))/+$AH247)*Z247)*(VLOOKUP('1. SUMMARY'!$C$20,rate,Sheet1!AC$21,0))))))))</f>
        <v>0</v>
      </c>
      <c r="AA248" s="419">
        <f>IF(AA247=0,0,(IF(($B$84+$C$84+$D$84+$E$84+$F$84+$G$84+$H$84+$I$84)&lt;=25000,(($I$84/+$AH247)*AA247)*VLOOKUP('1. SUMMARY'!$C$20,rate,Sheet1!AD$21,0),((IF(($F$84+$B$84+$C$84+$D$84+$E$84+$G$84+$H$84)&gt;=25000,0,(((25000-($B$84+$C$84+$D$84+$E$84+$F$84+$G$84+$H$84))/+$AH247)*AA247)*(VLOOKUP('1. SUMMARY'!$C$20,rate,Sheet1!AD$21,0))))))))</f>
        <v>0</v>
      </c>
      <c r="AB248" s="419">
        <f>IF(AB247=0,0,(IF(($B$84+$C$84+$D$84+$E$84+$F$84+$G$84+$H$84+$I$84)&lt;=25000,(($I$84/+$AH247)*AB247)*VLOOKUP('1. SUMMARY'!$C$20,rate,Sheet1!AE$21,0),((IF(($F$84+$B$84+$C$84+$D$84+$E$84+$G$84+$H$84)&gt;=25000,0,(((25000-($B$84+$C$84+$D$84+$E$84+$F$84+$G$84+$H$84))/+$AH247)*AB247)*(VLOOKUP('1. SUMMARY'!$C$20,rate,Sheet1!AE$21,0))))))))</f>
        <v>0</v>
      </c>
      <c r="AC248" s="419">
        <f>IF(AC247=0,0,(IF(($B$84+$C$84+$D$84+$E$84+$F$84+$G$84+$H$84+$I$84)&lt;=25000,(($I$84/+$AH247)*AC247)*VLOOKUP('1. SUMMARY'!$C$20,rate,Sheet1!AF$21,0),((IF(($F$84+$B$84+$C$84+$D$84+$E$84+$G$84+$H$84)&gt;=25000,0,(((25000-($B$84+$C$84+$D$84+$E$84+$F$84+$G$84+$H$84))/+$AH247)*AC247)*(VLOOKUP('1. SUMMARY'!$C$20,rate,Sheet1!AF$21,0))))))))</f>
        <v>0</v>
      </c>
      <c r="AD248" s="419">
        <f>IF(AD247=0,0,(IF(($B$84+$C$84+$D$84+$E$84+$F$84+$G$84+$H$84+$I$84)&lt;=25000,(($I$84/+$AH247)*AD247)*VLOOKUP('1. SUMMARY'!$C$20,rate,Sheet1!AG$21,0),((IF(($F$84+$B$84+$C$84+$D$84+$E$84+$G$84+$H$84)&gt;=25000,0,(((25000-($B$84+$C$84+$D$84+$E$84+$F$84+$G$84+$H$84))/+$AH247)*AD247)*(VLOOKUP('1. SUMMARY'!$C$20,rate,Sheet1!AG$21,0))))))))</f>
        <v>0</v>
      </c>
      <c r="AE248" s="419">
        <f>IF(AE247=0,0,(IF(($B$84+$C$84+$D$84+$E$84+$F$84+$G$84+$H$84+$I$84)&lt;=25000,(($I$84/+$AH247)*AE247)*VLOOKUP('1. SUMMARY'!$C$20,rate,Sheet1!AH$21,0),((IF(($F$84+$B$84+$C$84+$D$84+$E$84+$G$84+$H$84)&gt;=25000,0,(((25000-($B$84+$C$84+$D$84+$E$84+$F$84+$G$84+$H$84))/+$AH247)*AE247)*(VLOOKUP('1. SUMMARY'!$C$20,rate,Sheet1!AH$21,0))))))))</f>
        <v>0</v>
      </c>
      <c r="AF248" s="419">
        <f>IF(AF247=0,0,(IF(($B$84+$C$84+$D$84+$E$84+$F$84+$G$84+$H$84+$I$84)&lt;=25000,(($I$84/+$AH247)*AF247)*VLOOKUP('1. SUMMARY'!$C$20,rate,Sheet1!AI$21,0),((IF(($F$84+$B$84+$C$84+$D$84+$E$84+$G$84+$H$84)&gt;=25000,0,(((25000-($B$84+$C$84+$D$84+$E$84+$F$84+$G$84+$H$84))/+$AH247)*AF247)*(VLOOKUP('1. SUMMARY'!$C$20,rate,Sheet1!AI$21,0))))))))</f>
        <v>0</v>
      </c>
      <c r="AG248" s="419">
        <f>IF(AG247=0,0,(IF(($B$84+$C$84+$D$84+$E$84+$F$84+$G$84+$H$84+$I$84)&lt;=25000,(($I$84/+$AH247)*AG247)*VLOOKUP('1. SUMMARY'!$C$20,rate,Sheet1!AJ$21,0),((IF(($F$84+$B$84+$C$84+$D$84+$E$84+$G$84+$H$84)&gt;=25000,0,(((25000-($B$84+$C$84+$D$84+$E$84+$F$84+$G$84+$H$84))/+$AH247)*AG247)*(VLOOKUP('1. SUMMARY'!$C$20,rate,Sheet1!AJ$21,0))))))))</f>
        <v>0</v>
      </c>
      <c r="AH248" s="219">
        <f>SUM(Q248:AG248)</f>
        <v>0</v>
      </c>
      <c r="AI248" s="419">
        <f>IF(AI247=0,0,((+$I84/$AZ247)*AI247)*VLOOKUP('1. SUMMARY'!$C$20,rate,Sheet1!T$21,0))</f>
        <v>0</v>
      </c>
      <c r="AJ248" s="419">
        <f>IF(AJ247=0,0,((+$I84/$AZ247)*AJ247)*VLOOKUP('1. SUMMARY'!$C$20,rate,Sheet1!U$21,0))</f>
        <v>0</v>
      </c>
      <c r="AK248" s="419">
        <f>IF(AK247=0,0,((+$I84/$AZ247)*AK247)*VLOOKUP('1. SUMMARY'!$C$20,rate,Sheet1!V$21,0))</f>
        <v>0</v>
      </c>
      <c r="AL248" s="419">
        <f>IF(AL247=0,0,((+$I84/$AZ247)*AL247)*VLOOKUP('1. SUMMARY'!$C$20,rate,Sheet1!W$21,0))</f>
        <v>0</v>
      </c>
      <c r="AM248" s="419">
        <f>IF(AM247=0,0,((+$I84/$AZ247)*AM247)*VLOOKUP('1. SUMMARY'!$C$20,rate,Sheet1!X$21,0))</f>
        <v>0</v>
      </c>
      <c r="AN248" s="419">
        <f>IF(AN247=0,0,((+$I84/$AZ247)*AN247)*VLOOKUP('1. SUMMARY'!$C$20,rate,Sheet1!Y$21,0))</f>
        <v>0</v>
      </c>
      <c r="AO248" s="419">
        <f>IF(AO247=0,0,((+$I84/$AZ247)*AO247)*VLOOKUP('1. SUMMARY'!$C$20,rate,Sheet1!Z$21,0))</f>
        <v>0</v>
      </c>
      <c r="AP248" s="419">
        <f>IF(AP247=0,0,((+$I84/$AZ247)*AP247)*VLOOKUP('1. SUMMARY'!$C$20,rate,Sheet1!AA$21,0))</f>
        <v>0</v>
      </c>
      <c r="AQ248" s="419">
        <f>IF(AQ247=0,0,((+$I84/$AZ247)*AQ247)*VLOOKUP('1. SUMMARY'!$C$20,rate,Sheet1!AB$21,0))</f>
        <v>0</v>
      </c>
      <c r="AR248" s="419">
        <f>IF(AR247=0,0,((+$I84/$AZ247)*AR247)*VLOOKUP('1. SUMMARY'!$C$20,rate,Sheet1!AC$21,0))</f>
        <v>0</v>
      </c>
      <c r="AS248" s="419">
        <f>IF(AS247=0,0,((+$I84/$AZ247)*AS247)*VLOOKUP('1. SUMMARY'!$C$20,rate,Sheet1!AD$21,0))</f>
        <v>0</v>
      </c>
      <c r="AT248" s="419">
        <f>IF(AT247=0,0,((+$I84/$AZ247)*AT247)*VLOOKUP('1. SUMMARY'!$C$20,rate,Sheet1!AE$21,0))</f>
        <v>0</v>
      </c>
      <c r="AU248" s="419">
        <f>IF(AU247=0,0,((+$I84/$AZ247)*AU247)*VLOOKUP('1. SUMMARY'!$C$20,rate,Sheet1!AF$21,0))</f>
        <v>0</v>
      </c>
      <c r="AV248" s="419">
        <f>IF(AV247=0,0,((+$I84/$AZ247)*AV247)*VLOOKUP('1. SUMMARY'!$C$20,rate,Sheet1!AG$21,0))</f>
        <v>0</v>
      </c>
      <c r="AW248" s="419">
        <f>IF(AW247=0,0,((+$I84/$AZ247)*AW247)*VLOOKUP('1. SUMMARY'!$C$20,rate,Sheet1!AH$21,0))</f>
        <v>0</v>
      </c>
      <c r="AX248" s="419">
        <f>IF(AX247=0,0,((+$I84/$AZ247)*AX247)*VLOOKUP('1. SUMMARY'!$C$20,rate,Sheet1!AI$21,0))</f>
        <v>0</v>
      </c>
      <c r="AY248" s="419">
        <f>IF(AY247=0,0,((+$I84/$AZ247)*AY247)*VLOOKUP('1. SUMMARY'!$C$20,rate,Sheet1!AJ$21,0))</f>
        <v>0</v>
      </c>
      <c r="AZ248" s="219">
        <f>SUM(AI248:AY248)</f>
        <v>0</v>
      </c>
    </row>
    <row r="249" spans="1:52" ht="12.75" customHeight="1">
      <c r="A249" s="221"/>
      <c r="B249" s="224">
        <f>IF((DATE(YEAR(B248), MONTH(B248)+12, DAY(B248)-1))&lt;=('1. SUMMARY'!$C$18),DATE(YEAR(B248), MONTH(B248)+12, DAY(B248)-1),'1. SUMMARY'!$C$18)</f>
        <v>0</v>
      </c>
      <c r="C249" s="224" t="str">
        <f>IF(C248="No "&amp;C247,"No "&amp;C247,IF(B249='1. SUMMARY'!B222,"a",IF((DATE(YEAR(C248),MONTH(C248)+12,DAY(C248)-1))&lt;=('1. SUMMARY'!$C$18),DATE(YEAR(C248),MONTH(C248)+12,DAY(C248)-1),'1. SUMMARY'!$C$18)))</f>
        <v>No Year 2</v>
      </c>
      <c r="D249" s="224" t="str">
        <f>IF(D248="No "&amp;D247,"No "&amp;D247,IF(C249='1. SUMMARY'!C222,"a",IF((DATE(YEAR(D248),MONTH(D248)+12,DAY(D248)-1))&lt;=('1. SUMMARY'!$C$18),DATE(YEAR(D248),MONTH(D248)+12,DAY(D248)-1),'1. SUMMARY'!$C$18)))</f>
        <v>No Year 3</v>
      </c>
      <c r="E249" s="224" t="str">
        <f>IF(E248="No "&amp;E247,"No "&amp;E247,IF(D249='1. SUMMARY'!E222,"a",IF((DATE(YEAR(E248),MONTH(E248)+12,DAY(E248)-1))&lt;=('1. SUMMARY'!$C$18),DATE(YEAR(E248),MONTH(E248)+12,DAY(E248)-1),'1. SUMMARY'!$C$18)))</f>
        <v>No Year 4</v>
      </c>
      <c r="F249" s="224" t="str">
        <f>IF(F248="No "&amp;F247,"No "&amp;F247,IF(E249='1. SUMMARY'!F222,"a",IF((DATE(YEAR(F248),MONTH(F248)+12,DAY(F248)-1))&lt;=('1. SUMMARY'!$C$18),DATE(YEAR(F248),MONTH(F248)+12,DAY(F248)-1),'1. SUMMARY'!$C$18)))</f>
        <v>No Year 5</v>
      </c>
      <c r="G249" s="224" t="str">
        <f>IF(G248="No "&amp;G247,"No "&amp;G247,IF(F249='1. SUMMARY'!G222,"a",IF((DATE(YEAR(G248),MONTH(G248)+12,DAY(G248)-1))&lt;=('1. SUMMARY'!$C$18),DATE(YEAR(G248),MONTH(G248)+12,DAY(G248)-1),'1. SUMMARY'!$C$18)))</f>
        <v>No Year 6</v>
      </c>
      <c r="H249" s="224" t="str">
        <f>IF(H248="No "&amp;H247,"No "&amp;H247,IF(G249='1. SUMMARY'!H222,"a",IF((DATE(YEAR(H248),MONTH(H248)+12,DAY(H248)-1))&lt;=('1. SUMMARY'!$C$18),DATE(YEAR(H248),MONTH(H248)+12,DAY(H248)-1),'1. SUMMARY'!$C$18)))</f>
        <v>No Year 7</v>
      </c>
      <c r="I249" s="224" t="str">
        <f>IF(I248="No "&amp;I247,"No "&amp;I247,IF(H249='1. SUMMARY'!N222,"a",IF((DATE(YEAR(I248),MONTH(I248)+12,DAY(I248)-1))&lt;=('1. SUMMARY'!$C$18),DATE(YEAR(I248),MONTH(I248)+12,DAY(I248)-1),'1. SUMMARY'!$C$18)))</f>
        <v>No Year 8</v>
      </c>
      <c r="J249" s="224" t="str">
        <f>IF(J248="No "&amp;J247,"No "&amp;J247,IF(I249='1. SUMMARY'!O222,"a",IF((DATE(YEAR(J248),MONTH(J248)+12,DAY(J248)-1))&lt;=('1. SUMMARY'!$C$18),DATE(YEAR(J248),MONTH(J248)+12,DAY(J248)-1),'1. SUMMARY'!$C$18)))</f>
        <v>No Year 9</v>
      </c>
      <c r="K249" s="224" t="str">
        <f>IF(K248="No "&amp;K247,"No "&amp;K247,IF(J249='1. SUMMARY'!P220,"a",IF((DATE(YEAR(K248),MONTH(K248)+12,DAY(K248)-1))&lt;=('1. SUMMARY'!$C$18),DATE(YEAR(K248),MONTH(K248)+12,DAY(K248)-1),'1. SUMMARY'!$C$18)))</f>
        <v>No Year 10</v>
      </c>
      <c r="L249" s="218"/>
      <c r="P249" s="207">
        <f t="shared" si="110"/>
        <v>1</v>
      </c>
      <c r="Q249" s="419">
        <f>+Q248/VLOOKUP('1. SUMMARY'!$C$20,rate,Sheet1!T$21,0)</f>
        <v>0</v>
      </c>
      <c r="R249" s="419">
        <f>+R248/VLOOKUP('1. SUMMARY'!$C$20,rate,Sheet1!U$21,0)</f>
        <v>0</v>
      </c>
      <c r="S249" s="419">
        <f>+S248/VLOOKUP('1. SUMMARY'!$C$20,rate,Sheet1!V$21,0)</f>
        <v>0</v>
      </c>
      <c r="T249" s="419">
        <f>+T248/VLOOKUP('1. SUMMARY'!$C$20,rate,Sheet1!W$21,0)</f>
        <v>0</v>
      </c>
      <c r="U249" s="419">
        <f>+U248/VLOOKUP('1. SUMMARY'!$C$20,rate,Sheet1!X$21,0)</f>
        <v>0</v>
      </c>
      <c r="V249" s="419">
        <f>+V248/VLOOKUP('1. SUMMARY'!$C$20,rate,Sheet1!Y$21,0)</f>
        <v>0</v>
      </c>
      <c r="W249" s="419">
        <f>+W248/VLOOKUP('1. SUMMARY'!$C$20,rate,Sheet1!Z$21,0)</f>
        <v>0</v>
      </c>
      <c r="X249" s="419">
        <f>+X248/VLOOKUP('1. SUMMARY'!$C$20,rate,Sheet1!AA$21,0)</f>
        <v>0</v>
      </c>
      <c r="Y249" s="419">
        <f>+Y248/VLOOKUP('1. SUMMARY'!$C$20,rate,Sheet1!AB$21,0)</f>
        <v>0</v>
      </c>
      <c r="Z249" s="419">
        <f>+Z248/VLOOKUP('1. SUMMARY'!$C$20,rate,Sheet1!AC$21,0)</f>
        <v>0</v>
      </c>
      <c r="AA249" s="419">
        <f>+AA248/VLOOKUP('1. SUMMARY'!$C$20,rate,Sheet1!AD$21,0)</f>
        <v>0</v>
      </c>
      <c r="AB249" s="419">
        <f>+AB248/VLOOKUP('1. SUMMARY'!$C$20,rate,Sheet1!AE$21,0)</f>
        <v>0</v>
      </c>
      <c r="AC249" s="419">
        <f>+AC248/VLOOKUP('1. SUMMARY'!$C$20,rate,Sheet1!AF$21,0)</f>
        <v>0</v>
      </c>
      <c r="AD249" s="419">
        <f>+AD248/VLOOKUP('1. SUMMARY'!$C$20,rate,Sheet1!AG$21,0)</f>
        <v>0</v>
      </c>
      <c r="AE249" s="419">
        <f>+AE248/VLOOKUP('1. SUMMARY'!$C$20,rate,Sheet1!AH$21,0)</f>
        <v>0</v>
      </c>
      <c r="AF249" s="419">
        <f>+AF248/VLOOKUP('1. SUMMARY'!$C$20,rate,Sheet1!AI$21,0)</f>
        <v>0</v>
      </c>
      <c r="AG249" s="419">
        <f>+AG248/VLOOKUP('1. SUMMARY'!$C$20,rate,Sheet1!AJ$21,0)</f>
        <v>0</v>
      </c>
      <c r="AH249" s="219"/>
      <c r="AI249" s="419"/>
      <c r="AJ249" s="419"/>
      <c r="AK249" s="419"/>
      <c r="AL249" s="419"/>
      <c r="AM249" s="419"/>
      <c r="AN249" s="419"/>
      <c r="AO249" s="419"/>
      <c r="AP249" s="419"/>
      <c r="AQ249" s="419"/>
      <c r="AR249" s="419"/>
      <c r="AS249" s="419"/>
      <c r="AT249" s="419"/>
      <c r="AU249" s="419"/>
      <c r="AV249" s="419"/>
      <c r="AW249" s="419"/>
      <c r="AX249" s="419"/>
      <c r="AY249" s="419"/>
      <c r="AZ249" s="219"/>
    </row>
    <row r="250" spans="1:52" ht="12.75" customHeight="1">
      <c r="A250" s="216"/>
      <c r="B250" s="225"/>
      <c r="C250" s="225"/>
      <c r="D250" s="225"/>
      <c r="E250" s="225"/>
      <c r="F250" s="225"/>
      <c r="G250" s="225"/>
      <c r="H250" s="225"/>
      <c r="I250" s="225"/>
      <c r="J250" s="225"/>
      <c r="K250" s="225"/>
      <c r="L250" s="223"/>
      <c r="P250" s="207">
        <f t="shared" si="110"/>
        <v>1</v>
      </c>
      <c r="Q250" s="416">
        <f>Sheet1!$T$8</f>
        <v>44105</v>
      </c>
      <c r="R250" s="416">
        <f>Sheet1!$U$8</f>
        <v>44470</v>
      </c>
      <c r="S250" s="416">
        <f>Sheet1!$V$8</f>
        <v>44835</v>
      </c>
      <c r="T250" s="416">
        <f>Sheet1!$W$8</f>
        <v>45200</v>
      </c>
      <c r="U250" s="416">
        <f>Sheet1!$X$8</f>
        <v>45566</v>
      </c>
      <c r="V250" s="416">
        <f>Sheet1!$Y$8</f>
        <v>45931</v>
      </c>
      <c r="W250" s="416">
        <f>Sheet1!$Z$8</f>
        <v>46296</v>
      </c>
      <c r="X250" s="416">
        <f>Sheet1!$AA$8</f>
        <v>46661</v>
      </c>
      <c r="Y250" s="416">
        <f>Sheet1!$AB$8</f>
        <v>47027</v>
      </c>
      <c r="Z250" s="416">
        <f>Sheet1!$AC$8</f>
        <v>47392</v>
      </c>
      <c r="AA250" s="416">
        <f>$AA$5</f>
        <v>47757</v>
      </c>
      <c r="AB250" s="416">
        <f>$AB$5</f>
        <v>48122</v>
      </c>
      <c r="AC250" s="416">
        <f>$AC$5</f>
        <v>48488</v>
      </c>
      <c r="AD250" s="416">
        <f>$AD$5</f>
        <v>48853</v>
      </c>
      <c r="AE250" s="416">
        <f>$AE$5</f>
        <v>49218</v>
      </c>
      <c r="AF250" s="416">
        <f>$AF$5</f>
        <v>49583</v>
      </c>
      <c r="AG250" s="416">
        <f>$AG$5</f>
        <v>49949</v>
      </c>
      <c r="AH250" s="219"/>
      <c r="AI250" s="416">
        <f t="shared" ref="AI250:AR252" si="118">+Q250</f>
        <v>44105</v>
      </c>
      <c r="AJ250" s="416">
        <f t="shared" si="118"/>
        <v>44470</v>
      </c>
      <c r="AK250" s="416">
        <f t="shared" si="118"/>
        <v>44835</v>
      </c>
      <c r="AL250" s="416">
        <f t="shared" si="118"/>
        <v>45200</v>
      </c>
      <c r="AM250" s="416">
        <f t="shared" si="118"/>
        <v>45566</v>
      </c>
      <c r="AN250" s="416">
        <f t="shared" si="118"/>
        <v>45931</v>
      </c>
      <c r="AO250" s="416">
        <f t="shared" si="118"/>
        <v>46296</v>
      </c>
      <c r="AP250" s="416">
        <f t="shared" si="118"/>
        <v>46661</v>
      </c>
      <c r="AQ250" s="416">
        <f t="shared" si="118"/>
        <v>47027</v>
      </c>
      <c r="AR250" s="416">
        <f t="shared" si="118"/>
        <v>47392</v>
      </c>
      <c r="AS250" s="416">
        <f t="shared" ref="AS250:AY252" si="119">+AA250</f>
        <v>47757</v>
      </c>
      <c r="AT250" s="416">
        <f t="shared" si="119"/>
        <v>48122</v>
      </c>
      <c r="AU250" s="416">
        <f t="shared" si="119"/>
        <v>48488</v>
      </c>
      <c r="AV250" s="416">
        <f t="shared" si="119"/>
        <v>48853</v>
      </c>
      <c r="AW250" s="416">
        <f t="shared" si="119"/>
        <v>49218</v>
      </c>
      <c r="AX250" s="416">
        <f t="shared" si="119"/>
        <v>49583</v>
      </c>
      <c r="AY250" s="416">
        <f t="shared" si="119"/>
        <v>49949</v>
      </c>
      <c r="AZ250" s="211"/>
    </row>
    <row r="251" spans="1:52" ht="12.75" customHeight="1">
      <c r="A251" s="226" t="s">
        <v>150</v>
      </c>
      <c r="B251" s="227"/>
      <c r="C251" s="227"/>
      <c r="D251" s="227"/>
      <c r="E251" s="227"/>
      <c r="F251" s="227"/>
      <c r="G251" s="228"/>
      <c r="H251" s="228"/>
      <c r="I251" s="228"/>
      <c r="J251" s="228"/>
      <c r="K251" s="228"/>
      <c r="L251" s="229">
        <f>SUM(B251:K251)</f>
        <v>0</v>
      </c>
      <c r="P251" s="207">
        <f t="shared" si="110"/>
        <v>1</v>
      </c>
      <c r="Q251" s="416">
        <f>Sheet1!$T$9</f>
        <v>44469</v>
      </c>
      <c r="R251" s="416">
        <f>Sheet1!$U$9</f>
        <v>44834</v>
      </c>
      <c r="S251" s="416">
        <f>Sheet1!$V$9</f>
        <v>45199</v>
      </c>
      <c r="T251" s="416">
        <f>Sheet1!$W$9</f>
        <v>45565</v>
      </c>
      <c r="U251" s="416">
        <f>Sheet1!$X$9</f>
        <v>45930</v>
      </c>
      <c r="V251" s="416">
        <f>Sheet1!$Y$9</f>
        <v>46295</v>
      </c>
      <c r="W251" s="416">
        <f>Sheet1!$Z$9</f>
        <v>46660</v>
      </c>
      <c r="X251" s="416">
        <f>Sheet1!$AA$9</f>
        <v>47026</v>
      </c>
      <c r="Y251" s="416">
        <f>Sheet1!$AB$9</f>
        <v>47391</v>
      </c>
      <c r="Z251" s="416">
        <f>Sheet1!$AC$9</f>
        <v>47756</v>
      </c>
      <c r="AA251" s="416">
        <f>$AA$6</f>
        <v>48121</v>
      </c>
      <c r="AB251" s="416">
        <f>$AB$6</f>
        <v>48487</v>
      </c>
      <c r="AC251" s="416">
        <f>$AC$6</f>
        <v>48852</v>
      </c>
      <c r="AD251" s="416">
        <f>$AD$6</f>
        <v>49217</v>
      </c>
      <c r="AE251" s="416">
        <f>$AE$6</f>
        <v>49582</v>
      </c>
      <c r="AF251" s="416">
        <f>$AF$6</f>
        <v>49948</v>
      </c>
      <c r="AG251" s="416">
        <f>$AG$6</f>
        <v>50313</v>
      </c>
      <c r="AH251" s="219"/>
      <c r="AI251" s="416">
        <f t="shared" si="118"/>
        <v>44469</v>
      </c>
      <c r="AJ251" s="416">
        <f t="shared" si="118"/>
        <v>44834</v>
      </c>
      <c r="AK251" s="416">
        <f t="shared" si="118"/>
        <v>45199</v>
      </c>
      <c r="AL251" s="416">
        <f t="shared" si="118"/>
        <v>45565</v>
      </c>
      <c r="AM251" s="416">
        <f t="shared" si="118"/>
        <v>45930</v>
      </c>
      <c r="AN251" s="416">
        <f t="shared" si="118"/>
        <v>46295</v>
      </c>
      <c r="AO251" s="416">
        <f t="shared" si="118"/>
        <v>46660</v>
      </c>
      <c r="AP251" s="416">
        <f t="shared" si="118"/>
        <v>47026</v>
      </c>
      <c r="AQ251" s="416">
        <f t="shared" si="118"/>
        <v>47391</v>
      </c>
      <c r="AR251" s="416">
        <f t="shared" si="118"/>
        <v>47756</v>
      </c>
      <c r="AS251" s="416">
        <f t="shared" si="119"/>
        <v>48121</v>
      </c>
      <c r="AT251" s="416">
        <f t="shared" si="119"/>
        <v>48487</v>
      </c>
      <c r="AU251" s="416">
        <f t="shared" si="119"/>
        <v>48852</v>
      </c>
      <c r="AV251" s="416">
        <f t="shared" si="119"/>
        <v>49217</v>
      </c>
      <c r="AW251" s="416">
        <f t="shared" si="119"/>
        <v>49582</v>
      </c>
      <c r="AX251" s="416">
        <f t="shared" si="119"/>
        <v>49948</v>
      </c>
      <c r="AY251" s="416">
        <f t="shared" si="119"/>
        <v>50313</v>
      </c>
      <c r="AZ251" s="211"/>
    </row>
    <row r="252" spans="1:52" ht="12.75" customHeight="1">
      <c r="A252" s="221" t="s">
        <v>151</v>
      </c>
      <c r="B252" s="227"/>
      <c r="C252" s="227"/>
      <c r="D252" s="227"/>
      <c r="E252" s="227"/>
      <c r="F252" s="227"/>
      <c r="G252" s="228"/>
      <c r="H252" s="228"/>
      <c r="I252" s="228"/>
      <c r="J252" s="228"/>
      <c r="K252" s="228"/>
      <c r="L252" s="229">
        <f>SUM(B252:K252)</f>
        <v>0</v>
      </c>
      <c r="O252" s="207">
        <v>9</v>
      </c>
      <c r="P252" s="207">
        <f t="shared" si="110"/>
        <v>1</v>
      </c>
      <c r="Q252" s="417">
        <f>IF(IF(Q251&lt;$J$27,0,DATEDIF($J$27,Q251+1,"m"))&lt;0,0,IF(Q251&lt;$J$27,0,DATEDIF($J$27,Q251+1,"m")))</f>
        <v>0</v>
      </c>
      <c r="R252" s="417">
        <f>IF(IF(Q252=12,0,IF(R251&gt;$J$28,12-DATEDIF($J$28,R251+1,"m"),IF(R251&lt;$J$27,0,DATEDIF($J$27,R251+1,"m"))))&lt;0,0,IF(Q252=12,0,IF(R251&gt;$J$28,12-DATEDIF($J$28,R251+1,"m"),IF(R251&lt;$J$27,0,DATEDIF($J$27,R251+1,"m")))))</f>
        <v>0</v>
      </c>
      <c r="S252" s="417">
        <f>IF(IF(Q252+R252=12,0,IF(S251&gt;$J$28,12-DATEDIF($J$28,S251+1,"m"),IF(S251&lt;$J$27,0,DATEDIF($J$27,S251+1,"m"))))&lt;0,0,IF(Q252+R252=12,0,IF(S251&gt;$J$28,12-DATEDIF($J$28,S251+1,"m"),IF(S251&lt;$J$27,0,DATEDIF($J$27,S251+1,"m")))))</f>
        <v>0</v>
      </c>
      <c r="T252" s="417">
        <f>IF(IF(R252+S252+Q252=12,0,IF(T251&gt;$J$28,12-DATEDIF($J$28,T251+1,"m"),IF(T251&lt;$J$27,0,DATEDIF($J$27,T251+1,"m"))))&lt;0,0,IF(R252+S252+Q252=12,0,IF(T251&gt;$J$28,12-DATEDIF($J$28,T251+1,"m"),IF(T251&lt;$J$27,0,DATEDIF($J$27,T251+1,"m")))))</f>
        <v>0</v>
      </c>
      <c r="U252" s="417">
        <f>IF(IF(S252+T252+R252+Q252=12,0,IF(U251&gt;$J$28,12-DATEDIF($J$28,U251+1,"m"),IF(U251&lt;$J$27,0,DATEDIF($J$27,U251+1,"m"))))&lt;0,0,IF(S252+T252+R252+Q252=12,0,IF(U251&gt;$J$28,12-DATEDIF($J$28,U251+1,"m"),IF(U251&lt;$J$27,0,DATEDIF($J$27,U251+1,"m")))))</f>
        <v>0</v>
      </c>
      <c r="V252" s="417">
        <f>IF(IF(T252+U252+S252+R252+Q252=12,0,IF(V251&gt;$J$28,12-DATEDIF($J$28,V251+1,"m"),IF(V251&lt;$J$27,0,DATEDIF($J$27,V251+1,"m"))))&lt;0,0,IF(T252+U252+S252+R252+Q252=12,0,IF(V251&gt;$J$28,12-DATEDIF($J$28,V251+1,"m"),IF(V251&lt;$J$27,0,DATEDIF($J$27,V251+1,"m")))))</f>
        <v>0</v>
      </c>
      <c r="W252" s="417">
        <f>IF(IF(U252+V252+T252+S252+R252+Q252=12,0,IF(W251&gt;$J$28,12-DATEDIF($J$28,W251+1,"m"),IF(W251&lt;$J$27,0,DATEDIF($J$27,W251+1,"m"))))&lt;0,0,IF(U252+V252+T252+S252+R252+Q252=12,0,IF(W251&gt;$J$28,12-DATEDIF($J$28,W251+1,"m"),IF(W251&lt;$J$27,0,DATEDIF($J$27,W251+1,"m")))))</f>
        <v>0</v>
      </c>
      <c r="X252" s="417">
        <f>IF(IF(V252+W252+U252+T252+S252+R252+Q252=12,0,IF(X251&gt;$J$28,12-DATEDIF($J$28,X251+1,"m"),IF(X251&lt;$J$27,0,DATEDIF($J$27,X251+1,"m"))))&lt;0,0,IF(V252+W252+U252+T252+S252+R252+Q252=12,0,IF(X251&gt;$J$28,12-DATEDIF($J$28,X251+1,"m"),IF(X251&lt;$J$27,0,DATEDIF($J$27,X251+1,"m")))))</f>
        <v>0</v>
      </c>
      <c r="Y252" s="417">
        <f>IF(IF(W252+X252+V252+U252+T252+S252+R252+Q252=12,0,IF(Y251&gt;$J$28,12-DATEDIF($J$28,Y251+1,"m"),IF(Y251&lt;$J$27,0,DATEDIF($J$27,Y251+1,"m"))))&lt;0,0,IF(W252+X252+V252+U252+T252+S252+R252+Q252=12,0,IF(Y251&gt;$J$28,12-DATEDIF($J$28,Y251+1,"m"),IF(Y251&lt;$J$27,0,DATEDIF($J$27,Y251+1,"m")))))</f>
        <v>0</v>
      </c>
      <c r="Z252" s="417">
        <f>IF(IF(X252+Y252+W252+V252+U252+T252+S252+R252+Q252=12,0,IF(Z251&gt;$J$28,12-DATEDIF($J$28,Z251+1,"m"),IF(Z251&lt;$J$27,0,DATEDIF($J$27,Z251+1,"m"))))&lt;0,0,IF(X252+Y252+W252+V252+U252+T252+S252+R252+Q252=12,0,IF(Z251&gt;$J$28,12-DATEDIF($J$28,Z251+1,"m"),IF(Z251&lt;$J$27,0,DATEDIF($J$27,Z251+1,"m")))))</f>
        <v>0</v>
      </c>
      <c r="AA252" s="417">
        <f>IF(IF(Q252+R252+S252+Y252+Z252+X252+W252+V252+U252+T252=12,0,IF(AA251&gt;$J$28,12-DATEDIF($J$28,AA251+1,"m"),IF(AA251&lt;$J$27,0,DATEDIF($J$27,AA251+1,"m"))))&lt;0,0,IF(Q252+R252+S252+Y252+Z252+X252+W252+V252+U252+T252=12,0,IF(AA251&gt;$J$28,12-DATEDIF($J$28,AA251+1,"m"),IF(AA251&lt;$J$27,0,DATEDIF($J$27,AA251+1,"m")))))</f>
        <v>0</v>
      </c>
      <c r="AB252" s="417">
        <f>IF(IF(Q252+R252+S252+T252+Z252+AA252+Y252+X252+W252+V252+U252=12,0,IF(AB251&gt;$J$28,12-DATEDIF($J$28,AB251+1,"m"),IF(AB251&lt;$J$27,0,DATEDIF($J$27,AB251+1,"m"))))&lt;0,0,IF(Q252+R252+S252+T252+Z252+AA252+Y252+X252+W252+V252+U252=12,0,IF(AB251&gt;$J$28,12-DATEDIF($J$28,AB251+1,"m"),IF(AB251&lt;$J$27,0,DATEDIF($J$27,AB251+1,"m")))))</f>
        <v>0</v>
      </c>
      <c r="AC252" s="417">
        <f>IF(IF(Q252+R252+S252+T252+U252+AA252+AB252+Z252+Y252+X252+W252+V252=12,0,IF(AC251&gt;$J$28,12-DATEDIF($J$28,AC251+1,"m"),IF(AC251&lt;$J$27,0,DATEDIF($J$27,AC251+1,"m"))))&lt;0,0,IF(Q252+R252+S252+T252+U252+AA252+AB252+Z252+Y252+X252+W252+V252=12,0,IF(AC251&gt;$J$28,12-DATEDIF($J$28,AC251+1,"m"),IF(AC251&lt;$J$27,0,DATEDIF($J$27,AC251+1,"m")))))</f>
        <v>0</v>
      </c>
      <c r="AD252" s="417">
        <f>IF(IF(Q252+R252+S252+T252+U252+V252+AB252+AC252+AA252+Z252+Y252+X252+W252=12,0,IF(AD251&gt;$J$28,12-DATEDIF($J$28,AD251+1,"m"),IF(AD251&lt;$J$27,0,DATEDIF($J$27,AD251+1,"m"))))&lt;0,0,IF(Q252+R252+S252+T252+U252+V252+AB252+AC252+AA252+Z252+Y252+X252+W252=12,0,IF(AD251&gt;$J$28,12-DATEDIF($J$28,AD251+1,"m"),IF(AD251&lt;$J$27,0,DATEDIF($J$27,AD251+1,"m")))))</f>
        <v>0</v>
      </c>
      <c r="AE252" s="417">
        <f>IF(IF(Q252+R252+S252+T252+U252+V252+W252+AC252+AD252+AB252+AA252+Z252+Y252+X252=12,0,IF(AE251&gt;$J$28,12-DATEDIF($J$28,AE251+1,"m"),IF(AE251&lt;$J$27,0,DATEDIF($J$27,AE251+1,"m"))))&lt;0,0,IF(Q252+R252+S252+T252+U252+V252+W252+AC252+AD252+AB252+AA252+Z252+Y252+X252=12,0,IF(AE251&gt;$J$28,12-DATEDIF($J$28,AE251+1,"m"),IF(AE251&lt;$J$27,0,DATEDIF($J$27,AE251+1,"m")))))</f>
        <v>0</v>
      </c>
      <c r="AF252" s="417">
        <f>IF(IF(Q252+R252+S252+T252+U252+V252+W252+X252+AD252+AE252+AC252+AB252+AA252+Z252+Y252=12,0,IF(AF251&gt;$J$28,12-DATEDIF($J$28,AF251+1,"m"),IF(AF251&lt;$J$27,0,DATEDIF($J$27,AF251+1,"m"))))&lt;0,0,IF(Q252+R252+S252+T252+U252+V252+W252+X252+AD252+AE252+AC252+AB252+AA252+Z252+Y252=12,0,IF(AF251&gt;$J$28,12-DATEDIF($J$28,AF251+1,"m"),IF(AF251&lt;$J$27,0,DATEDIF($J$27,AF251+1,"m")))))</f>
        <v>0</v>
      </c>
      <c r="AG252" s="417">
        <f>IF(IF(Q252+R252+S252+T252+U252+V252+W252+X252+Y252+AE252+AF252+AD252+AC252+AB252+AA252+Z252=12,0,IF(AG251&gt;$J$28,12-DATEDIF($J$28,AG251+1,"m"),IF(AG251&lt;$J$27,0,DATEDIF($J$27,AG251+1,"m"))))&lt;0,0,IF(Q252+R252+S252+T252+U252+V252+W252+X252+Y252+AE252+AF252+AD252+AC252+AB252+AA252+Z252=12,0,IF(AG251&gt;$J$28,12-DATEDIF($J$28,AG251+1,"m"),IF(AG251&lt;$J$27,0,DATEDIF($J$27,AG251+1,"m")))))</f>
        <v>0</v>
      </c>
      <c r="AH252" s="423">
        <f>SUM(Q252:AG252)</f>
        <v>0</v>
      </c>
      <c r="AI252" s="417">
        <f t="shared" si="118"/>
        <v>0</v>
      </c>
      <c r="AJ252" s="417">
        <f t="shared" si="118"/>
        <v>0</v>
      </c>
      <c r="AK252" s="417">
        <f t="shared" si="118"/>
        <v>0</v>
      </c>
      <c r="AL252" s="417">
        <f t="shared" si="118"/>
        <v>0</v>
      </c>
      <c r="AM252" s="417">
        <f t="shared" si="118"/>
        <v>0</v>
      </c>
      <c r="AN252" s="417">
        <f t="shared" si="118"/>
        <v>0</v>
      </c>
      <c r="AO252" s="417">
        <f t="shared" si="118"/>
        <v>0</v>
      </c>
      <c r="AP252" s="417">
        <f t="shared" si="118"/>
        <v>0</v>
      </c>
      <c r="AQ252" s="417">
        <f t="shared" si="118"/>
        <v>0</v>
      </c>
      <c r="AR252" s="417">
        <f t="shared" si="118"/>
        <v>0</v>
      </c>
      <c r="AS252" s="417">
        <f t="shared" si="119"/>
        <v>0</v>
      </c>
      <c r="AT252" s="417">
        <f t="shared" si="119"/>
        <v>0</v>
      </c>
      <c r="AU252" s="417">
        <f t="shared" si="119"/>
        <v>0</v>
      </c>
      <c r="AV252" s="417">
        <f t="shared" si="119"/>
        <v>0</v>
      </c>
      <c r="AW252" s="417">
        <f t="shared" si="119"/>
        <v>0</v>
      </c>
      <c r="AX252" s="417">
        <f t="shared" si="119"/>
        <v>0</v>
      </c>
      <c r="AY252" s="417">
        <f t="shared" si="119"/>
        <v>0</v>
      </c>
      <c r="AZ252" s="219">
        <f>SUM(AI252:AY252)</f>
        <v>0</v>
      </c>
    </row>
    <row r="253" spans="1:52" ht="12.75" customHeight="1">
      <c r="A253" s="216"/>
      <c r="B253" s="217"/>
      <c r="C253" s="217"/>
      <c r="D253" s="217"/>
      <c r="E253" s="217"/>
      <c r="F253" s="217"/>
      <c r="G253" s="217"/>
      <c r="H253" s="217"/>
      <c r="I253" s="217"/>
      <c r="J253" s="217"/>
      <c r="K253" s="217"/>
      <c r="L253" s="218"/>
      <c r="P253" s="207">
        <f t="shared" si="110"/>
        <v>1</v>
      </c>
      <c r="Q253" s="417">
        <f>IF(Q252=0,0,(IF(($B$84+$C$84+$D$84+$E$84+$F$84+$G$84+$H$84+$I$84+$J$84)&lt;=25000,(($J$84/+$AH252)*Q252)*VLOOKUP('1. SUMMARY'!$C$20,rate,Sheet1!T$21,0),((IF(($F$84+$B$84+$C$84+$D$84+$E$84+$G$84+$H$84+$I$84)&gt;=25000,0,(((25000-($B$84+$C$84+$D$84+$E$84+$F$84+$G$84+$H$84+$I$84))/+$AH252)*Q252)*(VLOOKUP('1. SUMMARY'!$C$20,rate,Sheet1!T$21,0))))))))</f>
        <v>0</v>
      </c>
      <c r="R253" s="417">
        <f>IF(R252=0,0,(IF(($B$84+$C$84+$D$84+$E$84+$F$84+$G$84+$H$84+$I$84+$J$84)&lt;=25000,(($J$84/+$AH252)*R252)*VLOOKUP('1. SUMMARY'!$C$20,rate,Sheet1!U$21,0),((IF(($F$84+$B$84+$C$84+$D$84+$E$84+$G$84+$H$84+$I$84)&gt;=25000,0,(((25000-($B$84+$C$84+$D$84+$E$84+$F$84+$G$84+$H$84+$I$84))/+$AH252)*R252)*(VLOOKUP('1. SUMMARY'!$C$20,rate,Sheet1!U$21,0))))))))</f>
        <v>0</v>
      </c>
      <c r="S253" s="417">
        <f>IF(S252=0,0,(IF(($B$84+$C$84+$D$84+$E$84+$F$84+$G$84+$H$84+$I$84+$J$84)&lt;=25000,(($J$84/+$AH252)*S252)*VLOOKUP('1. SUMMARY'!$C$20,rate,Sheet1!V$21,0),((IF(($F$84+$B$84+$C$84+$D$84+$E$84+$G$84+$H$84+$I$84)&gt;=25000,0,(((25000-($B$84+$C$84+$D$84+$E$84+$F$84+$G$84+$H$84+$I$84))/+$AH252)*S252)*(VLOOKUP('1. SUMMARY'!$C$20,rate,Sheet1!V$21,0))))))))</f>
        <v>0</v>
      </c>
      <c r="T253" s="417">
        <f>IF(T252=0,0,(IF(($B$84+$C$84+$D$84+$E$84+$F$84+$G$84+$H$84+$I$84+$J$84)&lt;=25000,(($J$84/+$AH252)*T252)*VLOOKUP('1. SUMMARY'!$C$20,rate,Sheet1!W$21,0),((IF(($F$84+$B$84+$C$84+$D$84+$E$84+$G$84+$H$84+$I$84)&gt;=25000,0,(((25000-($B$84+$C$84+$D$84+$E$84+$F$84+$G$84+$H$84+$I$84))/+$AH252)*T252)*(VLOOKUP('1. SUMMARY'!$C$20,rate,Sheet1!W$21,0))))))))</f>
        <v>0</v>
      </c>
      <c r="U253" s="417">
        <f>IF(U252=0,0,(IF(($B$84+$C$84+$D$84+$E$84+$F$84+$G$84+$H$84+$I$84+$J$84)&lt;=25000,(($J$84/+$AH252)*U252)*VLOOKUP('1. SUMMARY'!$C$20,rate,Sheet1!X$21,0),((IF(($F$84+$B$84+$C$84+$D$84+$E$84+$G$84+$H$84+$I$84)&gt;=25000,0,(((25000-($B$84+$C$84+$D$84+$E$84+$F$84+$G$84+$H$84+$I$84))/+$AH252)*U252)*(VLOOKUP('1. SUMMARY'!$C$20,rate,Sheet1!X$21,0))))))))</f>
        <v>0</v>
      </c>
      <c r="V253" s="417">
        <f>IF(V252=0,0,(IF(($B$84+$C$84+$D$84+$E$84+$F$84+$G$84+$H$84+$I$84+$J$84)&lt;=25000,(($J$84/+$AH252)*V252)*VLOOKUP('1. SUMMARY'!$C$20,rate,Sheet1!Y$21,0),((IF(($F$84+$B$84+$C$84+$D$84+$E$84+$G$84+$H$84+$I$84)&gt;=25000,0,(((25000-($B$84+$C$84+$D$84+$E$84+$F$84+$G$84+$H$84+$I$84))/+$AH252)*V252)*(VLOOKUP('1. SUMMARY'!$C$20,rate,Sheet1!Y$21,0))))))))</f>
        <v>0</v>
      </c>
      <c r="W253" s="417">
        <f>IF(W252=0,0,(IF(($B$84+$C$84+$D$84+$E$84+$F$84+$G$84+$H$84+$I$84+$J$84)&lt;=25000,(($J$84/+$AH252)*W252)*VLOOKUP('1. SUMMARY'!$C$20,rate,Sheet1!Z$21,0),((IF(($F$84+$B$84+$C$84+$D$84+$E$84+$G$84+$H$84+$I$84)&gt;=25000,0,(((25000-($B$84+$C$84+$D$84+$E$84+$F$84+$G$84+$H$84+$I$84))/+$AH252)*W252)*(VLOOKUP('1. SUMMARY'!$C$20,rate,Sheet1!Z$21,0))))))))</f>
        <v>0</v>
      </c>
      <c r="X253" s="417">
        <f>IF(X252=0,0,(IF(($B$84+$C$84+$D$84+$E$84+$F$84+$G$84+$H$84+$I$84+$J$84)&lt;=25000,(($J$84/+$AH252)*X252)*VLOOKUP('1. SUMMARY'!$C$20,rate,Sheet1!AA$21,0),((IF(($F$84+$B$84+$C$84+$D$84+$E$84+$G$84+$H$84+$I$84)&gt;=25000,0,(((25000-($B$84+$C$84+$D$84+$E$84+$F$84+$G$84+$H$84+$I$84))/+$AH252)*X252)*(VLOOKUP('1. SUMMARY'!$C$20,rate,Sheet1!AA$21,0))))))))</f>
        <v>0</v>
      </c>
      <c r="Y253" s="417">
        <f>IF(Y252=0,0,(IF(($B$84+$C$84+$D$84+$E$84+$F$84+$G$84+$H$84+$I$84+$J$84)&lt;=25000,(($J$84/+$AH252)*Y252)*VLOOKUP('1. SUMMARY'!$C$20,rate,Sheet1!AB$21,0),((IF(($F$84+$B$84+$C$84+$D$84+$E$84+$G$84+$H$84+$I$84)&gt;=25000,0,(((25000-($B$84+$C$84+$D$84+$E$84+$F$84+$G$84+$H$84+$I$84))/+$AH252)*Y252)*(VLOOKUP('1. SUMMARY'!$C$20,rate,Sheet1!AB$21,0))))))))</f>
        <v>0</v>
      </c>
      <c r="Z253" s="417">
        <f>IF(Z252=0,0,(IF(($B$84+$C$84+$D$84+$E$84+$F$84+$G$84+$H$84+$I$84+$J$84)&lt;=25000,(($J$84/+$AH252)*Z252)*VLOOKUP('1. SUMMARY'!$C$20,rate,Sheet1!AC$21,0),((IF(($F$84+$B$84+$C$84+$D$84+$E$84+$G$84+$H$84+$I$84)&gt;=25000,0,(((25000-($B$84+$C$84+$D$84+$E$84+$F$84+$G$84+$H$84+$I$84))/+$AH252)*Z252)*(VLOOKUP('1. SUMMARY'!$C$20,rate,Sheet1!AC$21,0))))))))</f>
        <v>0</v>
      </c>
      <c r="AA253" s="417">
        <f>IF(AA252=0,0,(IF(($B$84+$C$84+$D$84+$E$84+$F$84+$G$84+$H$84+$I$84+$J$84)&lt;=25000,(($J$84/+$AH252)*AA252)*VLOOKUP('1. SUMMARY'!$C$20,rate,Sheet1!AD$21,0),((IF(($F$84+$B$84+$C$84+$D$84+$E$84+$G$84+$H$84+$I$84)&gt;=25000,0,(((25000-($B$84+$C$84+$D$84+$E$84+$F$84+$G$84+$H$84+$I$84))/+$AH252)*AA252)*(VLOOKUP('1. SUMMARY'!$C$20,rate,Sheet1!AD$21,0))))))))</f>
        <v>0</v>
      </c>
      <c r="AB253" s="417">
        <f>IF(AB252=0,0,(IF(($B$84+$C$84+$D$84+$E$84+$F$84+$G$84+$H$84+$I$84+$J$84)&lt;=25000,(($J$84/+$AH252)*AB252)*VLOOKUP('1. SUMMARY'!$C$20,rate,Sheet1!AE$21,0),((IF(($F$84+$B$84+$C$84+$D$84+$E$84+$G$84+$H$84+$I$84)&gt;=25000,0,(((25000-($B$84+$C$84+$D$84+$E$84+$F$84+$G$84+$H$84+$I$84))/+$AH252)*AB252)*(VLOOKUP('1. SUMMARY'!$C$20,rate,Sheet1!AE$21,0))))))))</f>
        <v>0</v>
      </c>
      <c r="AC253" s="417">
        <f>IF(AC252=0,0,(IF(($B$84+$C$84+$D$84+$E$84+$F$84+$G$84+$H$84+$I$84+$J$84)&lt;=25000,(($J$84/+$AH252)*AC252)*VLOOKUP('1. SUMMARY'!$C$20,rate,Sheet1!AF$21,0),((IF(($F$84+$B$84+$C$84+$D$84+$E$84+$G$84+$H$84+$I$84)&gt;=25000,0,(((25000-($B$84+$C$84+$D$84+$E$84+$F$84+$G$84+$H$84+$I$84))/+$AH252)*AC252)*(VLOOKUP('1. SUMMARY'!$C$20,rate,Sheet1!AF$21,0))))))))</f>
        <v>0</v>
      </c>
      <c r="AD253" s="417">
        <f>IF(AD252=0,0,(IF(($B$84+$C$84+$D$84+$E$84+$F$84+$G$84+$H$84+$I$84+$J$84)&lt;=25000,(($J$84/+$AH252)*AD252)*VLOOKUP('1. SUMMARY'!$C$20,rate,Sheet1!AG$21,0),((IF(($F$84+$B$84+$C$84+$D$84+$E$84+$G$84+$H$84+$I$84)&gt;=25000,0,(((25000-($B$84+$C$84+$D$84+$E$84+$F$84+$G$84+$H$84+$I$84))/+$AH252)*AD252)*(VLOOKUP('1. SUMMARY'!$C$20,rate,Sheet1!AG$21,0))))))))</f>
        <v>0</v>
      </c>
      <c r="AE253" s="417">
        <f>IF(AE252=0,0,(IF(($B$84+$C$84+$D$84+$E$84+$F$84+$G$84+$H$84+$I$84+$J$84)&lt;=25000,(($J$84/+$AH252)*AE252)*VLOOKUP('1. SUMMARY'!$C$20,rate,Sheet1!AH$21,0),((IF(($F$84+$B$84+$C$84+$D$84+$E$84+$G$84+$H$84+$I$84)&gt;=25000,0,(((25000-($B$84+$C$84+$D$84+$E$84+$F$84+$G$84+$H$84+$I$84))/+$AH252)*AE252)*(VLOOKUP('1. SUMMARY'!$C$20,rate,Sheet1!AH$21,0))))))))</f>
        <v>0</v>
      </c>
      <c r="AF253" s="417">
        <f>IF(AF252=0,0,(IF(($B$84+$C$84+$D$84+$E$84+$F$84+$G$84+$H$84+$I$84+$J$84)&lt;=25000,(($J$84/+$AH252)*AF252)*VLOOKUP('1. SUMMARY'!$C$20,rate,Sheet1!AI$21,0),((IF(($F$84+$B$84+$C$84+$D$84+$E$84+$G$84+$H$84+$I$84)&gt;=25000,0,(((25000-($B$84+$C$84+$D$84+$E$84+$F$84+$G$84+$H$84+$I$84))/+$AH252)*AF252)*(VLOOKUP('1. SUMMARY'!$C$20,rate,Sheet1!AI$21,0))))))))</f>
        <v>0</v>
      </c>
      <c r="AG253" s="417">
        <f>IF(AG252=0,0,(IF(($B$84+$C$84+$D$84+$E$84+$F$84+$G$84+$H$84+$I$84+$J$84)&lt;=25000,(($J$84/+$AH252)*AG252)*VLOOKUP('1. SUMMARY'!$C$20,rate,Sheet1!AJ$21,0),((IF(($F$84+$B$84+$C$84+$D$84+$E$84+$G$84+$H$84+$I$84)&gt;=25000,0,(((25000-($B$84+$C$84+$D$84+$E$84+$F$84+$G$84+$H$84+$I$84))/+$AH252)*AG252)*(VLOOKUP('1. SUMMARY'!$C$20,rate,Sheet1!AJ$21,0))))))))</f>
        <v>0</v>
      </c>
      <c r="AH253" s="219">
        <f>SUM(Q253:AG253)</f>
        <v>0</v>
      </c>
      <c r="AI253" s="417">
        <f>IF(AI252=0,0,((+$J84/$AZ252)*AI252)*VLOOKUP('1. SUMMARY'!$C$20,rate,Sheet1!T$21,0))</f>
        <v>0</v>
      </c>
      <c r="AJ253" s="417">
        <f>IF(AJ252=0,0,((+$J84/$AZ252)*AJ252)*VLOOKUP('1. SUMMARY'!$C$20,rate,Sheet1!U$21,0))</f>
        <v>0</v>
      </c>
      <c r="AK253" s="417">
        <f>IF(AK252=0,0,((+$J84/$AZ252)*AK252)*VLOOKUP('1. SUMMARY'!$C$20,rate,Sheet1!V$21,0))</f>
        <v>0</v>
      </c>
      <c r="AL253" s="417">
        <f>IF(AL252=0,0,((+$J84/$AZ252)*AL252)*VLOOKUP('1. SUMMARY'!$C$20,rate,Sheet1!W$21,0))</f>
        <v>0</v>
      </c>
      <c r="AM253" s="417">
        <f>IF(AM252=0,0,((+$J84/$AZ252)*AM252)*VLOOKUP('1. SUMMARY'!$C$20,rate,Sheet1!X$21,0))</f>
        <v>0</v>
      </c>
      <c r="AN253" s="417">
        <f>IF(AN252=0,0,((+$J84/$AZ252)*AN252)*VLOOKUP('1. SUMMARY'!$C$20,rate,Sheet1!Y$21,0))</f>
        <v>0</v>
      </c>
      <c r="AO253" s="417">
        <f>IF(AO252=0,0,((+$J84/$AZ252)*AO252)*VLOOKUP('1. SUMMARY'!$C$20,rate,Sheet1!Z$21,0))</f>
        <v>0</v>
      </c>
      <c r="AP253" s="417">
        <f>IF(AP252=0,0,((+$J84/$AZ252)*AP252)*VLOOKUP('1. SUMMARY'!$C$20,rate,Sheet1!AA$21,0))</f>
        <v>0</v>
      </c>
      <c r="AQ253" s="417">
        <f>IF(AQ252=0,0,((+$J84/$AZ252)*AQ252)*VLOOKUP('1. SUMMARY'!$C$20,rate,Sheet1!AB$21,0))</f>
        <v>0</v>
      </c>
      <c r="AR253" s="417">
        <f>IF(AR252=0,0,((+$J84/$AZ252)*AR252)*VLOOKUP('1. SUMMARY'!$C$20,rate,Sheet1!AC$21,0))</f>
        <v>0</v>
      </c>
      <c r="AS253" s="417">
        <f>IF(AS252=0,0,((+$J84/$AZ252)*AS252)*VLOOKUP('1. SUMMARY'!$C$20,rate,Sheet1!AD$21,0))</f>
        <v>0</v>
      </c>
      <c r="AT253" s="417">
        <f>IF(AT252=0,0,((+$J84/$AZ252)*AT252)*VLOOKUP('1. SUMMARY'!$C$20,rate,Sheet1!AE$21,0))</f>
        <v>0</v>
      </c>
      <c r="AU253" s="417">
        <f>IF(AU252=0,0,((+$J84/$AZ252)*AU252)*VLOOKUP('1. SUMMARY'!$C$20,rate,Sheet1!AF$21,0))</f>
        <v>0</v>
      </c>
      <c r="AV253" s="417">
        <f>IF(AV252=0,0,((+$J84/$AZ252)*AV252)*VLOOKUP('1. SUMMARY'!$C$20,rate,Sheet1!AG$21,0))</f>
        <v>0</v>
      </c>
      <c r="AW253" s="417">
        <f>IF(AW252=0,0,((+$J84/$AZ252)*AW252)*VLOOKUP('1. SUMMARY'!$C$20,rate,Sheet1!AH$21,0))</f>
        <v>0</v>
      </c>
      <c r="AX253" s="417">
        <f>IF(AX252=0,0,((+$J84/$AZ252)*AX252)*VLOOKUP('1. SUMMARY'!$C$20,rate,Sheet1!AI$21,0))</f>
        <v>0</v>
      </c>
      <c r="AY253" s="417">
        <f>IF(AY252=0,0,((+$J84/$AZ252)*AY252)*VLOOKUP('1. SUMMARY'!$C$20,rate,Sheet1!AJ$21,0))</f>
        <v>0</v>
      </c>
      <c r="AZ253" s="219">
        <f>SUM(AI253:AY253)</f>
        <v>0</v>
      </c>
    </row>
    <row r="254" spans="1:52" ht="12.75" customHeight="1">
      <c r="A254" s="231" t="s">
        <v>152</v>
      </c>
      <c r="B254" s="146">
        <f t="shared" ref="B254:K254" si="120">SUM(B251:B252)</f>
        <v>0</v>
      </c>
      <c r="C254" s="146">
        <f t="shared" si="120"/>
        <v>0</v>
      </c>
      <c r="D254" s="146">
        <f t="shared" si="120"/>
        <v>0</v>
      </c>
      <c r="E254" s="146">
        <f t="shared" si="120"/>
        <v>0</v>
      </c>
      <c r="F254" s="146">
        <f t="shared" si="120"/>
        <v>0</v>
      </c>
      <c r="G254" s="146">
        <f t="shared" si="120"/>
        <v>0</v>
      </c>
      <c r="H254" s="146">
        <f t="shared" si="120"/>
        <v>0</v>
      </c>
      <c r="I254" s="146">
        <f t="shared" si="120"/>
        <v>0</v>
      </c>
      <c r="J254" s="146">
        <f t="shared" si="120"/>
        <v>0</v>
      </c>
      <c r="K254" s="146">
        <f t="shared" si="120"/>
        <v>0</v>
      </c>
      <c r="L254" s="229">
        <f>SUM(B254:K254)</f>
        <v>0</v>
      </c>
      <c r="P254" s="207">
        <f t="shared" si="110"/>
        <v>1</v>
      </c>
      <c r="Q254" s="417">
        <f>+Q253/VLOOKUP('1. SUMMARY'!$C$20,rate,Sheet1!T$21,0)</f>
        <v>0</v>
      </c>
      <c r="R254" s="417">
        <f>+R253/VLOOKUP('1. SUMMARY'!$C$20,rate,Sheet1!U$21,0)</f>
        <v>0</v>
      </c>
      <c r="S254" s="417">
        <f>+S253/VLOOKUP('1. SUMMARY'!$C$20,rate,Sheet1!V$21,0)</f>
        <v>0</v>
      </c>
      <c r="T254" s="417">
        <f>+T253/VLOOKUP('1. SUMMARY'!$C$20,rate,Sheet1!W$21,0)</f>
        <v>0</v>
      </c>
      <c r="U254" s="417">
        <f>+U253/VLOOKUP('1. SUMMARY'!$C$20,rate,Sheet1!X$21,0)</f>
        <v>0</v>
      </c>
      <c r="V254" s="417">
        <f>+V253/VLOOKUP('1. SUMMARY'!$C$20,rate,Sheet1!Y$21,0)</f>
        <v>0</v>
      </c>
      <c r="W254" s="417">
        <f>+W253/VLOOKUP('1. SUMMARY'!$C$20,rate,Sheet1!Z$21,0)</f>
        <v>0</v>
      </c>
      <c r="X254" s="417">
        <f>+X253/VLOOKUP('1. SUMMARY'!$C$20,rate,Sheet1!AA$21,0)</f>
        <v>0</v>
      </c>
      <c r="Y254" s="417">
        <f>+Y253/VLOOKUP('1. SUMMARY'!$C$20,rate,Sheet1!AB$21,0)</f>
        <v>0</v>
      </c>
      <c r="Z254" s="417">
        <f>+Z253/VLOOKUP('1. SUMMARY'!$C$20,rate,Sheet1!AC$21,0)</f>
        <v>0</v>
      </c>
      <c r="AA254" s="417">
        <f>+AA253/VLOOKUP('1. SUMMARY'!$C$20,rate,Sheet1!AD$21,0)</f>
        <v>0</v>
      </c>
      <c r="AB254" s="417">
        <f>+AB253/VLOOKUP('1. SUMMARY'!$C$20,rate,Sheet1!AE$21,0)</f>
        <v>0</v>
      </c>
      <c r="AC254" s="417">
        <f>+AC253/VLOOKUP('1. SUMMARY'!$C$20,rate,Sheet1!AF$21,0)</f>
        <v>0</v>
      </c>
      <c r="AD254" s="417">
        <f>+AD253/VLOOKUP('1. SUMMARY'!$C$20,rate,Sheet1!AG$21,0)</f>
        <v>0</v>
      </c>
      <c r="AE254" s="417">
        <f>+AE253/VLOOKUP('1. SUMMARY'!$C$20,rate,Sheet1!AH$21,0)</f>
        <v>0</v>
      </c>
      <c r="AF254" s="417">
        <f>+AF253/VLOOKUP('1. SUMMARY'!$C$20,rate,Sheet1!AI$21,0)</f>
        <v>0</v>
      </c>
      <c r="AG254" s="417">
        <f>+AG253/VLOOKUP('1. SUMMARY'!$C$20,rate,Sheet1!AJ$21,0)</f>
        <v>0</v>
      </c>
      <c r="AH254" s="219"/>
      <c r="AI254" s="417"/>
      <c r="AJ254" s="417"/>
      <c r="AK254" s="417"/>
      <c r="AL254" s="417"/>
      <c r="AM254" s="417"/>
      <c r="AN254" s="417"/>
      <c r="AO254" s="417"/>
      <c r="AP254" s="417"/>
      <c r="AQ254" s="417"/>
      <c r="AR254" s="417"/>
      <c r="AS254" s="417"/>
      <c r="AT254" s="417"/>
      <c r="AU254" s="417"/>
      <c r="AV254" s="417"/>
      <c r="AW254" s="417"/>
      <c r="AX254" s="417"/>
      <c r="AY254" s="417"/>
      <c r="AZ254" s="219"/>
    </row>
    <row r="255" spans="1:52" ht="12.75" customHeight="1">
      <c r="A255" s="216"/>
      <c r="B255" s="217"/>
      <c r="C255" s="217"/>
      <c r="D255" s="217"/>
      <c r="E255" s="217"/>
      <c r="F255" s="217"/>
      <c r="G255" s="217"/>
      <c r="H255" s="217"/>
      <c r="I255" s="217"/>
      <c r="J255" s="217"/>
      <c r="K255" s="217"/>
      <c r="L255" s="218"/>
      <c r="P255" s="207">
        <f t="shared" si="110"/>
        <v>1</v>
      </c>
      <c r="Q255" s="420">
        <f>Sheet1!$T$8</f>
        <v>44105</v>
      </c>
      <c r="R255" s="420">
        <f>Sheet1!$U$8</f>
        <v>44470</v>
      </c>
      <c r="S255" s="420">
        <f>Sheet1!$V$8</f>
        <v>44835</v>
      </c>
      <c r="T255" s="420">
        <f>Sheet1!$W$8</f>
        <v>45200</v>
      </c>
      <c r="U255" s="420">
        <f>Sheet1!$X$8</f>
        <v>45566</v>
      </c>
      <c r="V255" s="420">
        <f>Sheet1!$Y$8</f>
        <v>45931</v>
      </c>
      <c r="W255" s="420">
        <f>Sheet1!$Z$8</f>
        <v>46296</v>
      </c>
      <c r="X255" s="420">
        <f>Sheet1!$AA$8</f>
        <v>46661</v>
      </c>
      <c r="Y255" s="420">
        <f>Sheet1!$AB$8</f>
        <v>47027</v>
      </c>
      <c r="Z255" s="420">
        <f>Sheet1!$AC$8</f>
        <v>47392</v>
      </c>
      <c r="AA255" s="420">
        <f>$AA$5</f>
        <v>47757</v>
      </c>
      <c r="AB255" s="420">
        <f>$AB$5</f>
        <v>48122</v>
      </c>
      <c r="AC255" s="420">
        <f>$AC$5</f>
        <v>48488</v>
      </c>
      <c r="AD255" s="420">
        <f>$AD$5</f>
        <v>48853</v>
      </c>
      <c r="AE255" s="420">
        <f>$AE$5</f>
        <v>49218</v>
      </c>
      <c r="AF255" s="420">
        <f>$AF$5</f>
        <v>49583</v>
      </c>
      <c r="AG255" s="420">
        <f>$AG$5</f>
        <v>49949</v>
      </c>
      <c r="AH255" s="219"/>
      <c r="AI255" s="420">
        <f t="shared" ref="AI255:AR257" si="121">+Q255</f>
        <v>44105</v>
      </c>
      <c r="AJ255" s="420">
        <f t="shared" si="121"/>
        <v>44470</v>
      </c>
      <c r="AK255" s="420">
        <f t="shared" si="121"/>
        <v>44835</v>
      </c>
      <c r="AL255" s="420">
        <f t="shared" si="121"/>
        <v>45200</v>
      </c>
      <c r="AM255" s="420">
        <f t="shared" si="121"/>
        <v>45566</v>
      </c>
      <c r="AN255" s="420">
        <f t="shared" si="121"/>
        <v>45931</v>
      </c>
      <c r="AO255" s="420">
        <f t="shared" si="121"/>
        <v>46296</v>
      </c>
      <c r="AP255" s="420">
        <f t="shared" si="121"/>
        <v>46661</v>
      </c>
      <c r="AQ255" s="420">
        <f t="shared" si="121"/>
        <v>47027</v>
      </c>
      <c r="AR255" s="420">
        <f t="shared" si="121"/>
        <v>47392</v>
      </c>
      <c r="AS255" s="420">
        <f t="shared" ref="AS255:AY257" si="122">+AA255</f>
        <v>47757</v>
      </c>
      <c r="AT255" s="420">
        <f t="shared" si="122"/>
        <v>48122</v>
      </c>
      <c r="AU255" s="420">
        <f t="shared" si="122"/>
        <v>48488</v>
      </c>
      <c r="AV255" s="420">
        <f t="shared" si="122"/>
        <v>48853</v>
      </c>
      <c r="AW255" s="420">
        <f t="shared" si="122"/>
        <v>49218</v>
      </c>
      <c r="AX255" s="420">
        <f t="shared" si="122"/>
        <v>49583</v>
      </c>
      <c r="AY255" s="420">
        <f t="shared" si="122"/>
        <v>49949</v>
      </c>
      <c r="AZ255" s="211"/>
    </row>
    <row r="256" spans="1:52" ht="12.75" customHeight="1">
      <c r="A256" s="226" t="s">
        <v>153</v>
      </c>
      <c r="B256" s="233">
        <f>IF(B248="No "&amp;B247,0,IF('1. SUMMARY'!$Q$20=1,$AH723,$AZ723))</f>
        <v>0</v>
      </c>
      <c r="C256" s="233">
        <f>IF(C248="No "&amp;C247,0,IF('1. SUMMARY'!$Q$20=1,$AH728,$AZ728))</f>
        <v>0</v>
      </c>
      <c r="D256" s="233">
        <f>IF(D248="No "&amp;D247,0,IF('1. SUMMARY'!$Q$20=1,$AH733,$AZ733))</f>
        <v>0</v>
      </c>
      <c r="E256" s="233">
        <f>IF(E248="No "&amp;E247,0,IF('1. SUMMARY'!$Q$20=1,$AH738,$AZ738))</f>
        <v>0</v>
      </c>
      <c r="F256" s="233">
        <f>IF(F248="No "&amp;F247,0,IF('1. SUMMARY'!$Q$20=1,$AH743,$AZ743))</f>
        <v>0</v>
      </c>
      <c r="G256" s="233">
        <f>IF(G248="No "&amp;G247,0,IF('1. SUMMARY'!$Q$20=1,$AH748,$AZ748))</f>
        <v>0</v>
      </c>
      <c r="H256" s="233">
        <f>IF(H248="No "&amp;H247,0,IF('1. SUMMARY'!$Q$20=1,$AH753,$AZ753))</f>
        <v>0</v>
      </c>
      <c r="I256" s="233">
        <f>IF(I248="No "&amp;I247,0,IF('1. SUMMARY'!$Q$20=1,$AH758,$AZ758))</f>
        <v>0</v>
      </c>
      <c r="J256" s="233">
        <f>IF(J248="No "&amp;J247,0,IF('1. SUMMARY'!$Q$20=1,$AH763,$AZ763))</f>
        <v>0</v>
      </c>
      <c r="K256" s="233">
        <f>IF(K248="No "&amp;K247,0,IF('1. SUMMARY'!$Q$20=1,$AH768,$AZ768))</f>
        <v>0</v>
      </c>
      <c r="L256" s="229">
        <f>SUM(B256:K256)</f>
        <v>0</v>
      </c>
      <c r="O256" s="207">
        <v>10</v>
      </c>
      <c r="P256" s="207">
        <f t="shared" si="110"/>
        <v>1</v>
      </c>
      <c r="Q256" s="420">
        <f>Sheet1!$T$9</f>
        <v>44469</v>
      </c>
      <c r="R256" s="420">
        <f>Sheet1!$U$9</f>
        <v>44834</v>
      </c>
      <c r="S256" s="420">
        <f>Sheet1!$V$9</f>
        <v>45199</v>
      </c>
      <c r="T256" s="420">
        <f>Sheet1!$W$9</f>
        <v>45565</v>
      </c>
      <c r="U256" s="420">
        <f>Sheet1!$X$9</f>
        <v>45930</v>
      </c>
      <c r="V256" s="420">
        <f>Sheet1!$Y$9</f>
        <v>46295</v>
      </c>
      <c r="W256" s="420">
        <f>Sheet1!$Z$9</f>
        <v>46660</v>
      </c>
      <c r="X256" s="420">
        <f>Sheet1!$AA$9</f>
        <v>47026</v>
      </c>
      <c r="Y256" s="420">
        <f>Sheet1!$AB$9</f>
        <v>47391</v>
      </c>
      <c r="Z256" s="420">
        <f>Sheet1!$AC$9</f>
        <v>47756</v>
      </c>
      <c r="AA256" s="420">
        <f>$AA$6</f>
        <v>48121</v>
      </c>
      <c r="AB256" s="420">
        <f>$AB$6</f>
        <v>48487</v>
      </c>
      <c r="AC256" s="420">
        <f>$AC$6</f>
        <v>48852</v>
      </c>
      <c r="AD256" s="420">
        <f>$AD$6</f>
        <v>49217</v>
      </c>
      <c r="AE256" s="420">
        <f>$AE$6</f>
        <v>49582</v>
      </c>
      <c r="AF256" s="420">
        <f>$AF$6</f>
        <v>49948</v>
      </c>
      <c r="AG256" s="420">
        <f>$AG$6</f>
        <v>50313</v>
      </c>
      <c r="AH256" s="219"/>
      <c r="AI256" s="420">
        <f t="shared" si="121"/>
        <v>44469</v>
      </c>
      <c r="AJ256" s="420">
        <f t="shared" si="121"/>
        <v>44834</v>
      </c>
      <c r="AK256" s="420">
        <f t="shared" si="121"/>
        <v>45199</v>
      </c>
      <c r="AL256" s="420">
        <f t="shared" si="121"/>
        <v>45565</v>
      </c>
      <c r="AM256" s="420">
        <f t="shared" si="121"/>
        <v>45930</v>
      </c>
      <c r="AN256" s="420">
        <f t="shared" si="121"/>
        <v>46295</v>
      </c>
      <c r="AO256" s="420">
        <f t="shared" si="121"/>
        <v>46660</v>
      </c>
      <c r="AP256" s="420">
        <f t="shared" si="121"/>
        <v>47026</v>
      </c>
      <c r="AQ256" s="420">
        <f t="shared" si="121"/>
        <v>47391</v>
      </c>
      <c r="AR256" s="420">
        <f t="shared" si="121"/>
        <v>47756</v>
      </c>
      <c r="AS256" s="420">
        <f t="shared" si="122"/>
        <v>48121</v>
      </c>
      <c r="AT256" s="420">
        <f t="shared" si="122"/>
        <v>48487</v>
      </c>
      <c r="AU256" s="420">
        <f t="shared" si="122"/>
        <v>48852</v>
      </c>
      <c r="AV256" s="420">
        <f t="shared" si="122"/>
        <v>49217</v>
      </c>
      <c r="AW256" s="420">
        <f t="shared" si="122"/>
        <v>49582</v>
      </c>
      <c r="AX256" s="420">
        <f t="shared" si="122"/>
        <v>49948</v>
      </c>
      <c r="AY256" s="420">
        <f t="shared" si="122"/>
        <v>50313</v>
      </c>
      <c r="AZ256" s="211"/>
    </row>
    <row r="257" spans="1:52" ht="12.75" customHeight="1">
      <c r="A257" s="216"/>
      <c r="B257" s="234"/>
      <c r="C257" s="234"/>
      <c r="D257" s="234"/>
      <c r="E257" s="234"/>
      <c r="F257" s="234"/>
      <c r="G257" s="234"/>
      <c r="H257" s="234"/>
      <c r="I257" s="234"/>
      <c r="J257" s="234"/>
      <c r="K257" s="234"/>
      <c r="L257" s="235"/>
      <c r="P257" s="207">
        <f t="shared" si="110"/>
        <v>1</v>
      </c>
      <c r="Q257" s="421">
        <f>IF(IF(Q256&lt;$K$27,0,DATEDIF($K$27,Q256+1,"m"))&lt;0,0,IF(Q256&lt;$K$27,0,DATEDIF($K$27,Q256+1,"m")))</f>
        <v>0</v>
      </c>
      <c r="R257" s="421">
        <f>IF(IF(Q257=12,0,IF(R256&gt;$K$28,12-DATEDIF($K$28,R256+1,"m"),IF(R256&lt;$K$27,0,DATEDIF($K$27,R256+1,"m"))))&lt;0,0,IF(Q257=12,0,IF(R256&gt;$K$28,12-DATEDIF($K$28,R256+1,"m"),IF(R256&lt;$K$27,0,DATEDIF($K$27,R256+1,"m")))))</f>
        <v>0</v>
      </c>
      <c r="S257" s="421">
        <f>IF(IF(Q257+R257=12,0,IF(S256&gt;$K$28,12-DATEDIF($K$28,S256+1,"m"),IF(S256&lt;$K$27,0,DATEDIF($K$27,S256+1,"m"))))&lt;0,0,IF(Q257+R257=12,0,IF(S256&gt;$K$28,12-DATEDIF($K$28,S256+1,"m"),IF(S256&lt;$K$27,0,DATEDIF($K$27,S256+1,"m")))))</f>
        <v>0</v>
      </c>
      <c r="T257" s="421">
        <f>IF(IF(R257+S257+Q257=12,0,IF(T256&gt;$K$28,12-DATEDIF($K$28,T256+1,"m"),IF(T256&lt;$K$27,0,DATEDIF($K$27,T256+1,"m"))))&lt;0,0,IF(R257+S257+Q257=12,0,IF(T256&gt;$K$28,12-DATEDIF($K$28,T256+1,"m"),IF(T256&lt;$K$27,0,DATEDIF($K$27,T256+1,"m")))))</f>
        <v>0</v>
      </c>
      <c r="U257" s="421">
        <f>IF(IF(S257+T257+R257+Q257=12,0,IF(U256&gt;$K$28,12-DATEDIF($K$28,U256+1,"m"),IF(U256&lt;$K$27,0,DATEDIF($K$27,U256+1,"m"))))&lt;0,0,IF(S257+T257+R257+Q257=12,0,IF(U256&gt;$K$28,12-DATEDIF($K$28,U256+1,"m"),IF(U256&lt;$K$27,0,DATEDIF($K$27,U256+1,"m")))))</f>
        <v>0</v>
      </c>
      <c r="V257" s="421">
        <f>IF(IF(T257+U257+S257+R257+Q257=12,0,IF(V256&gt;$K$28,12-DATEDIF($K$28,V256+1,"m"),IF(V256&lt;$K$27,0,DATEDIF($K$27,V256+1,"m"))))&lt;0,0,IF(T257+U257+S257+R257+Q257=12,0,IF(V256&gt;$K$28,12-DATEDIF($K$28,V256+1,"m"),IF(V256&lt;$K$27,0,DATEDIF($K$27,V256+1,"m")))))</f>
        <v>0</v>
      </c>
      <c r="W257" s="421">
        <f>IF(IF(U257+V257+T257+S257+R257+Q257=12,0,IF(W256&gt;$K$28,12-DATEDIF($K$28,W256+1,"m"),IF(W256&lt;$K$27,0,DATEDIF($K$27,W256+1,"m"))))&lt;0,0,IF(U257+V257+T257+S257+R257+Q257=12,0,IF(W256&gt;$K$28,12-DATEDIF($K$28,W256+1,"m"),IF(W256&lt;$K$27,0,DATEDIF($K$27,W256+1,"m")))))</f>
        <v>0</v>
      </c>
      <c r="X257" s="421">
        <f>IF(IF(V257+W257+U257+T257+S257+R257+Q257=12,0,IF(X256&gt;$K$28,12-DATEDIF($K$28,X256+1,"m"),IF(X256&lt;$K$27,0,DATEDIF($K$27,X256+1,"m"))))&lt;0,0,IF(V257+W257+U257+T257+S257+R257+Q257=12,0,IF(X256&gt;$K$28,12-DATEDIF($K$28,X256+1,"m"),IF(X256&lt;$K$27,0,DATEDIF($K$27,X256+1,"m")))))</f>
        <v>0</v>
      </c>
      <c r="Y257" s="421">
        <f>IF(IF(W257+X257+V257+U257+T257+S257+R257+Q257=12,0,IF(Y256&gt;$K$28,12-DATEDIF($K$28,Y256+1,"m"),IF(Y256&lt;$K$27,0,DATEDIF($K$27,Y256+1,"m"))))&lt;0,0,IF(W257+X257+V257+U257+T257+S257+R257+Q257=12,0,IF(Y256&gt;$K$28,12-DATEDIF($K$28,Y256+1,"m"),IF(Y256&lt;$K$27,0,DATEDIF($K$27,Y256+1,"m")))))</f>
        <v>0</v>
      </c>
      <c r="Z257" s="421">
        <f>IF(IF(X257+Y257+W257+V257+U257+T257+S257+R257+Q257=12,0,IF(Z256&gt;$K$28,12-DATEDIF($K$28,Z256+1,"m"),IF(Z256&lt;$K$27,0,DATEDIF($K$27,Z256+1,"m"))))&lt;0,0,IF(X257+Y257+W257+V257+U257+T257+S257+R257+Q257=12,0,IF(Z256&gt;$K$28,12-DATEDIF($K$28,Z256+1,"m"),IF(Z256&lt;$K$27,0,DATEDIF($K$27,Z256+1,"m")))))</f>
        <v>0</v>
      </c>
      <c r="AA257" s="421">
        <f>IF(IF(Q257+R257+S257+Y257+Z257+X257+W257+V257+U257+T257=12,0,IF(AA256&gt;$K$28,12-DATEDIF($K$28,AA256+1,"m"),IF(AA256&lt;$K$27,0,DATEDIF($K$27,AA256+1,"m"))))&lt;0,0,IF(Q257+R257+S257+Y257+Z257+X257+W257+V257+U257+T257=12,0,IF(AA256&gt;$K$28,12-DATEDIF($K$28,AA256+1,"m"),IF(AA256&lt;$K$27,0,DATEDIF($K$27,AA256+1,"m")))))</f>
        <v>0</v>
      </c>
      <c r="AB257" s="421">
        <f>IF(IF(Q257+R257+S257+T257+Z257+AA257+Y257+X257+W257+V257+U257=12,0,IF(AB256&gt;$K$28,12-DATEDIF($K$28,AB256+1,"m"),IF(AB256&lt;$K$27,0,DATEDIF($K$27,AB256+1,"m"))))&lt;0,0,IF(Q257+R257+S257+T257+Z257+AA257+Y257+X257+W257+V257+U257=12,0,IF(AB256&gt;$K$28,12-DATEDIF($K$28,AB256+1,"m"),IF(AB256&lt;$K$27,0,DATEDIF($K$27,AB256+1,"m")))))</f>
        <v>0</v>
      </c>
      <c r="AC257" s="421">
        <f>IF(IF(Q257+R257+S257+T257+U257+AA257+AB257+Z257+Y257+X257+W257+V257=12,0,IF(AC256&gt;$K$28,12-DATEDIF($K$28,AC256+1,"m"),IF(AC256&lt;$K$27,0,DATEDIF($K$27,AC256+1,"m"))))&lt;0,0,IF(Q257+R257+S257+T257+U257+AA257+AB257+Z257+Y257+X257+W257+V257=12,0,IF(AC256&gt;$K$28,12-DATEDIF($K$28,AC256+1,"m"),IF(AC256&lt;$K$27,0,DATEDIF($K$27,AC256+1,"m")))))</f>
        <v>0</v>
      </c>
      <c r="AD257" s="421">
        <f>IF(IF(Q257+R257+S257+T257+U257+V257+AB257+AC257+AA257+Z257+Y257+X257+W257=12,0,IF(AD256&gt;$K$28,12-DATEDIF($K$28,AD256+1,"m"),IF(AD256&lt;$K$27,0,DATEDIF($K$27,AD256+1,"m"))))&lt;0,0,IF(Q257+R257+S257+T257+U257+V257+AB257+AC257+AA257+Z257+Y257+X257+W257=12,0,IF(AD256&gt;$K$28,12-DATEDIF($K$28,AD256+1,"m"),IF(AD256&lt;$K$27,0,DATEDIF($K$27,AD256+1,"m")))))</f>
        <v>0</v>
      </c>
      <c r="AE257" s="421">
        <f>IF(IF(Q257+R257+S257+T257+U257+V257+W257+AC257+AD257+AB257+AA257+Z257+Y257+X257=12,0,IF(AE256&gt;$K$28,12-DATEDIF($K$28,AE256+1,"m"),IF(AE256&lt;$K$27,0,DATEDIF($K$27,AE256+1,"m"))))&lt;0,0,IF(Q257+R257+S257+T257+U257+V257+W257+AC257+AD257+AB257+AA257+Z257+Y257+X257=12,0,IF(AE256&gt;$K$28,12-DATEDIF($K$28,AE256+1,"m"),IF(AE256&lt;$K$27,0,DATEDIF($K$27,AE256+1,"m")))))</f>
        <v>0</v>
      </c>
      <c r="AF257" s="421">
        <f>IF(IF(Q257+R257+S257+T257+U257+V257+W257+X257+AD257+AE257+AC257+AB257+AA257+Z257+Y257=12,0,IF(AF256&gt;$K$28,12-DATEDIF($K$28,AF256+1,"m"),IF(AF256&lt;$K$27,0,DATEDIF($K$27,AF256+1,"m"))))&lt;0,0,IF(Q257+R257+S257+T257+U257+V257+W257+X257+AD257+AE257+AC257+AB257+AA257+Z257+Y257=12,0,IF(AF256&gt;$K$28,12-DATEDIF($K$28,AF256+1,"m"),IF(AF256&lt;$K$27,0,DATEDIF($K$27,AF256+1,"m")))))</f>
        <v>0</v>
      </c>
      <c r="AG257" s="421">
        <f>IF(IF(Q257+R257+S257+T257+U257+V257+W257+X257+Y257+AE257+AF257+AD257+AC257+AB257+AA257+Z257=12,0,IF(AG256&gt;$K$28,12-DATEDIF($K$28,AG256+1,"m"),IF(AG256&lt;$K$27,0,DATEDIF($K$27,AG256+1,"m"))))&lt;0,0,IF(Q257+R257+S257+T257+U257+V257+W257+X257+Y257+AE257+AF257+AD257+AC257+AB257+AA257+Z257=12,0,IF(AG256&gt;$K$28,12-DATEDIF($K$28,AG256+1,"m"),IF(AG256&lt;$K$27,0,DATEDIF($K$27,AG256+1,"m")))))</f>
        <v>0</v>
      </c>
      <c r="AH257" s="423">
        <f>SUM(Q257:AG257)</f>
        <v>0</v>
      </c>
      <c r="AI257" s="421">
        <f t="shared" si="121"/>
        <v>0</v>
      </c>
      <c r="AJ257" s="421">
        <f t="shared" si="121"/>
        <v>0</v>
      </c>
      <c r="AK257" s="421">
        <f t="shared" si="121"/>
        <v>0</v>
      </c>
      <c r="AL257" s="421">
        <f t="shared" si="121"/>
        <v>0</v>
      </c>
      <c r="AM257" s="421">
        <f t="shared" si="121"/>
        <v>0</v>
      </c>
      <c r="AN257" s="421">
        <f t="shared" si="121"/>
        <v>0</v>
      </c>
      <c r="AO257" s="421">
        <f t="shared" si="121"/>
        <v>0</v>
      </c>
      <c r="AP257" s="421">
        <f t="shared" si="121"/>
        <v>0</v>
      </c>
      <c r="AQ257" s="421">
        <f t="shared" si="121"/>
        <v>0</v>
      </c>
      <c r="AR257" s="421">
        <f t="shared" si="121"/>
        <v>0</v>
      </c>
      <c r="AS257" s="421">
        <f t="shared" si="122"/>
        <v>0</v>
      </c>
      <c r="AT257" s="421">
        <f t="shared" si="122"/>
        <v>0</v>
      </c>
      <c r="AU257" s="421">
        <f t="shared" si="122"/>
        <v>0</v>
      </c>
      <c r="AV257" s="421">
        <f t="shared" si="122"/>
        <v>0</v>
      </c>
      <c r="AW257" s="421">
        <f t="shared" si="122"/>
        <v>0</v>
      </c>
      <c r="AX257" s="421">
        <f t="shared" si="122"/>
        <v>0</v>
      </c>
      <c r="AY257" s="421">
        <f t="shared" si="122"/>
        <v>0</v>
      </c>
      <c r="AZ257" s="219">
        <f>SUM(AI257:AY257)</f>
        <v>0</v>
      </c>
    </row>
    <row r="258" spans="1:52" ht="12.75" customHeight="1" thickBot="1">
      <c r="A258" s="236" t="s">
        <v>154</v>
      </c>
      <c r="B258" s="237">
        <f>SUM(B254:B256)</f>
        <v>0</v>
      </c>
      <c r="C258" s="237" t="str">
        <f>IF(C248="No Year 2","",SUM(C254:C256))</f>
        <v/>
      </c>
      <c r="D258" s="237" t="str">
        <f>IF(D248="No Year 3","",SUM(D254:D256))</f>
        <v/>
      </c>
      <c r="E258" s="237" t="str">
        <f>IF(E248="No Year 4","",SUM(E254:E256))</f>
        <v/>
      </c>
      <c r="F258" s="237" t="str">
        <f>IF(F248="No Year 5","",SUM(F254:F256))</f>
        <v/>
      </c>
      <c r="G258" s="237" t="str">
        <f>IF(G248="No Year 6","",SUM(G254:G256))</f>
        <v/>
      </c>
      <c r="H258" s="237" t="str">
        <f>IF(H248="No Year 7","",SUM(H254:H256))</f>
        <v/>
      </c>
      <c r="I258" s="237" t="str">
        <f>IF(I248="No Year 8","",SUM(I254:I256))</f>
        <v/>
      </c>
      <c r="J258" s="237" t="str">
        <f>IF(J248="No Year 9","",SUM(J254:J256))</f>
        <v/>
      </c>
      <c r="K258" s="237" t="str">
        <f>IF(K248="No Year 10","",SUM(K254:K256))</f>
        <v/>
      </c>
      <c r="L258" s="238">
        <f>SUM(B258:K258)</f>
        <v>0</v>
      </c>
      <c r="N258" s="86">
        <f>IF(L258&gt;0,1,0)</f>
        <v>0</v>
      </c>
      <c r="P258" s="207">
        <f t="shared" si="110"/>
        <v>1</v>
      </c>
      <c r="Q258" s="421">
        <f>IF(Q257=0,0,(IF(($B$84+$C$84+$D$84+$E$84+$F$84+$G$84+$H$84+$I$84+$J$84+$K$84)&lt;=25000,(($K$84/+$AH257)*Q257)*VLOOKUP('1. SUMMARY'!$C$20,rate,Sheet1!T$21,0),((IF(($F$84+$B$84+$C$84+$D$84+$E$84+$G$84+$H$84+$I$84+$J$84)&gt;=25000,0,(((25000-($B$84+$C$84+$D$84+$E$84+$F$84+$G$84+$H$84+$I$84+$J$84))/+$AH257)*Q257)*(VLOOKUP('1. SUMMARY'!$C$20,rate,Sheet1!T$21,0))))))))</f>
        <v>0</v>
      </c>
      <c r="R258" s="421">
        <f>IF(R257=0,0,(IF(($B$84+$C$84+$D$84+$E$84+$F$84+$G$84+$H$84+$I$84+$J$84+$K$84)&lt;=25000,(($K$84/+$AH257)*R257)*VLOOKUP('1. SUMMARY'!$C$20,rate,Sheet1!U$21,0),((IF(($F$84+$B$84+$C$84+$D$84+$E$84+$G$84+$H$84+$I$84+$J$84)&gt;=25000,0,(((25000-($B$84+$C$84+$D$84+$E$84+$F$84+$G$84+$H$84+$I$84+$J$84))/+$AH257)*R257)*(VLOOKUP('1. SUMMARY'!$C$20,rate,Sheet1!U$21,0))))))))</f>
        <v>0</v>
      </c>
      <c r="S258" s="421">
        <f>IF(S257=0,0,(IF(($B$84+$C$84+$D$84+$E$84+$F$84+$G$84+$H$84+$I$84+$J$84+$K$84)&lt;=25000,(($K$84/+$AH257)*S257)*VLOOKUP('1. SUMMARY'!$C$20,rate,Sheet1!V$21,0),((IF(($F$84+$B$84+$C$84+$D$84+$E$84+$G$84+$H$84+$I$84+$J$84)&gt;=25000,0,(((25000-($B$84+$C$84+$D$84+$E$84+$F$84+$G$84+$H$84+$I$84+$J$84))/+$AH257)*S257)*(VLOOKUP('1. SUMMARY'!$C$20,rate,Sheet1!V$21,0))))))))</f>
        <v>0</v>
      </c>
      <c r="T258" s="421">
        <f>IF(T257=0,0,(IF(($B$84+$C$84+$D$84+$E$84+$F$84+$G$84+$H$84+$I$84+$J$84+$K$84)&lt;=25000,(($K$84/+$AH257)*T257)*VLOOKUP('1. SUMMARY'!$C$20,rate,Sheet1!W$21,0),((IF(($F$84+$B$84+$C$84+$D$84+$E$84+$G$84+$H$84+$I$84+$J$84)&gt;=25000,0,(((25000-($B$84+$C$84+$D$84+$E$84+$F$84+$G$84+$H$84+$I$84+$J$84))/+$AH257)*T257)*(VLOOKUP('1. SUMMARY'!$C$20,rate,Sheet1!W$21,0))))))))</f>
        <v>0</v>
      </c>
      <c r="U258" s="421">
        <f>IF(U257=0,0,(IF(($B$84+$C$84+$D$84+$E$84+$F$84+$G$84+$H$84+$I$84+$J$84+$K$84)&lt;=25000,(($K$84/+$AH257)*U257)*VLOOKUP('1. SUMMARY'!$C$20,rate,Sheet1!X$21,0),((IF(($F$84+$B$84+$C$84+$D$84+$E$84+$G$84+$H$84+$I$84+$J$84)&gt;=25000,0,(((25000-($B$84+$C$84+$D$84+$E$84+$F$84+$G$84+$H$84+$I$84+$J$84))/+$AH257)*U257)*(VLOOKUP('1. SUMMARY'!$C$20,rate,Sheet1!X$21,0))))))))</f>
        <v>0</v>
      </c>
      <c r="V258" s="421">
        <f>IF(V257=0,0,(IF(($B$84+$C$84+$D$84+$E$84+$F$84+$G$84+$H$84+$I$84+$J$84+$K$84)&lt;=25000,(($K$84/+$AH257)*V257)*VLOOKUP('1. SUMMARY'!$C$20,rate,Sheet1!Y$21,0),((IF(($F$84+$B$84+$C$84+$D$84+$E$84+$G$84+$H$84+$I$84+$J$84)&gt;=25000,0,(((25000-($B$84+$C$84+$D$84+$E$84+$F$84+$G$84+$H$84+$I$84+$J$84))/+$AH257)*V257)*(VLOOKUP('1. SUMMARY'!$C$20,rate,Sheet1!Y$21,0))))))))</f>
        <v>0</v>
      </c>
      <c r="W258" s="421">
        <f>IF(W257=0,0,(IF(($B$84+$C$84+$D$84+$E$84+$F$84+$G$84+$H$84+$I$84+$J$84+$K$84)&lt;=25000,(($K$84/+$AH257)*W257)*VLOOKUP('1. SUMMARY'!$C$20,rate,Sheet1!Z$21,0),((IF(($F$84+$B$84+$C$84+$D$84+$E$84+$G$84+$H$84+$I$84+$J$84)&gt;=25000,0,(((25000-($B$84+$C$84+$D$84+$E$84+$F$84+$G$84+$H$84+$I$84+$J$84))/+$AH257)*W257)*(VLOOKUP('1. SUMMARY'!$C$20,rate,Sheet1!Z$21,0))))))))</f>
        <v>0</v>
      </c>
      <c r="X258" s="421">
        <f>IF(X257=0,0,(IF(($B$84+$C$84+$D$84+$E$84+$F$84+$G$84+$H$84+$I$84+$J$84+$K$84)&lt;=25000,(($K$84/+$AH257)*X257)*VLOOKUP('1. SUMMARY'!$C$20,rate,Sheet1!AA$21,0),((IF(($F$84+$B$84+$C$84+$D$84+$E$84+$G$84+$H$84+$I$84+$J$84)&gt;=25000,0,(((25000-($B$84+$C$84+$D$84+$E$84+$F$84+$G$84+$H$84+$I$84+$J$84))/+$AH257)*X257)*(VLOOKUP('1. SUMMARY'!$C$20,rate,Sheet1!AA$21,0))))))))</f>
        <v>0</v>
      </c>
      <c r="Y258" s="421">
        <f>IF(Y257=0,0,(IF(($B$84+$C$84+$D$84+$E$84+$F$84+$G$84+$H$84+$I$84+$J$84+$K$84)&lt;=25000,(($K$84/+$AH257)*Y257)*VLOOKUP('1. SUMMARY'!$C$20,rate,Sheet1!AB$21,0),((IF(($F$84+$B$84+$C$84+$D$84+$E$84+$G$84+$H$84+$I$84+$J$84)&gt;=25000,0,(((25000-($B$84+$C$84+$D$84+$E$84+$F$84+$G$84+$H$84+$I$84+$J$84))/+$AH257)*Y257)*(VLOOKUP('1. SUMMARY'!$C$20,rate,Sheet1!AB$21,0))))))))</f>
        <v>0</v>
      </c>
      <c r="Z258" s="421">
        <f>IF(Z257=0,0,(IF(($B$84+$C$84+$D$84+$E$84+$F$84+$G$84+$H$84+$I$84+$J$84+$K$84)&lt;=25000,(($K$84/+$AH257)*Z257)*VLOOKUP('1. SUMMARY'!$C$20,rate,Sheet1!AC$21,0),((IF(($F$84+$B$84+$C$84+$D$84+$E$84+$G$84+$H$84+$I$84+$J$84)&gt;=25000,0,(((25000-($B$84+$C$84+$D$84+$E$84+$F$84+$G$84+$H$84+$I$84+$J$84))/+$AH257)*Z257)*(VLOOKUP('1. SUMMARY'!$C$20,rate,Sheet1!AC$21,0))))))))</f>
        <v>0</v>
      </c>
      <c r="AA258" s="421">
        <f>IF(AA257=0,0,(IF(($B$84+$C$84+$D$84+$E$84+$F$84+$G$84+$H$84+$I$84+$J$84+$K$84)&lt;=25000,(($K$84/+$AH257)*AA257)*VLOOKUP('1. SUMMARY'!$C$20,rate,Sheet1!AD$21,0),((IF(($F$84+$B$84+$C$84+$D$84+$E$84+$G$84+$H$84+$I$84+$J$84)&gt;=25000,0,(((25000-($B$84+$C$84+$D$84+$E$84+$F$84+$G$84+$H$84+$I$84+$J$84))/+$AH257)*AA257)*(VLOOKUP('1. SUMMARY'!$C$20,rate,Sheet1!AD$21,0))))))))</f>
        <v>0</v>
      </c>
      <c r="AB258" s="421">
        <f>IF(AB257=0,0,(IF(($B$84+$C$84+$D$84+$E$84+$F$84+$G$84+$H$84+$I$84+$J$84+$K$84)&lt;=25000,(($K$84/+$AH257)*AB257)*VLOOKUP('1. SUMMARY'!$C$20,rate,Sheet1!AE$21,0),((IF(($F$84+$B$84+$C$84+$D$84+$E$84+$G$84+$H$84+$I$84+$J$84)&gt;=25000,0,(((25000-($B$84+$C$84+$D$84+$E$84+$F$84+$G$84+$H$84+$I$84+$J$84))/+$AH257)*AB257)*(VLOOKUP('1. SUMMARY'!$C$20,rate,Sheet1!AE$21,0))))))))</f>
        <v>0</v>
      </c>
      <c r="AC258" s="421">
        <f>IF(AC257=0,0,(IF(($B$84+$C$84+$D$84+$E$84+$F$84+$G$84+$H$84+$I$84+$J$84+$K$84)&lt;=25000,(($K$84/+$AH257)*AC257)*VLOOKUP('1. SUMMARY'!$C$20,rate,Sheet1!AF$21,0),((IF(($F$84+$B$84+$C$84+$D$84+$E$84+$G$84+$H$84+$I$84+$J$84)&gt;=25000,0,(((25000-($B$84+$C$84+$D$84+$E$84+$F$84+$G$84+$H$84+$I$84+$J$84))/+$AH257)*AC257)*(VLOOKUP('1. SUMMARY'!$C$20,rate,Sheet1!AF$21,0))))))))</f>
        <v>0</v>
      </c>
      <c r="AD258" s="421">
        <f>IF(AD257=0,0,(IF(($B$84+$C$84+$D$84+$E$84+$F$84+$G$84+$H$84+$I$84+$J$84+$K$84)&lt;=25000,(($K$84/+$AH257)*AD257)*VLOOKUP('1. SUMMARY'!$C$20,rate,Sheet1!AG$21,0),((IF(($F$84+$B$84+$C$84+$D$84+$E$84+$G$84+$H$84+$I$84+$J$84)&gt;=25000,0,(((25000-($B$84+$C$84+$D$84+$E$84+$F$84+$G$84+$H$84+$I$84+$J$84))/+$AH257)*AD257)*(VLOOKUP('1. SUMMARY'!$C$20,rate,Sheet1!AG$21,0))))))))</f>
        <v>0</v>
      </c>
      <c r="AE258" s="421">
        <f>IF(AE257=0,0,(IF(($B$84+$C$84+$D$84+$E$84+$F$84+$G$84+$H$84+$I$84+$J$84+$K$84)&lt;=25000,(($K$84/+$AH257)*AE257)*VLOOKUP('1. SUMMARY'!$C$20,rate,Sheet1!AH$21,0),((IF(($F$84+$B$84+$C$84+$D$84+$E$84+$G$84+$H$84+$I$84+$J$84)&gt;=25000,0,(((25000-($B$84+$C$84+$D$84+$E$84+$F$84+$G$84+$H$84+$I$84+$J$84))/+$AH257)*AE257)*(VLOOKUP('1. SUMMARY'!$C$20,rate,Sheet1!AH$21,0))))))))</f>
        <v>0</v>
      </c>
      <c r="AF258" s="421">
        <f>IF(AF257=0,0,(IF(($B$84+$C$84+$D$84+$E$84+$F$84+$G$84+$H$84+$I$84+$J$84+$K$84)&lt;=25000,(($K$84/+$AH257)*AF257)*VLOOKUP('1. SUMMARY'!$C$20,rate,Sheet1!AI$21,0),((IF(($F$84+$B$84+$C$84+$D$84+$E$84+$G$84+$H$84+$I$84+$J$84)&gt;=25000,0,(((25000-($B$84+$C$84+$D$84+$E$84+$F$84+$G$84+$H$84+$I$84+$J$84))/+$AH257)*AF257)*(VLOOKUP('1. SUMMARY'!$C$20,rate,Sheet1!AI$21,0))))))))</f>
        <v>0</v>
      </c>
      <c r="AG258" s="421">
        <f>IF(AG257=0,0,(IF(($B$84+$C$84+$D$84+$E$84+$F$84+$G$84+$H$84+$I$84+$J$84+$K$84)&lt;=25000,(($K$84/+$AH257)*AG257)*VLOOKUP('1. SUMMARY'!$C$20,rate,Sheet1!AJ$21,0),((IF(($F$84+$B$84+$C$84+$D$84+$E$84+$G$84+$H$84+$I$84+$J$84)&gt;=25000,0,(((25000-($B$84+$C$84+$D$84+$E$84+$F$84+$G$84+$H$84+$I$84+$J$84))/+$AH257)*AG257)*(VLOOKUP('1. SUMMARY'!$C$20,rate,Sheet1!AJ$21,0))))))))</f>
        <v>0</v>
      </c>
      <c r="AH258" s="219">
        <f>SUM(Q258:AG258)</f>
        <v>0</v>
      </c>
      <c r="AI258" s="421">
        <f>IF(AI257=0,0,((+$K84/$AZ257)*AI257)*VLOOKUP('1. SUMMARY'!$C$20,rate,Sheet1!T$21,0))</f>
        <v>0</v>
      </c>
      <c r="AJ258" s="421">
        <f>IF(AJ257=0,0,((+$K84/$AZ257)*AJ257)*VLOOKUP('1. SUMMARY'!$C$20,rate,Sheet1!U$21,0))</f>
        <v>0</v>
      </c>
      <c r="AK258" s="421">
        <f>IF(AK257=0,0,((+$K84/$AZ257)*AK257)*VLOOKUP('1. SUMMARY'!$C$20,rate,Sheet1!V$21,0))</f>
        <v>0</v>
      </c>
      <c r="AL258" s="421">
        <f>IF(AL257=0,0,((+$K84/$AZ257)*AL257)*VLOOKUP('1. SUMMARY'!$C$20,rate,Sheet1!W$21,0))</f>
        <v>0</v>
      </c>
      <c r="AM258" s="421">
        <f>IF(AM257=0,0,((+$K84/$AZ257)*AM257)*VLOOKUP('1. SUMMARY'!$C$20,rate,Sheet1!X$21,0))</f>
        <v>0</v>
      </c>
      <c r="AN258" s="421">
        <f>IF(AN257=0,0,((+$K84/$AZ257)*AN257)*VLOOKUP('1. SUMMARY'!$C$20,rate,Sheet1!Y$21,0))</f>
        <v>0</v>
      </c>
      <c r="AO258" s="421">
        <f>IF(AO257=0,0,((+$K84/$AZ257)*AO257)*VLOOKUP('1. SUMMARY'!$C$20,rate,Sheet1!Z$21,0))</f>
        <v>0</v>
      </c>
      <c r="AP258" s="421">
        <f>IF(AP257=0,0,((+$K84/$AZ257)*AP257)*VLOOKUP('1. SUMMARY'!$C$20,rate,Sheet1!AA$21,0))</f>
        <v>0</v>
      </c>
      <c r="AQ258" s="421">
        <f>IF(AQ257=0,0,((+$K84/$AZ257)*AQ257)*VLOOKUP('1. SUMMARY'!$C$20,rate,Sheet1!AB$21,0))</f>
        <v>0</v>
      </c>
      <c r="AR258" s="421">
        <f>IF(AR257=0,0,((+$K84/$AZ257)*AR257)*VLOOKUP('1. SUMMARY'!$C$20,rate,Sheet1!AC$21,0))</f>
        <v>0</v>
      </c>
      <c r="AS258" s="421">
        <f>IF(AS257=0,0,((+$K84/$AZ257)*AS257)*VLOOKUP('1. SUMMARY'!$C$20,rate,Sheet1!AD$21,0))</f>
        <v>0</v>
      </c>
      <c r="AT258" s="421">
        <f>IF(AT257=0,0,((+$K84/$AZ257)*AT257)*VLOOKUP('1. SUMMARY'!$C$20,rate,Sheet1!AE$21,0))</f>
        <v>0</v>
      </c>
      <c r="AU258" s="421">
        <f>IF(AU257=0,0,((+$K84/$AZ257)*AU257)*VLOOKUP('1. SUMMARY'!$C$20,rate,Sheet1!AF$21,0))</f>
        <v>0</v>
      </c>
      <c r="AV258" s="421">
        <f>IF(AV257=0,0,((+$K84/$AZ257)*AV257)*VLOOKUP('1. SUMMARY'!$C$20,rate,Sheet1!AG$21,0))</f>
        <v>0</v>
      </c>
      <c r="AW258" s="421">
        <f>IF(AW257=0,0,((+$K84/$AZ257)*AW257)*VLOOKUP('1. SUMMARY'!$C$20,rate,Sheet1!AH$21,0))</f>
        <v>0</v>
      </c>
      <c r="AX258" s="421">
        <f>IF(AX257=0,0,((+$K84/$AZ257)*AX257)*VLOOKUP('1. SUMMARY'!$C$20,rate,Sheet1!AI$21,0))</f>
        <v>0</v>
      </c>
      <c r="AY258" s="421">
        <f>IF(AY257=0,0,((+$K84/$AZ257)*AY257)*VLOOKUP('1. SUMMARY'!$C$20,rate,Sheet1!AJ$21,0))</f>
        <v>0</v>
      </c>
      <c r="AZ258" s="219">
        <f>SUM(AI258:AY258)</f>
        <v>0</v>
      </c>
    </row>
    <row r="259" spans="1:52" ht="12.75" customHeight="1" thickTop="1">
      <c r="P259" s="207">
        <f t="shared" si="110"/>
        <v>1</v>
      </c>
      <c r="Q259" s="421">
        <f>+Q258/VLOOKUP('1. SUMMARY'!$C$20,rate,Sheet1!T$21,0)</f>
        <v>0</v>
      </c>
      <c r="R259" s="421">
        <f>+R258/VLOOKUP('1. SUMMARY'!$C$20,rate,Sheet1!U$21,0)</f>
        <v>0</v>
      </c>
      <c r="S259" s="421">
        <f>+S258/VLOOKUP('1. SUMMARY'!$C$20,rate,Sheet1!V$21,0)</f>
        <v>0</v>
      </c>
      <c r="T259" s="421">
        <f>+T258/VLOOKUP('1. SUMMARY'!$C$20,rate,Sheet1!W$21,0)</f>
        <v>0</v>
      </c>
      <c r="U259" s="421">
        <f>+U258/VLOOKUP('1. SUMMARY'!$C$20,rate,Sheet1!X$21,0)</f>
        <v>0</v>
      </c>
      <c r="V259" s="421">
        <f>+V258/VLOOKUP('1. SUMMARY'!$C$20,rate,Sheet1!Y$21,0)</f>
        <v>0</v>
      </c>
      <c r="W259" s="421">
        <f>+W258/VLOOKUP('1. SUMMARY'!$C$20,rate,Sheet1!Z$21,0)</f>
        <v>0</v>
      </c>
      <c r="X259" s="421">
        <f>+X258/VLOOKUP('1. SUMMARY'!$C$20,rate,Sheet1!AA$21,0)</f>
        <v>0</v>
      </c>
      <c r="Y259" s="421">
        <f>+Y258/VLOOKUP('1. SUMMARY'!$C$20,rate,Sheet1!AB$21,0)</f>
        <v>0</v>
      </c>
      <c r="Z259" s="421">
        <f>+Z258/VLOOKUP('1. SUMMARY'!$C$20,rate,Sheet1!AC$21,0)</f>
        <v>0</v>
      </c>
      <c r="AA259" s="421">
        <f>+AA258/VLOOKUP('1. SUMMARY'!$C$20,rate,Sheet1!AD$21,0)</f>
        <v>0</v>
      </c>
      <c r="AB259" s="421">
        <f>+AB258/VLOOKUP('1. SUMMARY'!$C$20,rate,Sheet1!AE$21,0)</f>
        <v>0</v>
      </c>
      <c r="AC259" s="421">
        <f>+AC258/VLOOKUP('1. SUMMARY'!$C$20,rate,Sheet1!AF$21,0)</f>
        <v>0</v>
      </c>
      <c r="AD259" s="421">
        <f>+AD258/VLOOKUP('1. SUMMARY'!$C$20,rate,Sheet1!AG$21,0)</f>
        <v>0</v>
      </c>
      <c r="AE259" s="421">
        <f>+AE258/VLOOKUP('1. SUMMARY'!$C$20,rate,Sheet1!AH$21,0)</f>
        <v>0</v>
      </c>
      <c r="AF259" s="421">
        <f>+AF258/VLOOKUP('1. SUMMARY'!$C$20,rate,Sheet1!AI$21,0)</f>
        <v>0</v>
      </c>
      <c r="AG259" s="421">
        <f>+AG258/VLOOKUP('1. SUMMARY'!$C$20,rate,Sheet1!AJ$21,0)</f>
        <v>0</v>
      </c>
      <c r="AH259" s="219"/>
      <c r="AI259" s="421"/>
      <c r="AJ259" s="421"/>
      <c r="AK259" s="421"/>
      <c r="AL259" s="421"/>
      <c r="AM259" s="421"/>
      <c r="AN259" s="421"/>
      <c r="AO259" s="421"/>
      <c r="AP259" s="421"/>
      <c r="AQ259" s="421"/>
      <c r="AR259" s="421"/>
      <c r="AS259" s="421"/>
      <c r="AT259" s="421"/>
      <c r="AU259" s="421"/>
      <c r="AV259" s="421"/>
      <c r="AW259" s="421"/>
      <c r="AX259" s="421"/>
      <c r="AY259" s="421"/>
      <c r="AZ259" s="219"/>
    </row>
    <row r="260" spans="1:52" ht="12.75" customHeight="1" thickBot="1">
      <c r="P260" s="207">
        <f t="shared" ref="P260:P284" si="123">IF(Q410=39356,(+P259+1),P259)</f>
        <v>1</v>
      </c>
      <c r="Q260" s="396">
        <f>Sheet1!$T$8</f>
        <v>44105</v>
      </c>
      <c r="R260" s="396">
        <f>Sheet1!$U$8</f>
        <v>44470</v>
      </c>
      <c r="S260" s="396">
        <f>Sheet1!$V$8</f>
        <v>44835</v>
      </c>
      <c r="T260" s="396">
        <f>Sheet1!$W$8</f>
        <v>45200</v>
      </c>
      <c r="U260" s="396">
        <f>Sheet1!$X$8</f>
        <v>45566</v>
      </c>
      <c r="V260" s="396">
        <f>Sheet1!$Y$8</f>
        <v>45931</v>
      </c>
      <c r="W260" s="396">
        <f>Sheet1!$Z$8</f>
        <v>46296</v>
      </c>
      <c r="X260" s="396">
        <f>Sheet1!$AA$8</f>
        <v>46661</v>
      </c>
      <c r="Y260" s="396">
        <f>Sheet1!$AB$8</f>
        <v>47027</v>
      </c>
      <c r="Z260" s="396">
        <f>Sheet1!$AC$8</f>
        <v>47392</v>
      </c>
      <c r="AA260" s="396">
        <f>$AA$5</f>
        <v>47757</v>
      </c>
      <c r="AB260" s="396">
        <f>$AB$5</f>
        <v>48122</v>
      </c>
      <c r="AC260" s="396">
        <f>$AC$5</f>
        <v>48488</v>
      </c>
      <c r="AD260" s="396">
        <f>$AD$5</f>
        <v>48853</v>
      </c>
      <c r="AE260" s="396">
        <f>$AE$5</f>
        <v>49218</v>
      </c>
      <c r="AF260" s="396">
        <f>$AF$5</f>
        <v>49583</v>
      </c>
      <c r="AG260" s="396">
        <f>$AG$5</f>
        <v>49949</v>
      </c>
      <c r="AH260" s="219"/>
      <c r="AI260" s="396">
        <f t="shared" ref="AI260:AR262" si="124">+Q260</f>
        <v>44105</v>
      </c>
      <c r="AJ260" s="396">
        <f t="shared" si="124"/>
        <v>44470</v>
      </c>
      <c r="AK260" s="396">
        <f t="shared" si="124"/>
        <v>44835</v>
      </c>
      <c r="AL260" s="396">
        <f t="shared" si="124"/>
        <v>45200</v>
      </c>
      <c r="AM260" s="396">
        <f t="shared" si="124"/>
        <v>45566</v>
      </c>
      <c r="AN260" s="396">
        <f t="shared" si="124"/>
        <v>45931</v>
      </c>
      <c r="AO260" s="396">
        <f t="shared" si="124"/>
        <v>46296</v>
      </c>
      <c r="AP260" s="396">
        <f t="shared" si="124"/>
        <v>46661</v>
      </c>
      <c r="AQ260" s="396">
        <f t="shared" si="124"/>
        <v>47027</v>
      </c>
      <c r="AR260" s="396">
        <f t="shared" si="124"/>
        <v>47392</v>
      </c>
      <c r="AS260" s="396">
        <f t="shared" ref="AS260:AY262" si="125">+AA260</f>
        <v>47757</v>
      </c>
      <c r="AT260" s="396">
        <f t="shared" si="125"/>
        <v>48122</v>
      </c>
      <c r="AU260" s="396">
        <f t="shared" si="125"/>
        <v>48488</v>
      </c>
      <c r="AV260" s="396">
        <f t="shared" si="125"/>
        <v>48853</v>
      </c>
      <c r="AW260" s="396">
        <f t="shared" si="125"/>
        <v>49218</v>
      </c>
      <c r="AX260" s="396">
        <f t="shared" si="125"/>
        <v>49583</v>
      </c>
      <c r="AY260" s="396">
        <f t="shared" si="125"/>
        <v>49949</v>
      </c>
      <c r="AZ260" s="396"/>
    </row>
    <row r="261" spans="1:52" ht="12.75" customHeight="1" thickTop="1">
      <c r="A261" s="239" t="str">
        <f>" Number of SUBAWARDS = "&amp;N275</f>
        <v xml:space="preserve"> Number of SUBAWARDS = 0</v>
      </c>
      <c r="B261" s="240"/>
      <c r="C261" s="240"/>
      <c r="D261" s="240"/>
      <c r="E261" s="240"/>
      <c r="F261" s="240"/>
      <c r="G261" s="240"/>
      <c r="H261" s="240"/>
      <c r="I261" s="240"/>
      <c r="J261" s="240"/>
      <c r="K261" s="240"/>
      <c r="L261" s="241"/>
      <c r="P261" s="207">
        <f t="shared" si="123"/>
        <v>1</v>
      </c>
      <c r="Q261" s="396">
        <f>Sheet1!$T$9</f>
        <v>44469</v>
      </c>
      <c r="R261" s="396">
        <f>Sheet1!$U$9</f>
        <v>44834</v>
      </c>
      <c r="S261" s="396">
        <f>Sheet1!$V$9</f>
        <v>45199</v>
      </c>
      <c r="T261" s="396">
        <f>Sheet1!$W$9</f>
        <v>45565</v>
      </c>
      <c r="U261" s="396">
        <f>Sheet1!$X$9</f>
        <v>45930</v>
      </c>
      <c r="V261" s="396">
        <f>Sheet1!$Y$9</f>
        <v>46295</v>
      </c>
      <c r="W261" s="396">
        <f>Sheet1!$Z$9</f>
        <v>46660</v>
      </c>
      <c r="X261" s="396">
        <f>Sheet1!$AA$9</f>
        <v>47026</v>
      </c>
      <c r="Y261" s="396">
        <f>Sheet1!$AB$9</f>
        <v>47391</v>
      </c>
      <c r="Z261" s="396">
        <f>Sheet1!$AC$9</f>
        <v>47756</v>
      </c>
      <c r="AA261" s="396">
        <f>$AA$6</f>
        <v>48121</v>
      </c>
      <c r="AB261" s="396">
        <f>$AB$6</f>
        <v>48487</v>
      </c>
      <c r="AC261" s="396">
        <f>$AC$6</f>
        <v>48852</v>
      </c>
      <c r="AD261" s="396">
        <f>$AD$6</f>
        <v>49217</v>
      </c>
      <c r="AE261" s="396">
        <f>$AE$6</f>
        <v>49582</v>
      </c>
      <c r="AF261" s="396">
        <f>$AF$6</f>
        <v>49948</v>
      </c>
      <c r="AG261" s="396">
        <f>$AG$6</f>
        <v>50313</v>
      </c>
      <c r="AH261" s="219"/>
      <c r="AI261" s="396">
        <f t="shared" si="124"/>
        <v>44469</v>
      </c>
      <c r="AJ261" s="396">
        <f t="shared" si="124"/>
        <v>44834</v>
      </c>
      <c r="AK261" s="396">
        <f t="shared" si="124"/>
        <v>45199</v>
      </c>
      <c r="AL261" s="396">
        <f t="shared" si="124"/>
        <v>45565</v>
      </c>
      <c r="AM261" s="396">
        <f t="shared" si="124"/>
        <v>45930</v>
      </c>
      <c r="AN261" s="396">
        <f t="shared" si="124"/>
        <v>46295</v>
      </c>
      <c r="AO261" s="396">
        <f t="shared" si="124"/>
        <v>46660</v>
      </c>
      <c r="AP261" s="396">
        <f t="shared" si="124"/>
        <v>47026</v>
      </c>
      <c r="AQ261" s="396">
        <f t="shared" si="124"/>
        <v>47391</v>
      </c>
      <c r="AR261" s="396">
        <f t="shared" si="124"/>
        <v>47756</v>
      </c>
      <c r="AS261" s="396">
        <f t="shared" si="125"/>
        <v>48121</v>
      </c>
      <c r="AT261" s="396">
        <f t="shared" si="125"/>
        <v>48487</v>
      </c>
      <c r="AU261" s="396">
        <f t="shared" si="125"/>
        <v>48852</v>
      </c>
      <c r="AV261" s="396">
        <f t="shared" si="125"/>
        <v>49217</v>
      </c>
      <c r="AW261" s="396">
        <f t="shared" si="125"/>
        <v>49582</v>
      </c>
      <c r="AX261" s="396">
        <f t="shared" si="125"/>
        <v>49948</v>
      </c>
      <c r="AY261" s="396">
        <f t="shared" si="125"/>
        <v>50313</v>
      </c>
      <c r="AZ261" s="396"/>
    </row>
    <row r="262" spans="1:52" ht="12.75" customHeight="1">
      <c r="A262" s="242"/>
      <c r="B262" s="577"/>
      <c r="C262" s="577"/>
      <c r="D262" s="577"/>
      <c r="E262" s="577"/>
      <c r="F262" s="577"/>
      <c r="G262" s="577"/>
      <c r="H262" s="577"/>
      <c r="I262" s="577"/>
      <c r="J262" s="577"/>
      <c r="K262" s="577"/>
      <c r="L262" s="578"/>
      <c r="O262" s="207" t="s">
        <v>228</v>
      </c>
      <c r="P262" s="207">
        <f t="shared" si="123"/>
        <v>1</v>
      </c>
      <c r="Q262" s="397">
        <f>IF(IF(Q261&lt;$B$27,0,DATEDIF($B$27,Q261+1,"m"))&lt;0,0,IF(Q261&lt;$B$27,0,DATEDIF($B$27,Q261+1,"m")))</f>
        <v>1461</v>
      </c>
      <c r="R262" s="397">
        <f>IF(IF(Q262=12,0,IF(R261&gt;$B$28,12-DATEDIF($B$28,R261+1,"m"),IF(R261&lt;$B$27,0,DATEDIF($B$27,R261+1,"m"))))&lt;0,0,IF(Q262=12,0,IF(R261&gt;$B$28,12-DATEDIF($B$28,R261+1,"m"),IF(R261&lt;$B$27,0,DATEDIF($B$27,R261+1,"m")))))</f>
        <v>0</v>
      </c>
      <c r="S262" s="397">
        <f>IF(IF(Q262+R262=12,0,IF(S261&gt;$B$28,12-DATEDIF($B$28,S261+1,"m"),IF(S261&lt;$B$27,0,DATEDIF($B$27,S261+1,"m"))))&lt;0,0,IF(Q262+R262=12,0,IF(S261&gt;$B$28,12-DATEDIF($B$28,S261+1,"m"),IF(S261&lt;$B$27,0,DATEDIF($B$27,S261+1,"m")))))</f>
        <v>0</v>
      </c>
      <c r="T262" s="397">
        <f>IF(IF(R262+S262+Q262=12,0,IF(T261&gt;$B$28,12-DATEDIF($B$28,T261+1,"m"),IF(T261&lt;$B$27,0,DATEDIF($B$27,T261+1,"m"))))&lt;0,0,IF(R262+S262+Q262=12,0,IF(T261&gt;$B$28,12-DATEDIF($B$28,T261+1,"m"),IF(T261&lt;$B$27,0,DATEDIF($B$27,T261+1,"m")))))</f>
        <v>0</v>
      </c>
      <c r="U262" s="397">
        <f>IF(IF(S262+T262+R262+Q262=12,0,IF(U261&gt;$B$28,12-DATEDIF($B$28,U261+1,"m"),IF(U261&lt;$B$27,0,DATEDIF($B$27,U261+1,"m"))))&lt;0,0,IF(S262+T262+R262+Q262=12,0,IF(U261&gt;$B$28,12-DATEDIF($B$28,U261+1,"m"),IF(U261&lt;$B$27,0,DATEDIF($B$27,U261+1,"m")))))</f>
        <v>0</v>
      </c>
      <c r="V262" s="397">
        <f>IF(IF(T262+U262+S262+R262+Q262=12,0,IF(V261&gt;$B$28,12-DATEDIF($B$28,V261+1,"m"),IF(V261&lt;$B$27,0,DATEDIF($B$27,V261+1,"m"))))&lt;0,0,IF(T262+U262+S262+R262+Q262=12,0,IF(V261&gt;$B$28,12-DATEDIF($B$28,V261+1,"m"),IF(V261&lt;$B$27,0,DATEDIF($B$27,V261+1,"m")))))</f>
        <v>0</v>
      </c>
      <c r="W262" s="397">
        <f>IF(IF(U262+V262+T262+S262+R262+Q262=12,0,IF(W261&gt;$B$28,12-DATEDIF($B$28,W261+1,"m"),IF(W261&lt;$B$27,0,DATEDIF($B$27,W261+1,"m"))))&lt;0,0,IF(U262+V262+T262+S262+R262+Q262=12,0,IF(W261&gt;$B$28,12-DATEDIF($B$28,W261+1,"m"),IF(W261&lt;$B$27,0,DATEDIF($B$27,W261+1,"m")))))</f>
        <v>0</v>
      </c>
      <c r="X262" s="397">
        <f>IF(IF(V262+W262+U262+T262+S262+R262+Q262=12,0,IF(X261&gt;$B$28,12-DATEDIF($B$28,X261+1,"m"),IF(X261&lt;$B$27,0,DATEDIF($B$27,X261+1,"m"))))&lt;0,0,IF(V262+W262+U262+T262+S262+R262+Q262=12,0,IF(X261&gt;$B$28,12-DATEDIF($B$28,X261+1,"m"),IF(X261&lt;$B$27,0,DATEDIF($B$27,X261+1,"m")))))</f>
        <v>0</v>
      </c>
      <c r="Y262" s="397">
        <f>IF(IF(W262+X262+V262+U262+T262+S262+R262=12,0,IF(Y261&gt;$B$28,12-DATEDIF($B$28,Y261+1,"m"),IF(Y261&lt;$B$27,0,DATEDIF($B$27,Y261+1,"m"))))&lt;0,0,IF(W262+X262+V262+U262+T262+S262+R262=12,0,IF(Y261&gt;$B$28,12-DATEDIF($B$28,Y261+1,"m"),IF(Y261&lt;$B$27,0,DATEDIF($B$27,Y261+1,"m")))))</f>
        <v>0</v>
      </c>
      <c r="Z262" s="397">
        <f>IF(IF(X262+Y262+W262+V262+U262+T262+S262+R262+Q262=12,0,IF(Z261&gt;$B$28,12-DATEDIF($B$28,Z261+1,"m"),IF(Z261&lt;$B$27,0,DATEDIF($B$27,Z261+1,"m"))))&lt;0,0,IF(X262+Y262+W262+V262+U262+T262+S262+Q262+R262=12,0,IF(Z261&gt;$B$28,12-DATEDIF($B$28,Z261+1,"m"),IF(Z261&lt;$B$27,0,DATEDIF($B$27,Z261+1,"m")))))</f>
        <v>0</v>
      </c>
      <c r="AA262" s="397"/>
      <c r="AB262" s="397"/>
      <c r="AC262" s="397"/>
      <c r="AD262" s="397"/>
      <c r="AE262" s="397"/>
      <c r="AF262" s="397"/>
      <c r="AG262" s="397"/>
      <c r="AH262" s="423">
        <f>SUM(Q262:AG262)</f>
        <v>1461</v>
      </c>
      <c r="AI262" s="397">
        <f t="shared" si="124"/>
        <v>1461</v>
      </c>
      <c r="AJ262" s="397">
        <f t="shared" si="124"/>
        <v>0</v>
      </c>
      <c r="AK262" s="397">
        <f t="shared" si="124"/>
        <v>0</v>
      </c>
      <c r="AL262" s="397">
        <f t="shared" si="124"/>
        <v>0</v>
      </c>
      <c r="AM262" s="397">
        <f t="shared" si="124"/>
        <v>0</v>
      </c>
      <c r="AN262" s="397">
        <f t="shared" si="124"/>
        <v>0</v>
      </c>
      <c r="AO262" s="397">
        <f t="shared" si="124"/>
        <v>0</v>
      </c>
      <c r="AP262" s="397">
        <f t="shared" si="124"/>
        <v>0</v>
      </c>
      <c r="AQ262" s="397">
        <f t="shared" si="124"/>
        <v>0</v>
      </c>
      <c r="AR262" s="397">
        <f t="shared" si="124"/>
        <v>0</v>
      </c>
      <c r="AS262" s="397">
        <f t="shared" si="125"/>
        <v>0</v>
      </c>
      <c r="AT262" s="397">
        <f t="shared" si="125"/>
        <v>0</v>
      </c>
      <c r="AU262" s="397">
        <f t="shared" si="125"/>
        <v>0</v>
      </c>
      <c r="AV262" s="397">
        <f t="shared" si="125"/>
        <v>0</v>
      </c>
      <c r="AW262" s="397">
        <f t="shared" si="125"/>
        <v>0</v>
      </c>
      <c r="AX262" s="397">
        <f t="shared" si="125"/>
        <v>0</v>
      </c>
      <c r="AY262" s="397">
        <f t="shared" si="125"/>
        <v>0</v>
      </c>
      <c r="AZ262" s="397">
        <f>SUM(AI262:AY262)</f>
        <v>1461</v>
      </c>
    </row>
    <row r="263" spans="1:52" ht="12.75" customHeight="1">
      <c r="A263" s="243"/>
      <c r="B263" s="244"/>
      <c r="C263" s="244"/>
      <c r="D263" s="244"/>
      <c r="E263" s="244"/>
      <c r="F263" s="244"/>
      <c r="G263" s="244"/>
      <c r="H263" s="244"/>
      <c r="I263" s="244"/>
      <c r="J263" s="244"/>
      <c r="K263" s="244"/>
      <c r="L263" s="245"/>
      <c r="P263" s="207">
        <f t="shared" si="123"/>
        <v>1</v>
      </c>
      <c r="Q263" s="398">
        <f>IF(Q262=0,0,(IF($B$101&gt;25000,((25000/+$AH262)*Q262)*VLOOKUP('1. SUMMARY'!$C$20,rate,Sheet1!T$21,0),(($B$101/+$AH262)*Q262)*VLOOKUP('1. SUMMARY'!$C$20,rate,Sheet1!T$21,0))))</f>
        <v>0</v>
      </c>
      <c r="R263" s="398">
        <f>IF(R262=0,0,(IF($B$101&gt;25000,((25000/+$AH$262)*R262)*VLOOKUP('1. SUMMARY'!$C$20,rate,Sheet1!U$21,0),(($B$101/+$AH$262)*R262)*VLOOKUP('1. SUMMARY'!$C$20,rate,Sheet1!U$21,0))))</f>
        <v>0</v>
      </c>
      <c r="S263" s="398">
        <f>IF(S262=0,0,(IF($B$101&gt;25000,((25000/+$AH$262)*S262)*VLOOKUP('1. SUMMARY'!$C$20,rate,Sheet1!V$21,0),(($B$101/+$AH$262)*S262)*VLOOKUP('1. SUMMARY'!$C$20,rate,Sheet1!V$21,0))))</f>
        <v>0</v>
      </c>
      <c r="T263" s="398">
        <f>IF(T262=0,0,(IF($B$101&gt;25000,((25000/+$AH$262)*T262)*VLOOKUP('1. SUMMARY'!$C$20,rate,Sheet1!W$21,0),(($B$101/+$AH$262)*T262)*VLOOKUP('1. SUMMARY'!$C$20,rate,Sheet1!W$21,0))))</f>
        <v>0</v>
      </c>
      <c r="U263" s="398">
        <f>IF(U262=0,0,(IF($B$101&gt;25000,((25000/+$AH$262)*U262)*VLOOKUP('1. SUMMARY'!$C$20,rate,Sheet1!X$21,0),(($B$101/+$AH$262)*U262)*VLOOKUP('1. SUMMARY'!$C$20,rate,Sheet1!X$21,0))))</f>
        <v>0</v>
      </c>
      <c r="V263" s="398">
        <f>IF(V262=0,0,(IF($B$101&gt;25000,((25000/+$AH$262)*V262)*VLOOKUP('1. SUMMARY'!$C$20,rate,Sheet1!Y$21,0),(($B$101/+$AH$262)*V262)*VLOOKUP('1. SUMMARY'!$C$20,rate,Sheet1!Y$21,0))))</f>
        <v>0</v>
      </c>
      <c r="W263" s="398">
        <f>IF(W262=0,0,(IF($B$101&gt;25000,((25000/+$AH$262)*W262)*VLOOKUP('1. SUMMARY'!$C$20,rate,Sheet1!Z$21,0),(($B$101/+$AH$262)*W262)*VLOOKUP('1. SUMMARY'!$C$20,rate,Sheet1!Z$21,0))))</f>
        <v>0</v>
      </c>
      <c r="X263" s="398">
        <f>IF(X262=0,0,(IF($B$101&gt;25000,((25000/+$AH$262)*X262)*VLOOKUP('1. SUMMARY'!$C$20,rate,Sheet1!AA$21,0),(($B$101/+$AH$262)*X262)*VLOOKUP('1. SUMMARY'!$C$20,rate,Sheet1!AA$21,0))))</f>
        <v>0</v>
      </c>
      <c r="Y263" s="398">
        <f>IF(Y262=0,0,(IF($B$101&gt;25000,((25000/+$AH$262)*Y262)*VLOOKUP('1. SUMMARY'!$C$20,rate,Sheet1!AB$21,0),(($B$101/+$AH$262)*Y262)*VLOOKUP('1. SUMMARY'!$C$20,rate,Sheet1!AB$21,0))))</f>
        <v>0</v>
      </c>
      <c r="Z263" s="398">
        <f>IF(Z262=0,0,(IF($B$101&gt;25000,((25000/+$AH$262)*Z262)*VLOOKUP('1. SUMMARY'!$C$20,rate,Sheet1!AC$21,0),(($B$101/+$AH$262)*Z262)*VLOOKUP('1. SUMMARY'!$C$20,rate,Sheet1!AC$21,0))))</f>
        <v>0</v>
      </c>
      <c r="AA263" s="398">
        <f>IF(AA262=0,0,(IF($B$101&gt;25000,((25000/+$AH$262)*AA262)*VLOOKUP('1. SUMMARY'!$C$20,rate,Sheet1!AD$21,0),(($B$101/+$AH$262)*AA262)*VLOOKUP('1. SUMMARY'!$C$20,rate,Sheet1!AD$21,0))))</f>
        <v>0</v>
      </c>
      <c r="AB263" s="398">
        <f>IF(AB262=0,0,(IF($B$101&gt;25000,((25000/+$AH$262)*AB262)*VLOOKUP('1. SUMMARY'!$C$20,rate,Sheet1!AE$21,0),(($B$101/+$AH$262)*AB262)*VLOOKUP('1. SUMMARY'!$C$20,rate,Sheet1!AE$21,0))))</f>
        <v>0</v>
      </c>
      <c r="AC263" s="398">
        <f>IF(AC262=0,0,(IF($B$101&gt;25000,((25000/+$AH$262)*AC262)*VLOOKUP('1. SUMMARY'!$C$20,rate,Sheet1!AF$21,0),(($B$101/+$AH$262)*AC262)*VLOOKUP('1. SUMMARY'!$C$20,rate,Sheet1!AF$21,0))))</f>
        <v>0</v>
      </c>
      <c r="AD263" s="398">
        <f>IF(AD262=0,0,(IF($B$101&gt;25000,((25000/+$AH$262)*AD262)*VLOOKUP('1. SUMMARY'!$C$20,rate,Sheet1!AG$21,0),(($B$101/+$AH$262)*AD262)*VLOOKUP('1. SUMMARY'!$C$20,rate,Sheet1!AG$21,0))))</f>
        <v>0</v>
      </c>
      <c r="AE263" s="398">
        <f>IF(AE262=0,0,(IF($B$101&gt;25000,((25000/+$AH$262)*AE262)*VLOOKUP('1. SUMMARY'!$C$20,rate,Sheet1!AH$21,0),(($B$101/+$AH$262)*AE262)*VLOOKUP('1. SUMMARY'!$C$20,rate,Sheet1!AH$21,0))))</f>
        <v>0</v>
      </c>
      <c r="AF263" s="398">
        <f>IF(AF262=0,0,(IF($B$101&gt;25000,((25000/+$AH$262)*AF262)*VLOOKUP('1. SUMMARY'!$C$20,rate,Sheet1!AI$21,0),(($B$101/+$AH$262)*AF262)*VLOOKUP('1. SUMMARY'!$C$20,rate,Sheet1!AI$21,0))))</f>
        <v>0</v>
      </c>
      <c r="AG263" s="398">
        <f>IF(AG262=0,0,(IF($B$101&gt;25000,((25000/+$AH$262)*AG262)*VLOOKUP('1. SUMMARY'!$C$20,rate,Sheet1!AJ$21,0),(($B$101/+$AH$262)*AG262)*VLOOKUP('1. SUMMARY'!$C$20,rate,Sheet1!AJ$21,0))))</f>
        <v>0</v>
      </c>
      <c r="AH263" s="219">
        <f>SUM(Q263:AG263)</f>
        <v>0</v>
      </c>
      <c r="AI263" s="398">
        <f>IF(Q262=0,0,((+$B101/$AZ262)*AI262)*VLOOKUP('1. SUMMARY'!$C$20,rate,Sheet1!T$21,0))</f>
        <v>0</v>
      </c>
      <c r="AJ263" s="398">
        <f>IF(R262=0,0,((+$B101/$AZ262)*AJ262)*VLOOKUP('1. SUMMARY'!$C$20,rate,Sheet1!U$21,0))</f>
        <v>0</v>
      </c>
      <c r="AK263" s="398">
        <f>IF(S262=0,0,((+$B101/$AZ262)*AK262)*VLOOKUP('1. SUMMARY'!$C$20,rate,Sheet1!V$21,0))</f>
        <v>0</v>
      </c>
      <c r="AL263" s="398">
        <f>IF(T262=0,0,((+$B101/$AZ262)*AL262)*VLOOKUP('1. SUMMARY'!$C$20,rate,Sheet1!W$21,0))</f>
        <v>0</v>
      </c>
      <c r="AM263" s="398">
        <f>IF(U262=0,0,((+$B101/$AZ262)*AM262)*VLOOKUP('1. SUMMARY'!$C$20,rate,Sheet1!X$21,0))</f>
        <v>0</v>
      </c>
      <c r="AN263" s="398">
        <f>IF(V262=0,0,((+$B101/$AZ262)*AN262)*VLOOKUP('1. SUMMARY'!$C$20,rate,Sheet1!Y$21,0))</f>
        <v>0</v>
      </c>
      <c r="AO263" s="398">
        <f>IF(W262=0,0,((+$B101/$AZ262)*AO262)*VLOOKUP('1. SUMMARY'!$C$20,rate,Sheet1!Z$21,0))</f>
        <v>0</v>
      </c>
      <c r="AP263" s="398">
        <f>IF(X262=0,0,((+$B101/$AZ262)*AP262)*VLOOKUP('1. SUMMARY'!$C$20,rate,Sheet1!AA$21,0))</f>
        <v>0</v>
      </c>
      <c r="AQ263" s="398">
        <f>IF(Y262=0,0,((+$B101/$AZ262)*AQ262)*VLOOKUP('1. SUMMARY'!$C$20,rate,Sheet1!AB$21,0))</f>
        <v>0</v>
      </c>
      <c r="AR263" s="398">
        <f>IF(Z262=0,0,((+$B101/$AZ262)*AR262)*VLOOKUP('1. SUMMARY'!$C$20,rate,Sheet1!AC$21,0))</f>
        <v>0</v>
      </c>
      <c r="AS263" s="398">
        <f>IF(AA262=0,0,((+$B101/$AZ262)*AS262)*VLOOKUP('1. SUMMARY'!$C$20,rate,Sheet1!AD$21,0))</f>
        <v>0</v>
      </c>
      <c r="AT263" s="398">
        <f>IF(AB262=0,0,((+$B101/$AZ262)*AT262)*VLOOKUP('1. SUMMARY'!$C$20,rate,Sheet1!AE$21,0))</f>
        <v>0</v>
      </c>
      <c r="AU263" s="398">
        <f>IF(AC262=0,0,((+$B101/$AZ262)*AU262)*VLOOKUP('1. SUMMARY'!$C$20,rate,Sheet1!AF$21,0))</f>
        <v>0</v>
      </c>
      <c r="AV263" s="398">
        <f>IF(AD262=0,0,((+$B101/$AZ262)*AV262)*VLOOKUP('1. SUMMARY'!$C$20,rate,Sheet1!AG$21,0))</f>
        <v>0</v>
      </c>
      <c r="AW263" s="398">
        <f>IF(AE262=0,0,((+$B101/$AZ262)*AW262)*VLOOKUP('1. SUMMARY'!$C$20,rate,Sheet1!AH$21,0))</f>
        <v>0</v>
      </c>
      <c r="AX263" s="398">
        <f>IF(AF262=0,0,((+$B101/$AZ262)*AX262)*VLOOKUP('1. SUMMARY'!$C$20,rate,Sheet1!AI$21,0))</f>
        <v>0</v>
      </c>
      <c r="AY263" s="398">
        <f>IF(AG262=0,0,((+$B101/$AZ262)*AY262)*VLOOKUP('1. SUMMARY'!$C$20,rate,Sheet1!AJ$21,0))</f>
        <v>0</v>
      </c>
      <c r="AZ263" s="398">
        <f>SUM(AI263:AY263)</f>
        <v>0</v>
      </c>
    </row>
    <row r="264" spans="1:52" ht="12.75" customHeight="1">
      <c r="A264" s="243"/>
      <c r="B264" s="246" t="s">
        <v>81</v>
      </c>
      <c r="C264" s="246" t="s">
        <v>82</v>
      </c>
      <c r="D264" s="246" t="s">
        <v>83</v>
      </c>
      <c r="E264" s="246" t="s">
        <v>84</v>
      </c>
      <c r="F264" s="246" t="s">
        <v>85</v>
      </c>
      <c r="G264" s="246" t="str">
        <f>G9</f>
        <v>Year 6</v>
      </c>
      <c r="H264" s="246" t="str">
        <f>H9</f>
        <v>Year 7</v>
      </c>
      <c r="I264" s="246" t="str">
        <f>I9</f>
        <v>Year 8</v>
      </c>
      <c r="J264" s="246" t="str">
        <f>J9</f>
        <v>Year 9</v>
      </c>
      <c r="K264" s="246" t="str">
        <f>K9</f>
        <v>Year 10</v>
      </c>
      <c r="L264" s="247" t="s">
        <v>47</v>
      </c>
      <c r="P264" s="207">
        <f t="shared" si="123"/>
        <v>1</v>
      </c>
      <c r="Q264" s="398">
        <f>+Q263/VLOOKUP('1. SUMMARY'!$C$20,rate,Sheet1!T$21,0)</f>
        <v>0</v>
      </c>
      <c r="R264" s="398">
        <f>+R263/VLOOKUP('1. SUMMARY'!$C$20,rate,Sheet1!U$21,0)</f>
        <v>0</v>
      </c>
      <c r="S264" s="398">
        <f>+S263/VLOOKUP('1. SUMMARY'!$C$20,rate,Sheet1!V$21,0)</f>
        <v>0</v>
      </c>
      <c r="T264" s="398">
        <f>+T263/VLOOKUP('1. SUMMARY'!$C$20,rate,Sheet1!W$21,0)</f>
        <v>0</v>
      </c>
      <c r="U264" s="398">
        <f>+U263/VLOOKUP('1. SUMMARY'!$C$20,rate,Sheet1!X$21,0)</f>
        <v>0</v>
      </c>
      <c r="V264" s="398">
        <f>+V263/VLOOKUP('1. SUMMARY'!$C$20,rate,Sheet1!Y$21,0)</f>
        <v>0</v>
      </c>
      <c r="W264" s="398">
        <f>+W263/VLOOKUP('1. SUMMARY'!$C$20,rate,Sheet1!Z$21,0)</f>
        <v>0</v>
      </c>
      <c r="X264" s="398">
        <f>+X263/VLOOKUP('1. SUMMARY'!$C$20,rate,Sheet1!AA$21,0)</f>
        <v>0</v>
      </c>
      <c r="Y264" s="398">
        <f>+Y263/VLOOKUP('1. SUMMARY'!$C$20,rate,Sheet1!AB$21,0)</f>
        <v>0</v>
      </c>
      <c r="Z264" s="398">
        <f>+Z263/VLOOKUP('1. SUMMARY'!$C$20,rate,Sheet1!AC$21,0)</f>
        <v>0</v>
      </c>
      <c r="AA264" s="398">
        <f>+AA263/VLOOKUP('1. SUMMARY'!$C$20,rate,Sheet1!AD$21,0)</f>
        <v>0</v>
      </c>
      <c r="AB264" s="398">
        <f>+AB263/VLOOKUP('1. SUMMARY'!$C$20,rate,Sheet1!AE$21,0)</f>
        <v>0</v>
      </c>
      <c r="AC264" s="398">
        <f>+AC263/VLOOKUP('1. SUMMARY'!$C$20,rate,Sheet1!AF$21,0)</f>
        <v>0</v>
      </c>
      <c r="AD264" s="398">
        <f>+AD263/VLOOKUP('1. SUMMARY'!$C$20,rate,Sheet1!AG$21,0)</f>
        <v>0</v>
      </c>
      <c r="AE264" s="398">
        <f>+AE263/VLOOKUP('1. SUMMARY'!$C$20,rate,Sheet1!AH$21,0)</f>
        <v>0</v>
      </c>
      <c r="AF264" s="398">
        <f>+AF263/VLOOKUP('1. SUMMARY'!$C$20,rate,Sheet1!AI$21,0)</f>
        <v>0</v>
      </c>
      <c r="AG264" s="398">
        <f>+AG263/VLOOKUP('1. SUMMARY'!$C$20,rate,Sheet1!AJ$21,0)</f>
        <v>0</v>
      </c>
      <c r="AH264" s="219"/>
      <c r="AI264" s="398">
        <v>0</v>
      </c>
      <c r="AJ264" s="398">
        <v>0</v>
      </c>
      <c r="AK264" s="398">
        <v>0</v>
      </c>
      <c r="AL264" s="398">
        <v>0</v>
      </c>
      <c r="AM264" s="398">
        <v>0</v>
      </c>
      <c r="AN264" s="398">
        <v>0</v>
      </c>
      <c r="AO264" s="398">
        <v>0</v>
      </c>
      <c r="AP264" s="398">
        <v>0</v>
      </c>
      <c r="AQ264" s="398"/>
      <c r="AR264" s="398"/>
      <c r="AS264" s="398"/>
      <c r="AT264" s="398"/>
      <c r="AU264" s="398"/>
      <c r="AV264" s="398"/>
      <c r="AW264" s="398"/>
      <c r="AX264" s="398"/>
      <c r="AY264" s="398"/>
      <c r="AZ264" s="398"/>
    </row>
    <row r="265" spans="1:52" ht="12.75" customHeight="1">
      <c r="A265" s="248"/>
      <c r="B265" s="249">
        <f>'1. SUMMARY'!C17</f>
        <v>0</v>
      </c>
      <c r="C265" s="249" t="str">
        <f>IF(+B266+1&gt;'1. SUMMARY'!$C$18,"No "&amp;C264,+B266+1)</f>
        <v>No Year 2</v>
      </c>
      <c r="D265" s="249" t="str">
        <f>IF(C265="No "&amp;C264,"No "&amp;D264,IF(+C266+1&gt;'1. SUMMARY'!$C$18,"No "&amp;D264,+C266+1))</f>
        <v>No Year 3</v>
      </c>
      <c r="E265" s="249" t="str">
        <f>IF(D265="No "&amp;D264,"No "&amp;E264,IF(+D266+1&gt;'1. SUMMARY'!$C$18,"No "&amp;E264,+D266+1))</f>
        <v>No Year 4</v>
      </c>
      <c r="F265" s="249" t="str">
        <f>IF(E265="No "&amp;E264,"No "&amp;F264,IF(+E266+1&gt;'1. SUMMARY'!$C$18,"No "&amp;F264,+E266+1))</f>
        <v>No Year 5</v>
      </c>
      <c r="G265" s="249" t="str">
        <f t="shared" ref="G265:K266" si="126">G10</f>
        <v>No Year 6</v>
      </c>
      <c r="H265" s="249" t="str">
        <f t="shared" si="126"/>
        <v>No Year 7</v>
      </c>
      <c r="I265" s="249" t="str">
        <f t="shared" si="126"/>
        <v>No Year 8</v>
      </c>
      <c r="J265" s="249" t="str">
        <f t="shared" si="126"/>
        <v>No Year 9</v>
      </c>
      <c r="K265" s="249" t="str">
        <f t="shared" si="126"/>
        <v>No Year 10</v>
      </c>
      <c r="L265" s="250"/>
      <c r="P265" s="207">
        <f t="shared" si="123"/>
        <v>1</v>
      </c>
      <c r="Q265" s="402">
        <f>Sheet1!$T$8</f>
        <v>44105</v>
      </c>
      <c r="R265" s="402">
        <f>Sheet1!$U$8</f>
        <v>44470</v>
      </c>
      <c r="S265" s="402">
        <f>Sheet1!$V$8</f>
        <v>44835</v>
      </c>
      <c r="T265" s="402">
        <f>Sheet1!$W$8</f>
        <v>45200</v>
      </c>
      <c r="U265" s="402">
        <f>Sheet1!$X$8</f>
        <v>45566</v>
      </c>
      <c r="V265" s="402">
        <f>Sheet1!$Y$8</f>
        <v>45931</v>
      </c>
      <c r="W265" s="402">
        <f>Sheet1!$Z$8</f>
        <v>46296</v>
      </c>
      <c r="X265" s="402">
        <f>Sheet1!$AA$8</f>
        <v>46661</v>
      </c>
      <c r="Y265" s="402">
        <f>Sheet1!$AB$8</f>
        <v>47027</v>
      </c>
      <c r="Z265" s="402">
        <f>Sheet1!$AC$8</f>
        <v>47392</v>
      </c>
      <c r="AA265" s="402">
        <f>$AA$5</f>
        <v>47757</v>
      </c>
      <c r="AB265" s="402">
        <f>$AB$5</f>
        <v>48122</v>
      </c>
      <c r="AC265" s="402">
        <f>$AC$5</f>
        <v>48488</v>
      </c>
      <c r="AD265" s="402">
        <f>$AD$5</f>
        <v>48853</v>
      </c>
      <c r="AE265" s="402">
        <f>$AE$5</f>
        <v>49218</v>
      </c>
      <c r="AF265" s="402">
        <f>$AF$5</f>
        <v>49583</v>
      </c>
      <c r="AG265" s="402">
        <f>$AG$5</f>
        <v>49949</v>
      </c>
      <c r="AH265" s="211"/>
      <c r="AI265" s="402">
        <f t="shared" ref="AI265:AR267" si="127">+Q265</f>
        <v>44105</v>
      </c>
      <c r="AJ265" s="402">
        <f t="shared" si="127"/>
        <v>44470</v>
      </c>
      <c r="AK265" s="402">
        <f t="shared" si="127"/>
        <v>44835</v>
      </c>
      <c r="AL265" s="402">
        <f t="shared" si="127"/>
        <v>45200</v>
      </c>
      <c r="AM265" s="402">
        <f t="shared" si="127"/>
        <v>45566</v>
      </c>
      <c r="AN265" s="402">
        <f t="shared" si="127"/>
        <v>45931</v>
      </c>
      <c r="AO265" s="402">
        <f t="shared" si="127"/>
        <v>46296</v>
      </c>
      <c r="AP265" s="402">
        <f t="shared" si="127"/>
        <v>46661</v>
      </c>
      <c r="AQ265" s="402">
        <f t="shared" si="127"/>
        <v>47027</v>
      </c>
      <c r="AR265" s="402">
        <f t="shared" si="127"/>
        <v>47392</v>
      </c>
      <c r="AS265" s="402">
        <f t="shared" ref="AS265:AY267" si="128">+AA265</f>
        <v>47757</v>
      </c>
      <c r="AT265" s="402">
        <f t="shared" si="128"/>
        <v>48122</v>
      </c>
      <c r="AU265" s="402">
        <f t="shared" si="128"/>
        <v>48488</v>
      </c>
      <c r="AV265" s="402">
        <f t="shared" si="128"/>
        <v>48853</v>
      </c>
      <c r="AW265" s="402">
        <f t="shared" si="128"/>
        <v>49218</v>
      </c>
      <c r="AX265" s="402">
        <f t="shared" si="128"/>
        <v>49583</v>
      </c>
      <c r="AY265" s="402">
        <f t="shared" si="128"/>
        <v>49949</v>
      </c>
      <c r="AZ265" s="402"/>
    </row>
    <row r="266" spans="1:52" ht="12.75" customHeight="1">
      <c r="A266" s="248"/>
      <c r="B266" s="251">
        <f>IF((DATE(YEAR(B265), MONTH(B265)+12, DAY(B265)-1))&lt;=('1. SUMMARY'!$C$18),DATE(YEAR(B265), MONTH(B265)+12, DAY(B265)-1),'1. SUMMARY'!$C$18)</f>
        <v>0</v>
      </c>
      <c r="C266" s="251" t="str">
        <f>IF(C265="No "&amp;C264,"No "&amp;C264,IF(B266='1. SUMMARY'!B235,"a",IF((DATE(YEAR(C265),MONTH(C265)+12,DAY(C265)-1))&lt;=('1. SUMMARY'!$C$18),DATE(YEAR(C265),MONTH(C265)+12,DAY(C265)-1),'1. SUMMARY'!$C$18)))</f>
        <v>No Year 2</v>
      </c>
      <c r="D266" s="251" t="str">
        <f>IF(D265="No "&amp;D264,"No "&amp;D264,IF(C266='1. SUMMARY'!C235,"a",IF((DATE(YEAR(D265),MONTH(D265)+12,DAY(D265)-1))&lt;=('1. SUMMARY'!$C$18),DATE(YEAR(D265),MONTH(D265)+12,DAY(D265)-1),'1. SUMMARY'!$C$18)))</f>
        <v>No Year 3</v>
      </c>
      <c r="E266" s="251" t="str">
        <f>IF(E265="No "&amp;E264,"No "&amp;E264,IF(D266='1. SUMMARY'!E235,"a",IF((DATE(YEAR(E265),MONTH(E265)+12,DAY(E265)-1))&lt;=('1. SUMMARY'!$C$18),DATE(YEAR(E265),MONTH(E265)+12,DAY(E265)-1),'1. SUMMARY'!$C$18)))</f>
        <v>No Year 4</v>
      </c>
      <c r="F266" s="251" t="str">
        <f>IF(F265="No "&amp;F264,"No "&amp;F264,IF(E266='1. SUMMARY'!F235,"a",IF((DATE(YEAR(F265),MONTH(F265)+12,DAY(F265)-1))&lt;=('1. SUMMARY'!$C$18),DATE(YEAR(F265),MONTH(F265)+12,DAY(F265)-1),'1. SUMMARY'!$C$18)))</f>
        <v>No Year 5</v>
      </c>
      <c r="G266" s="251" t="str">
        <f t="shared" si="126"/>
        <v>No Year 6</v>
      </c>
      <c r="H266" s="251" t="str">
        <f t="shared" si="126"/>
        <v>No Year 7</v>
      </c>
      <c r="I266" s="251" t="str">
        <f t="shared" si="126"/>
        <v>No Year 8</v>
      </c>
      <c r="J266" s="251" t="str">
        <f t="shared" si="126"/>
        <v>No Year 9</v>
      </c>
      <c r="K266" s="251" t="str">
        <f t="shared" si="126"/>
        <v>No Year 10</v>
      </c>
      <c r="L266" s="245"/>
      <c r="P266" s="207">
        <f t="shared" si="123"/>
        <v>1</v>
      </c>
      <c r="Q266" s="402">
        <f>Sheet1!$T$9</f>
        <v>44469</v>
      </c>
      <c r="R266" s="402">
        <f>Sheet1!$U$9</f>
        <v>44834</v>
      </c>
      <c r="S266" s="402">
        <f>Sheet1!$V$9</f>
        <v>45199</v>
      </c>
      <c r="T266" s="402">
        <f>Sheet1!$W$9</f>
        <v>45565</v>
      </c>
      <c r="U266" s="402">
        <f>Sheet1!$X$9</f>
        <v>45930</v>
      </c>
      <c r="V266" s="402">
        <f>Sheet1!$Y$9</f>
        <v>46295</v>
      </c>
      <c r="W266" s="402">
        <f>Sheet1!$Z$9</f>
        <v>46660</v>
      </c>
      <c r="X266" s="402">
        <f>Sheet1!$AA$9</f>
        <v>47026</v>
      </c>
      <c r="Y266" s="402">
        <f>Sheet1!$AB$9</f>
        <v>47391</v>
      </c>
      <c r="Z266" s="402">
        <f>Sheet1!$AC$9</f>
        <v>47756</v>
      </c>
      <c r="AA266" s="402">
        <f>$AA$6</f>
        <v>48121</v>
      </c>
      <c r="AB266" s="402">
        <f>$AB$6</f>
        <v>48487</v>
      </c>
      <c r="AC266" s="402">
        <f>$AC$6</f>
        <v>48852</v>
      </c>
      <c r="AD266" s="402">
        <f>$AD$6</f>
        <v>49217</v>
      </c>
      <c r="AE266" s="402">
        <f>$AE$6</f>
        <v>49582</v>
      </c>
      <c r="AF266" s="402">
        <f>$AF$6</f>
        <v>49948</v>
      </c>
      <c r="AG266" s="402">
        <f>$AG$6</f>
        <v>50313</v>
      </c>
      <c r="AH266" s="211"/>
      <c r="AI266" s="402">
        <f t="shared" si="127"/>
        <v>44469</v>
      </c>
      <c r="AJ266" s="402">
        <f t="shared" si="127"/>
        <v>44834</v>
      </c>
      <c r="AK266" s="402">
        <f t="shared" si="127"/>
        <v>45199</v>
      </c>
      <c r="AL266" s="402">
        <f t="shared" si="127"/>
        <v>45565</v>
      </c>
      <c r="AM266" s="402">
        <f t="shared" si="127"/>
        <v>45930</v>
      </c>
      <c r="AN266" s="402">
        <f t="shared" si="127"/>
        <v>46295</v>
      </c>
      <c r="AO266" s="402">
        <f t="shared" si="127"/>
        <v>46660</v>
      </c>
      <c r="AP266" s="402">
        <f t="shared" si="127"/>
        <v>47026</v>
      </c>
      <c r="AQ266" s="402">
        <f t="shared" si="127"/>
        <v>47391</v>
      </c>
      <c r="AR266" s="402">
        <f t="shared" si="127"/>
        <v>47756</v>
      </c>
      <c r="AS266" s="402">
        <f t="shared" si="128"/>
        <v>48121</v>
      </c>
      <c r="AT266" s="402">
        <f t="shared" si="128"/>
        <v>48487</v>
      </c>
      <c r="AU266" s="402">
        <f t="shared" si="128"/>
        <v>48852</v>
      </c>
      <c r="AV266" s="402">
        <f t="shared" si="128"/>
        <v>49217</v>
      </c>
      <c r="AW266" s="402">
        <f t="shared" si="128"/>
        <v>49582</v>
      </c>
      <c r="AX266" s="402">
        <f t="shared" si="128"/>
        <v>49948</v>
      </c>
      <c r="AY266" s="402">
        <f t="shared" si="128"/>
        <v>50313</v>
      </c>
      <c r="AZ266" s="402"/>
    </row>
    <row r="267" spans="1:52" ht="12.75" customHeight="1">
      <c r="A267" s="243"/>
      <c r="B267" s="252"/>
      <c r="C267" s="252"/>
      <c r="D267" s="252"/>
      <c r="E267" s="252"/>
      <c r="F267" s="252"/>
      <c r="G267" s="252"/>
      <c r="H267" s="252"/>
      <c r="I267" s="252"/>
      <c r="J267" s="252"/>
      <c r="K267" s="252"/>
      <c r="L267" s="250"/>
      <c r="O267" s="207" t="s">
        <v>229</v>
      </c>
      <c r="P267" s="207">
        <f t="shared" si="123"/>
        <v>1</v>
      </c>
      <c r="Q267" s="403">
        <f>IF(IF(Q266&lt;$C$27,0,DATEDIF($C$27,Q266+1,"m"))&lt;0,0,IF(Q266&lt;$C$27,0,DATEDIF($C$27,Q266+1,"m")))</f>
        <v>0</v>
      </c>
      <c r="R267" s="403">
        <f>IF(IF(Q267=12,0,IF(R266&gt;$C$28,12-DATEDIF($C$28,R266+1,"m"),IF(R266&lt;$C$27,0,DATEDIF($C$27,R266+1,"m"))))&lt;0,0,IF(Q267=12,0,IF(R266&gt;$C$28,12-DATEDIF($C$28,R266+1,"m"),IF(R266&lt;$C$27,0,DATEDIF($C$27,R266+1,"m")))))</f>
        <v>0</v>
      </c>
      <c r="S267" s="403">
        <f>IF(IF(Q267+R267=12,0,IF(S266&gt;$C$28,12-DATEDIF($C$28,S266+1,"m"),IF(S266&lt;$C$27,0,DATEDIF($C$27,S266+1,"m"))))&lt;0,0,IF(Q267+R267=12,0,IF(S266&gt;$C$28,12-DATEDIF($C$28,S266+1,"m"),IF(S266&lt;$C$27,0,DATEDIF($C$27,S266+1,"m")))))</f>
        <v>0</v>
      </c>
      <c r="T267" s="403">
        <f>IF(IF(R267+S267+Q267=12,0,IF(T266&gt;$C$28,12-DATEDIF($C$28,T266+1,"m"),IF(T266&lt;$C$27,0,DATEDIF($C$27,T266+1,"m"))))&lt;0,0,IF(R267+S267+Q267=12,0,IF(T266&gt;$C$28,12-DATEDIF($C$28,T266+1,"m"),IF(T266&lt;$C$27,0,DATEDIF($C$27,T266+1,"m")))))</f>
        <v>0</v>
      </c>
      <c r="U267" s="403">
        <f>IF(IF(S267+T267+R267+Q267=12,0,IF(U266&gt;$C$28,12-DATEDIF($C$28,U266+1,"m"),IF(U266&lt;$C$27,0,DATEDIF($C$27,U266+1,"m"))))&lt;0,0,IF(S267+T267+R267+Q267=12,0,IF(U266&gt;$C$28,12-DATEDIF($C$28,U266+1,"m"),IF(U266&lt;$C$27,0,DATEDIF($C$27,U266+1,"m")))))</f>
        <v>0</v>
      </c>
      <c r="V267" s="403">
        <f>IF(IF(T267+U267+S267+R267+Q267=12,0,IF(V266&gt;$C$28,12-DATEDIF($C$28,V266+1,"m"),IF(V266&lt;$C$27,0,DATEDIF($C$27,V266+1,"m"))))&lt;0,0,IF(T267+U267+S267+R267+Q267=12,0,IF(V266&gt;$C$28,12-DATEDIF($C$28,V266+1,"m"),IF(V266&lt;$C$27,0,DATEDIF($C$27,V266+1,"m")))))</f>
        <v>0</v>
      </c>
      <c r="W267" s="403">
        <f>IF(IF(U267+V267+T267+S267+R267+Q267=12,0,IF(W266&gt;$C$28,12-DATEDIF($C$28,W266+1,"m"),IF(W266&lt;$C$27,0,DATEDIF($C$27,W266+1,"m"))))&lt;0,0,IF(U267+V267+T267+S267+R267+Q267=12,0,IF(W266&gt;$C$28,12-DATEDIF($C$28,W266+1,"m"),IF(W266&lt;$C$27,0,DATEDIF($C$27,W266+1,"m")))))</f>
        <v>0</v>
      </c>
      <c r="X267" s="403">
        <f>IF(IF(V267+W267+U267+T267+S267+R267+Q267=12,0,IF(X266&gt;$C$28,12-DATEDIF($C$28,X266+1,"m"),IF(X266&lt;$C$27,0,DATEDIF($C$27,X266+1,"m"))))&lt;0,0,IF(V267+W267+U267+T267+S267+R267+Q267=12,0,IF(X266&gt;$C$28,12-DATEDIF($C$28,X266+1,"m"),IF(X266&lt;$C$27,0,DATEDIF($C$27,X266+1,"m")))))</f>
        <v>0</v>
      </c>
      <c r="Y267" s="403">
        <f>IF(IF(Q267+W267+X267+V267+U267+T267+S267+R267=12,0,IF(Y266&gt;$C$28,12-DATEDIF($C$28,Y266+1,"m"),IF(Y266&lt;$C$27,0,DATEDIF($C$27,Y266+1,"m"))))&lt;0,0,IF(Q267+W267+X267+V267+U267+T267+S267+R267=12,0,IF(Y266&gt;$C$28,12-DATEDIF($C$28,Y266+1,"m"),IF(Y266&lt;$C$27,0,DATEDIF($C$27,Y266+1,"m")))))</f>
        <v>0</v>
      </c>
      <c r="Z267" s="403">
        <f>IF(IF(Q267+R267+X267+Y267+W267+V267+U267+T267+S267=12,0,IF(Z266&gt;$C$28,12-DATEDIF($C$28,Z266+1,"m"),IF(Z266&lt;$C$27,0,DATEDIF($C$27,Z266+1,"m"))))&lt;0,0,IF(+Q267+R267+X267+Y267+W267+V267+U267+T267+S267=12,0,IF(Z266&gt;$C$28,12-DATEDIF($C$28,Z266+1,"m"),IF(Z266&lt;$C$27,0,DATEDIF($C$27,Z266+1,"m")))))</f>
        <v>0</v>
      </c>
      <c r="AA267" s="403"/>
      <c r="AB267" s="403"/>
      <c r="AC267" s="403"/>
      <c r="AD267" s="403"/>
      <c r="AE267" s="403"/>
      <c r="AF267" s="403"/>
      <c r="AG267" s="403"/>
      <c r="AH267" s="423">
        <f>SUM(Q267:AG267)</f>
        <v>0</v>
      </c>
      <c r="AI267" s="403">
        <f t="shared" si="127"/>
        <v>0</v>
      </c>
      <c r="AJ267" s="403">
        <f t="shared" si="127"/>
        <v>0</v>
      </c>
      <c r="AK267" s="403">
        <f t="shared" si="127"/>
        <v>0</v>
      </c>
      <c r="AL267" s="403">
        <f t="shared" si="127"/>
        <v>0</v>
      </c>
      <c r="AM267" s="403">
        <f t="shared" si="127"/>
        <v>0</v>
      </c>
      <c r="AN267" s="403">
        <f t="shared" si="127"/>
        <v>0</v>
      </c>
      <c r="AO267" s="403">
        <f t="shared" si="127"/>
        <v>0</v>
      </c>
      <c r="AP267" s="403">
        <f t="shared" si="127"/>
        <v>0</v>
      </c>
      <c r="AQ267" s="403">
        <f t="shared" si="127"/>
        <v>0</v>
      </c>
      <c r="AR267" s="403">
        <f t="shared" si="127"/>
        <v>0</v>
      </c>
      <c r="AS267" s="403">
        <f t="shared" si="128"/>
        <v>0</v>
      </c>
      <c r="AT267" s="403">
        <f t="shared" si="128"/>
        <v>0</v>
      </c>
      <c r="AU267" s="403">
        <f t="shared" si="128"/>
        <v>0</v>
      </c>
      <c r="AV267" s="403">
        <f t="shared" si="128"/>
        <v>0</v>
      </c>
      <c r="AW267" s="403">
        <f t="shared" si="128"/>
        <v>0</v>
      </c>
      <c r="AX267" s="403">
        <f t="shared" si="128"/>
        <v>0</v>
      </c>
      <c r="AY267" s="403">
        <f t="shared" si="128"/>
        <v>0</v>
      </c>
      <c r="AZ267" s="403">
        <f>SUM(AI267:AY267)</f>
        <v>0</v>
      </c>
    </row>
    <row r="268" spans="1:52" ht="12.75" customHeight="1">
      <c r="A268" s="248" t="s">
        <v>169</v>
      </c>
      <c r="B268" s="253">
        <f t="shared" ref="B268:H269" si="129">+B251+B234+B217+B200+B183+B166+B149+B132+B115+B98+B81+B64+B47+B30+B13</f>
        <v>0</v>
      </c>
      <c r="C268" s="253">
        <f>+C251+C234+C217+C200+C183+C166+C149+C132+C115+C98+C81+C64+C47+C30+C13</f>
        <v>0</v>
      </c>
      <c r="D268" s="253">
        <f t="shared" si="129"/>
        <v>0</v>
      </c>
      <c r="E268" s="253">
        <f t="shared" si="129"/>
        <v>0</v>
      </c>
      <c r="F268" s="253">
        <f t="shared" si="129"/>
        <v>0</v>
      </c>
      <c r="G268" s="253">
        <f t="shared" si="129"/>
        <v>0</v>
      </c>
      <c r="H268" s="253">
        <f t="shared" si="129"/>
        <v>0</v>
      </c>
      <c r="I268" s="253">
        <f t="shared" ref="I268:K269" si="130">+I251+I234+I217+I200+I183+I166+I149+I132+I115+I98+I81+I64+I47+I30+I13</f>
        <v>0</v>
      </c>
      <c r="J268" s="253">
        <f t="shared" si="130"/>
        <v>0</v>
      </c>
      <c r="K268" s="253">
        <f t="shared" si="130"/>
        <v>0</v>
      </c>
      <c r="L268" s="229">
        <f>SUM(B268:K268)</f>
        <v>0</v>
      </c>
      <c r="P268" s="207">
        <f t="shared" si="123"/>
        <v>1</v>
      </c>
      <c r="Q268" s="404">
        <f>IF(Q267=0,0,(IF(($C$101+$B$101)&lt;=25000,(($C$101/+$AH267)*Q267)*VLOOKUP('1. SUMMARY'!$C$20,rate,Sheet1!T$21,0),((IF($B$101&gt;=25000,0,((25000-$B$101)/+$AH267)*Q267)*VLOOKUP('1. SUMMARY'!$C$20,rate,Sheet1!T$21,0))))))</f>
        <v>0</v>
      </c>
      <c r="R268" s="404">
        <f>IF(R267=0,0,(IF(($C$101+$B$101)&lt;=25000,(($C$101/+$AH267)*R267)*VLOOKUP('1. SUMMARY'!$C$20,rate,Sheet1!U$21,0),((IF($B$101&gt;=25000,0,((25000-$B$101)/+$AH267)*R267)*VLOOKUP('1. SUMMARY'!$C$20,rate,Sheet1!U$21,0))))))</f>
        <v>0</v>
      </c>
      <c r="S268" s="404">
        <f>IF(S267=0,0,(IF(($C$101+$B$101)&lt;=25000,(($C$101/+$AH267)*S267)*VLOOKUP('1. SUMMARY'!$C$20,rate,Sheet1!V$21,0),((IF($B$101&gt;=25000,0,((25000-$B$101)/+$AH267)*S267)*VLOOKUP('1. SUMMARY'!$C$20,rate,Sheet1!V$21,0))))))</f>
        <v>0</v>
      </c>
      <c r="T268" s="404">
        <f>IF(T267=0,0,(IF(($C$101+$B$101)&lt;=25000,(($C$101/+$AH267)*T267)*VLOOKUP('1. SUMMARY'!$C$20,rate,Sheet1!W$21,0),((IF($B$101&gt;=25000,0,((25000-$B$101)/+$AH267)*T267)*VLOOKUP('1. SUMMARY'!$C$20,rate,Sheet1!W$21,0))))))</f>
        <v>0</v>
      </c>
      <c r="U268" s="404">
        <f>IF(U267=0,0,(IF(($C$101+$B$101)&lt;=25000,(($C$101/+$AH267)*U267)*VLOOKUP('1. SUMMARY'!$C$20,rate,Sheet1!X$21,0),((IF($B$101&gt;=25000,0,((25000-$B$101)/+$AH267)*U267)*VLOOKUP('1. SUMMARY'!$C$20,rate,Sheet1!X$21,0))))))</f>
        <v>0</v>
      </c>
      <c r="V268" s="404">
        <f>IF(V267=0,0,(IF(($C$101+$B$101)&lt;=25000,(($C$101/+$AH267)*V267)*VLOOKUP('1. SUMMARY'!$C$20,rate,Sheet1!Y$21,0),((IF($B$101&gt;=25000,0,((25000-$B$101)/+$AH267)*V267)*VLOOKUP('1. SUMMARY'!$C$20,rate,Sheet1!Y$21,0))))))</f>
        <v>0</v>
      </c>
      <c r="W268" s="404">
        <f>IF(W267=0,0,(IF(($C$101+$B$101)&lt;=25000,(($C$101/+$AH267)*W267)*VLOOKUP('1. SUMMARY'!$C$20,rate,Sheet1!Z$21,0),((IF($B$101&gt;=25000,0,((25000-$B$101)/+$AH267)*W267)*VLOOKUP('1. SUMMARY'!$C$20,rate,Sheet1!Z$21,0))))))</f>
        <v>0</v>
      </c>
      <c r="X268" s="404">
        <f>IF(X267=0,0,(IF(($C$101+$B$101)&lt;=25000,(($C$101/+$AH267)*X267)*VLOOKUP('1. SUMMARY'!$C$20,rate,Sheet1!AA$21,0),((IF($B$101&gt;=25000,0,((25000-$B$101)/+$AH267)*X267)*VLOOKUP('1. SUMMARY'!$C$20,rate,Sheet1!AA$21,0))))))</f>
        <v>0</v>
      </c>
      <c r="Y268" s="404">
        <f>IF(Y267=0,0,(IF(($C$101+$B$101)&lt;=25000,(($C$101/+$AH267)*Y267)*VLOOKUP('1. SUMMARY'!$C$20,rate,Sheet1!AB$21,0),((IF($B$101&gt;=25000,0,((25000-$B$101)/+$AH267)*Y267)*VLOOKUP('1. SUMMARY'!$C$20,rate,Sheet1!AB$21,0))))))</f>
        <v>0</v>
      </c>
      <c r="Z268" s="404">
        <f>IF(Z267=0,0,(IF(($C$101+$B$101)&lt;=25000,(($C$101/+$AH267)*Z267)*VLOOKUP('1. SUMMARY'!$C$20,rate,Sheet1!AC$21,0),((IF($B$101&gt;=25000,0,((25000-$B$101)/+$AH267)*Z267)*VLOOKUP('1. SUMMARY'!$C$20,rate,Sheet1!AC$21,0))))))</f>
        <v>0</v>
      </c>
      <c r="AA268" s="404">
        <f>IF(AA267=0,0,(IF(($C$101+$B$101)&lt;=25000,(($C$101/+$AH267)*AA267)*VLOOKUP('1. SUMMARY'!$C$20,rate,Sheet1!AD$21,0),((IF($B$101&gt;=25000,0,((25000-$B$101)/+$AH267)*AA267)*VLOOKUP('1. SUMMARY'!$C$20,rate,Sheet1!AD$21,0))))))</f>
        <v>0</v>
      </c>
      <c r="AB268" s="404">
        <f>IF(AB267=0,0,(IF(($C$101+$B$101)&lt;=25000,(($C$101/+$AH267)*AB267)*VLOOKUP('1. SUMMARY'!$C$20,rate,Sheet1!AE$21,0),((IF($B$101&gt;=25000,0,((25000-$B$101)/+$AH267)*AB267)*VLOOKUP('1. SUMMARY'!$C$20,rate,Sheet1!AE$21,0))))))</f>
        <v>0</v>
      </c>
      <c r="AC268" s="404">
        <f>IF(AC267=0,0,(IF(($C$101+$B$101)&lt;=25000,(($C$101/+$AH267)*AC267)*VLOOKUP('1. SUMMARY'!$C$20,rate,Sheet1!AF$21,0),((IF($B$101&gt;=25000,0,((25000-$B$101)/+$AH267)*AC267)*VLOOKUP('1. SUMMARY'!$C$20,rate,Sheet1!AF$21,0))))))</f>
        <v>0</v>
      </c>
      <c r="AD268" s="404">
        <f>IF(AD267=0,0,(IF(($C$101+$B$101)&lt;=25000,(($C$101/+$AH267)*AD267)*VLOOKUP('1. SUMMARY'!$C$20,rate,Sheet1!AG$21,0),((IF($B$101&gt;=25000,0,((25000-$B$101)/+$AH267)*AD267)*VLOOKUP('1. SUMMARY'!$C$20,rate,Sheet1!AG$21,0))))))</f>
        <v>0</v>
      </c>
      <c r="AE268" s="404">
        <f>IF(AE267=0,0,(IF(($C$101+$B$101)&lt;=25000,(($C$101/+$AH267)*AE267)*VLOOKUP('1. SUMMARY'!$C$20,rate,Sheet1!AH$21,0),((IF($B$101&gt;=25000,0,((25000-$B$101)/+$AH267)*AE267)*VLOOKUP('1. SUMMARY'!$C$20,rate,Sheet1!AH$21,0))))))</f>
        <v>0</v>
      </c>
      <c r="AF268" s="404">
        <f>IF(AF267=0,0,(IF(($C$101+$B$101)&lt;=25000,(($C$101/+$AH267)*AF267)*VLOOKUP('1. SUMMARY'!$C$20,rate,Sheet1!AI$21,0),((IF($B$101&gt;=25000,0,((25000-$B$101)/+$AH267)*AF267)*VLOOKUP('1. SUMMARY'!$C$20,rate,Sheet1!AI$21,0))))))</f>
        <v>0</v>
      </c>
      <c r="AG268" s="404">
        <f>IF(AG267=0,0,(IF(($C$101+$B$101)&lt;=25000,(($C$101/+$AH267)*AG267)*VLOOKUP('1. SUMMARY'!$C$20,rate,Sheet1!AJ$21,0),((IF($B$101&gt;=25000,0,((25000-$B$101)/+$AH267)*AG267)*VLOOKUP('1. SUMMARY'!$C$20,rate,Sheet1!AJ$21,0))))))</f>
        <v>0</v>
      </c>
      <c r="AH268" s="219">
        <f>SUM(Q268:AG268)</f>
        <v>0</v>
      </c>
      <c r="AI268" s="404">
        <f>IF(AI267=0,0,((+$C101/$AZ267)*AI267)*VLOOKUP('1. SUMMARY'!$C$20,rate,Sheet1!T$21,0))</f>
        <v>0</v>
      </c>
      <c r="AJ268" s="404">
        <f>IF(AJ267=0,0,((+$C101/$AZ267)*AJ267)*VLOOKUP('1. SUMMARY'!$C$20,rate,Sheet1!U$21,0))</f>
        <v>0</v>
      </c>
      <c r="AK268" s="404">
        <f>IF(AK267=0,0,((+$C101/$AZ267)*AK267)*VLOOKUP('1. SUMMARY'!$C$20,rate,Sheet1!V$21,0))</f>
        <v>0</v>
      </c>
      <c r="AL268" s="404">
        <f>IF(AL267=0,0,((+$C101/$AZ267)*AL267)*VLOOKUP('1. SUMMARY'!$C$20,rate,Sheet1!W$21,0))</f>
        <v>0</v>
      </c>
      <c r="AM268" s="404">
        <f>IF(AM267=0,0,((+$C101/$AZ267)*AM267)*VLOOKUP('1. SUMMARY'!$C$20,rate,Sheet1!X$21,0))</f>
        <v>0</v>
      </c>
      <c r="AN268" s="404">
        <f>IF(AN267=0,0,((+$C101/$AZ267)*AN267)*VLOOKUP('1. SUMMARY'!$C$20,rate,Sheet1!Y$21,0))</f>
        <v>0</v>
      </c>
      <c r="AO268" s="404">
        <f>IF(AO267=0,0,((+$C101/$AZ267)*AO267)*VLOOKUP('1. SUMMARY'!$C$20,rate,Sheet1!Z$21,0))</f>
        <v>0</v>
      </c>
      <c r="AP268" s="404">
        <f>IF(AP267=0,0,((+$C101/$AZ267)*AP267)*VLOOKUP('1. SUMMARY'!$C$20,rate,Sheet1!AA$21,0))</f>
        <v>0</v>
      </c>
      <c r="AQ268" s="404">
        <f>IF(AQ267=0,0,((+$C101/$AZ267)*AQ267)*VLOOKUP('1. SUMMARY'!$C$20,rate,Sheet1!AB$21,0))</f>
        <v>0</v>
      </c>
      <c r="AR268" s="404">
        <f>IF(AR267=0,0,((+$C101/$AZ267)*AR267)*VLOOKUP('1. SUMMARY'!$C$20,rate,Sheet1!AC$21,0))</f>
        <v>0</v>
      </c>
      <c r="AS268" s="404">
        <f>IF(AS267=0,0,((+$C101/$AZ267)*AS267)*VLOOKUP('1. SUMMARY'!$C$20,rate,Sheet1!AD$21,0))</f>
        <v>0</v>
      </c>
      <c r="AT268" s="404">
        <f>IF(AT267=0,0,((+$C101/$AZ267)*AT267)*VLOOKUP('1. SUMMARY'!$C$20,rate,Sheet1!AE$21,0))</f>
        <v>0</v>
      </c>
      <c r="AU268" s="404">
        <f>IF(AU267=0,0,((+$C101/$AZ267)*AU267)*VLOOKUP('1. SUMMARY'!$C$20,rate,Sheet1!AF$21,0))</f>
        <v>0</v>
      </c>
      <c r="AV268" s="404">
        <f>IF(AV267=0,0,((+$C101/$AZ267)*AV267)*VLOOKUP('1. SUMMARY'!$C$20,rate,Sheet1!AG$21,0))</f>
        <v>0</v>
      </c>
      <c r="AW268" s="404">
        <f>IF(AW267=0,0,((+$C101/$AZ267)*AW267)*VLOOKUP('1. SUMMARY'!$C$20,rate,Sheet1!AH$21,0))</f>
        <v>0</v>
      </c>
      <c r="AX268" s="404">
        <f>IF(AX267=0,0,((+$C101/$AZ267)*AX267)*VLOOKUP('1. SUMMARY'!$C$20,rate,Sheet1!AI$21,0))</f>
        <v>0</v>
      </c>
      <c r="AY268" s="404">
        <f>IF(AY267=0,0,((+$C101/$AZ267)*AY267)*VLOOKUP('1. SUMMARY'!$C$20,rate,Sheet1!AJ$21,0))</f>
        <v>0</v>
      </c>
      <c r="AZ268" s="404">
        <f>SUM(AI268:AY268)</f>
        <v>0</v>
      </c>
    </row>
    <row r="269" spans="1:52" ht="12.75" customHeight="1">
      <c r="A269" s="248" t="s">
        <v>170</v>
      </c>
      <c r="B269" s="253">
        <f t="shared" si="129"/>
        <v>0</v>
      </c>
      <c r="C269" s="253">
        <f>+C252+C235+C218+C201+C184+C167+C150+C133+C116+C99+C82+C65+C48+C31+C14</f>
        <v>0</v>
      </c>
      <c r="D269" s="253">
        <f t="shared" si="129"/>
        <v>0</v>
      </c>
      <c r="E269" s="253">
        <f t="shared" si="129"/>
        <v>0</v>
      </c>
      <c r="F269" s="253">
        <f t="shared" si="129"/>
        <v>0</v>
      </c>
      <c r="G269" s="253">
        <f t="shared" si="129"/>
        <v>0</v>
      </c>
      <c r="H269" s="253">
        <f t="shared" si="129"/>
        <v>0</v>
      </c>
      <c r="I269" s="253">
        <f t="shared" si="130"/>
        <v>0</v>
      </c>
      <c r="J269" s="253">
        <f t="shared" si="130"/>
        <v>0</v>
      </c>
      <c r="K269" s="253">
        <f t="shared" si="130"/>
        <v>0</v>
      </c>
      <c r="L269" s="229">
        <f>SUM(B269:K269)</f>
        <v>0</v>
      </c>
      <c r="P269" s="207">
        <f t="shared" si="123"/>
        <v>1</v>
      </c>
      <c r="Q269" s="404">
        <f>+Q268/VLOOKUP('1. SUMMARY'!$C$20,rate,Sheet1!T$21,0)</f>
        <v>0</v>
      </c>
      <c r="R269" s="404">
        <f>+R268/VLOOKUP('1. SUMMARY'!$C$20,rate,Sheet1!U$21,0)</f>
        <v>0</v>
      </c>
      <c r="S269" s="404">
        <f>+S268/VLOOKUP('1. SUMMARY'!$C$20,rate,Sheet1!V$21,0)</f>
        <v>0</v>
      </c>
      <c r="T269" s="404">
        <f>+T268/VLOOKUP('1. SUMMARY'!$C$20,rate,Sheet1!W$21,0)</f>
        <v>0</v>
      </c>
      <c r="U269" s="404">
        <f>+U268/VLOOKUP('1. SUMMARY'!$C$20,rate,Sheet1!X$21,0)</f>
        <v>0</v>
      </c>
      <c r="V269" s="404">
        <f>+V268/VLOOKUP('1. SUMMARY'!$C$20,rate,Sheet1!Y$21,0)</f>
        <v>0</v>
      </c>
      <c r="W269" s="404">
        <f>+W268/VLOOKUP('1. SUMMARY'!$C$20,rate,Sheet1!Z$21,0)</f>
        <v>0</v>
      </c>
      <c r="X269" s="404">
        <f>+X268/VLOOKUP('1. SUMMARY'!$C$20,rate,Sheet1!AA$21,0)</f>
        <v>0</v>
      </c>
      <c r="Y269" s="404">
        <f>+Y268/VLOOKUP('1. SUMMARY'!$C$20,rate,Sheet1!AB$21,0)</f>
        <v>0</v>
      </c>
      <c r="Z269" s="404">
        <f>+Z268/VLOOKUP('1. SUMMARY'!$C$20,rate,Sheet1!AC$21,0)</f>
        <v>0</v>
      </c>
      <c r="AA269" s="404">
        <f>+AA268/VLOOKUP('1. SUMMARY'!$C$20,rate,Sheet1!AD$21,0)</f>
        <v>0</v>
      </c>
      <c r="AB269" s="404">
        <f>+AB268/VLOOKUP('1. SUMMARY'!$C$20,rate,Sheet1!AE$21,0)</f>
        <v>0</v>
      </c>
      <c r="AC269" s="404">
        <f>+AC268/VLOOKUP('1. SUMMARY'!$C$20,rate,Sheet1!AF$21,0)</f>
        <v>0</v>
      </c>
      <c r="AD269" s="404">
        <f>+AD268/VLOOKUP('1. SUMMARY'!$C$20,rate,Sheet1!AG$21,0)</f>
        <v>0</v>
      </c>
      <c r="AE269" s="404">
        <f>+AE268/VLOOKUP('1. SUMMARY'!$C$20,rate,Sheet1!AH$21,0)</f>
        <v>0</v>
      </c>
      <c r="AF269" s="404">
        <f>+AF268/VLOOKUP('1. SUMMARY'!$C$20,rate,Sheet1!AI$21,0)</f>
        <v>0</v>
      </c>
      <c r="AG269" s="404">
        <f>+AG268/VLOOKUP('1. SUMMARY'!$C$20,rate,Sheet1!AJ$21,0)</f>
        <v>0</v>
      </c>
      <c r="AH269" s="219"/>
      <c r="AI269" s="404">
        <v>0</v>
      </c>
      <c r="AJ269" s="404">
        <v>0</v>
      </c>
      <c r="AK269" s="404">
        <v>0</v>
      </c>
      <c r="AL269" s="404">
        <v>0</v>
      </c>
      <c r="AM269" s="404">
        <v>0</v>
      </c>
      <c r="AN269" s="404">
        <v>0</v>
      </c>
      <c r="AO269" s="404">
        <v>0</v>
      </c>
      <c r="AP269" s="404">
        <v>0</v>
      </c>
      <c r="AQ269" s="404"/>
      <c r="AR269" s="404"/>
      <c r="AS269" s="404"/>
      <c r="AT269" s="404"/>
      <c r="AU269" s="404"/>
      <c r="AV269" s="404"/>
      <c r="AW269" s="404"/>
      <c r="AX269" s="404"/>
      <c r="AY269" s="404"/>
      <c r="AZ269" s="404"/>
    </row>
    <row r="270" spans="1:52" ht="12.75" customHeight="1">
      <c r="A270" s="243"/>
      <c r="B270" s="244"/>
      <c r="C270" s="244"/>
      <c r="D270" s="244"/>
      <c r="E270" s="244"/>
      <c r="F270" s="244"/>
      <c r="G270" s="244"/>
      <c r="H270" s="244"/>
      <c r="I270" s="244"/>
      <c r="J270" s="244"/>
      <c r="K270" s="244"/>
      <c r="L270" s="218"/>
      <c r="P270" s="207">
        <f t="shared" si="123"/>
        <v>1</v>
      </c>
      <c r="Q270" s="399">
        <f>Sheet1!$T$8</f>
        <v>44105</v>
      </c>
      <c r="R270" s="399">
        <f>Sheet1!$U$8</f>
        <v>44470</v>
      </c>
      <c r="S270" s="399">
        <f>Sheet1!$V$8</f>
        <v>44835</v>
      </c>
      <c r="T270" s="399">
        <f>Sheet1!$W$8</f>
        <v>45200</v>
      </c>
      <c r="U270" s="399">
        <f>Sheet1!$X$8</f>
        <v>45566</v>
      </c>
      <c r="V270" s="399">
        <f>Sheet1!$Y$8</f>
        <v>45931</v>
      </c>
      <c r="W270" s="399">
        <f>Sheet1!$Z$8</f>
        <v>46296</v>
      </c>
      <c r="X270" s="399">
        <f>Sheet1!$AA$8</f>
        <v>46661</v>
      </c>
      <c r="Y270" s="399">
        <f>Sheet1!$AB$8</f>
        <v>47027</v>
      </c>
      <c r="Z270" s="399">
        <f>Sheet1!$AC$8</f>
        <v>47392</v>
      </c>
      <c r="AA270" s="399">
        <f>$AA$5</f>
        <v>47757</v>
      </c>
      <c r="AB270" s="399">
        <f>$AB$5</f>
        <v>48122</v>
      </c>
      <c r="AC270" s="399">
        <f>$AC$5</f>
        <v>48488</v>
      </c>
      <c r="AD270" s="399">
        <f>$AD$5</f>
        <v>48853</v>
      </c>
      <c r="AE270" s="399">
        <f>$AE$5</f>
        <v>49218</v>
      </c>
      <c r="AF270" s="399">
        <f>$AF$5</f>
        <v>49583</v>
      </c>
      <c r="AG270" s="399">
        <f>$AG$5</f>
        <v>49949</v>
      </c>
      <c r="AH270" s="211"/>
      <c r="AI270" s="399">
        <f t="shared" ref="AI270:AR272" si="131">+Q270</f>
        <v>44105</v>
      </c>
      <c r="AJ270" s="399">
        <f t="shared" si="131"/>
        <v>44470</v>
      </c>
      <c r="AK270" s="399">
        <f t="shared" si="131"/>
        <v>44835</v>
      </c>
      <c r="AL270" s="399">
        <f t="shared" si="131"/>
        <v>45200</v>
      </c>
      <c r="AM270" s="399">
        <f t="shared" si="131"/>
        <v>45566</v>
      </c>
      <c r="AN270" s="399">
        <f t="shared" si="131"/>
        <v>45931</v>
      </c>
      <c r="AO270" s="399">
        <f t="shared" si="131"/>
        <v>46296</v>
      </c>
      <c r="AP270" s="399">
        <f t="shared" si="131"/>
        <v>46661</v>
      </c>
      <c r="AQ270" s="399">
        <f t="shared" si="131"/>
        <v>47027</v>
      </c>
      <c r="AR270" s="399">
        <f t="shared" si="131"/>
        <v>47392</v>
      </c>
      <c r="AS270" s="399">
        <f t="shared" ref="AS270:AY272" si="132">+AA270</f>
        <v>47757</v>
      </c>
      <c r="AT270" s="399">
        <f t="shared" si="132"/>
        <v>48122</v>
      </c>
      <c r="AU270" s="399">
        <f t="shared" si="132"/>
        <v>48488</v>
      </c>
      <c r="AV270" s="399">
        <f t="shared" si="132"/>
        <v>48853</v>
      </c>
      <c r="AW270" s="399">
        <f t="shared" si="132"/>
        <v>49218</v>
      </c>
      <c r="AX270" s="399">
        <f t="shared" si="132"/>
        <v>49583</v>
      </c>
      <c r="AY270" s="399">
        <f t="shared" si="132"/>
        <v>49949</v>
      </c>
      <c r="AZ270" s="399"/>
    </row>
    <row r="271" spans="1:52" ht="12.75" customHeight="1">
      <c r="A271" s="254" t="s">
        <v>171</v>
      </c>
      <c r="B271" s="469">
        <f t="shared" ref="B271:K271" si="133">+B254+B237+B220+B203+B186+B169+B152+B135+B118+B101+B84+B67+B50+B33+B16</f>
        <v>0</v>
      </c>
      <c r="C271" s="469">
        <f t="shared" si="133"/>
        <v>0</v>
      </c>
      <c r="D271" s="469">
        <f t="shared" si="133"/>
        <v>0</v>
      </c>
      <c r="E271" s="469">
        <f t="shared" si="133"/>
        <v>0</v>
      </c>
      <c r="F271" s="469">
        <f t="shared" si="133"/>
        <v>0</v>
      </c>
      <c r="G271" s="469">
        <f t="shared" si="133"/>
        <v>0</v>
      </c>
      <c r="H271" s="469">
        <f t="shared" si="133"/>
        <v>0</v>
      </c>
      <c r="I271" s="469">
        <f t="shared" si="133"/>
        <v>0</v>
      </c>
      <c r="J271" s="469">
        <f t="shared" si="133"/>
        <v>0</v>
      </c>
      <c r="K271" s="469">
        <f t="shared" si="133"/>
        <v>0</v>
      </c>
      <c r="L271" s="229">
        <f>SUM(B271:K271)</f>
        <v>0</v>
      </c>
      <c r="P271" s="207">
        <f t="shared" si="123"/>
        <v>1</v>
      </c>
      <c r="Q271" s="399">
        <f>Sheet1!$T$9</f>
        <v>44469</v>
      </c>
      <c r="R271" s="399">
        <f>Sheet1!$U$9</f>
        <v>44834</v>
      </c>
      <c r="S271" s="399">
        <f>Sheet1!$V$9</f>
        <v>45199</v>
      </c>
      <c r="T271" s="399">
        <f>Sheet1!$W$9</f>
        <v>45565</v>
      </c>
      <c r="U271" s="399">
        <f>Sheet1!$X$9</f>
        <v>45930</v>
      </c>
      <c r="V271" s="399">
        <f>Sheet1!$Y$9</f>
        <v>46295</v>
      </c>
      <c r="W271" s="399">
        <f>Sheet1!$Z$9</f>
        <v>46660</v>
      </c>
      <c r="X271" s="399">
        <f>Sheet1!$AA$9</f>
        <v>47026</v>
      </c>
      <c r="Y271" s="399">
        <f>Sheet1!$AB$9</f>
        <v>47391</v>
      </c>
      <c r="Z271" s="399">
        <f>Sheet1!$AC$9</f>
        <v>47756</v>
      </c>
      <c r="AA271" s="399">
        <f>$AA$6</f>
        <v>48121</v>
      </c>
      <c r="AB271" s="399">
        <f>$AB$6</f>
        <v>48487</v>
      </c>
      <c r="AC271" s="399">
        <f>$AC$6</f>
        <v>48852</v>
      </c>
      <c r="AD271" s="399">
        <f>$AD$6</f>
        <v>49217</v>
      </c>
      <c r="AE271" s="399">
        <f>$AE$6</f>
        <v>49582</v>
      </c>
      <c r="AF271" s="399">
        <f>$AF$6</f>
        <v>49948</v>
      </c>
      <c r="AG271" s="399">
        <f>$AG$6</f>
        <v>50313</v>
      </c>
      <c r="AH271" s="211"/>
      <c r="AI271" s="399">
        <f t="shared" si="131"/>
        <v>44469</v>
      </c>
      <c r="AJ271" s="399">
        <f t="shared" si="131"/>
        <v>44834</v>
      </c>
      <c r="AK271" s="399">
        <f t="shared" si="131"/>
        <v>45199</v>
      </c>
      <c r="AL271" s="399">
        <f t="shared" si="131"/>
        <v>45565</v>
      </c>
      <c r="AM271" s="399">
        <f t="shared" si="131"/>
        <v>45930</v>
      </c>
      <c r="AN271" s="399">
        <f t="shared" si="131"/>
        <v>46295</v>
      </c>
      <c r="AO271" s="399">
        <f t="shared" si="131"/>
        <v>46660</v>
      </c>
      <c r="AP271" s="399">
        <f t="shared" si="131"/>
        <v>47026</v>
      </c>
      <c r="AQ271" s="399">
        <f t="shared" si="131"/>
        <v>47391</v>
      </c>
      <c r="AR271" s="399">
        <f t="shared" si="131"/>
        <v>47756</v>
      </c>
      <c r="AS271" s="399">
        <f t="shared" si="132"/>
        <v>48121</v>
      </c>
      <c r="AT271" s="399">
        <f t="shared" si="132"/>
        <v>48487</v>
      </c>
      <c r="AU271" s="399">
        <f t="shared" si="132"/>
        <v>48852</v>
      </c>
      <c r="AV271" s="399">
        <f t="shared" si="132"/>
        <v>49217</v>
      </c>
      <c r="AW271" s="399">
        <f t="shared" si="132"/>
        <v>49582</v>
      </c>
      <c r="AX271" s="399">
        <f t="shared" si="132"/>
        <v>49948</v>
      </c>
      <c r="AY271" s="399">
        <f t="shared" si="132"/>
        <v>50313</v>
      </c>
      <c r="AZ271" s="399"/>
    </row>
    <row r="272" spans="1:52" ht="12.75" customHeight="1">
      <c r="A272" s="243"/>
      <c r="B272" s="244"/>
      <c r="C272" s="244"/>
      <c r="D272" s="244"/>
      <c r="E272" s="244"/>
      <c r="F272" s="244"/>
      <c r="G272" s="244"/>
      <c r="H272" s="244"/>
      <c r="I272" s="244"/>
      <c r="J272" s="244"/>
      <c r="K272" s="244"/>
      <c r="L272" s="218"/>
      <c r="O272" s="207" t="s">
        <v>230</v>
      </c>
      <c r="P272" s="207">
        <f t="shared" si="123"/>
        <v>1</v>
      </c>
      <c r="Q272" s="400">
        <f>IF(IF(Q271&lt;$D$27,0,DATEDIF($D$27,Q271+1,"m"))&lt;0,0,IF(Q271&lt;$D$27,0,DATEDIF($D$27,Q271+1,"m")))</f>
        <v>0</v>
      </c>
      <c r="R272" s="400">
        <f>IF(IF(Q272=12,0,IF(R271&gt;$D$28,12-DATEDIF($D$28,R271+1,"m"),IF(R271&lt;$D$27,0,DATEDIF($D$27,R271+1,"m"))))&lt;0,0,IF(Q272=12,0,IF(R271&gt;$D$28,12-DATEDIF($D$28,R271+1,"m"),IF(R271&lt;$D$27,0,DATEDIF($D$27,R271+1,"m")))))</f>
        <v>0</v>
      </c>
      <c r="S272" s="400">
        <f>IF(IF(Q272+R272=12,0,IF(S271&gt;$D$28,12-DATEDIF($D$28,S271+1,"m"),IF(S271&lt;$D$27,0,DATEDIF($D$27,S271+1,"m"))))&lt;0,0,IF(Q272+R272=12,0,IF(S271&gt;$D$28,12-DATEDIF($D$28,S271+1,"m"),IF(S271&lt;$D$27,0,DATEDIF($D$27,S271+1,"m")))))</f>
        <v>0</v>
      </c>
      <c r="T272" s="400">
        <f>IF(IF(R272+S272+Q272=12,0,IF(T271&gt;$D$28,12-DATEDIF($D$28,T271+1,"m"),IF(T271&lt;$D$27,0,DATEDIF($D$27,T271+1,"m"))))&lt;0,0,IF(R272+S272+Q272=12,0,IF(T271&gt;$D$28,12-DATEDIF($D$28,T271+1,"m"),IF(T271&lt;$D$27,0,DATEDIF($D$27,T271+1,"m")))))</f>
        <v>0</v>
      </c>
      <c r="U272" s="400">
        <f>IF(IF(S272+T272+R272+Q272=12,0,IF(U271&gt;$D$28,12-DATEDIF($D$28,U271+1,"m"),IF(U271&lt;$D$27,0,DATEDIF($D$27,U271+1,"m"))))&lt;0,0,IF(S272+T272+R272+Q272=12,0,IF(U271&gt;$D$28,12-DATEDIF($D$28,U271+1,"m"),IF(U271&lt;$D$27,0,DATEDIF($D$27,U271+1,"m")))))</f>
        <v>0</v>
      </c>
      <c r="V272" s="400">
        <f>IF(IF(T272+U272+S272+R272+Q272=12,0,IF(V271&gt;$D$28,12-DATEDIF($D$28,V271+1,"m"),IF(V271&lt;$D$27,0,DATEDIF($D$27,V271+1,"m"))))&lt;0,0,IF(T272+U272+S272+R272+Q272=12,0,IF(V271&gt;$D$28,12-DATEDIF($D$28,V271+1,"m"),IF(V271&lt;$D$27,0,DATEDIF($D$27,V271+1,"m")))))</f>
        <v>0</v>
      </c>
      <c r="W272" s="400">
        <f>IF(IF(U272+V272+T272+S272+R272+Q272=12,0,IF(W271&gt;$D$28,12-DATEDIF($D$28,W271+1,"m"),IF(W271&lt;$D$27,0,DATEDIF($D$27,W271+1,"m"))))&lt;0,0,IF(U272+V272+T272+S272+R272+Q272=12,0,IF(W271&gt;$D$28,12-DATEDIF($D$28,W271+1,"m"),IF(W271&lt;$D$27,0,DATEDIF($D$27,W271+1,"m")))))</f>
        <v>0</v>
      </c>
      <c r="X272" s="400">
        <f>IF(IF(V272+W272+U272+T272+S272+R272+Q272=12,0,IF(X271&gt;$D$28,12-DATEDIF($D$28,X271+1,"m"),IF(X271&lt;$D$27,0,DATEDIF($D$27,X271+1,"m"))))&lt;0,0,IF(V272+W272+U272+T272+S272+R272+Q272=12,0,IF(X271&gt;$D$28,1-DATEDIF($D$28,X271+1,"m"),IF(X271&lt;$D$27,0,DATEDIF($D$27,X271+1,"m")))))</f>
        <v>0</v>
      </c>
      <c r="Y272" s="400">
        <f>IF(IF(Q272+W272+X272+V272+U272+T272+S272+R272=12,0,IF(Y271&gt;E96,12-DATEDIF(E96,Y271+1,"m"),IF(Y271&lt;E95,0,DATEDIF(E95,Y271+1,"m"))))&lt;0,0,IF(Q272+W272+X272+V272+U272+T272+S272+R272=12,0,IF(Y271&gt;E96,12-DATEDIF(E96,Y271+1,"m"),IF(Y271&lt;E95,0,DATEDIF(E95,Y271+1,"m")))))</f>
        <v>0</v>
      </c>
      <c r="Z272" s="400">
        <f>IF(IF(Q272+R272+X272+Y272+W272+V272+U272+T272+S272=12,0,IF(Z271&gt;F96,12-DATEDIF(F96,Z271+1,"m"),IF(Z271&lt;F95,0,DATEDIF(F95,Z271+1,"m"))))&lt;0,0,IF(Q272+R272+X272+Y272+W272+V272+U272+T272+S272=12,0,IF(Z271&gt;F96,12-DATEDIF(F96,Z271+1,"m"),IF(Z271&lt;F95,0,DATEDIF(F95,Z271+1,"m")))))</f>
        <v>0</v>
      </c>
      <c r="AA272" s="400"/>
      <c r="AB272" s="400"/>
      <c r="AC272" s="400"/>
      <c r="AD272" s="400"/>
      <c r="AE272" s="400"/>
      <c r="AF272" s="400"/>
      <c r="AG272" s="400"/>
      <c r="AH272" s="423">
        <f>SUM(Q272:AG272)</f>
        <v>0</v>
      </c>
      <c r="AI272" s="400">
        <f t="shared" si="131"/>
        <v>0</v>
      </c>
      <c r="AJ272" s="400">
        <f t="shared" si="131"/>
        <v>0</v>
      </c>
      <c r="AK272" s="400">
        <f t="shared" si="131"/>
        <v>0</v>
      </c>
      <c r="AL272" s="400">
        <f t="shared" si="131"/>
        <v>0</v>
      </c>
      <c r="AM272" s="400">
        <f t="shared" si="131"/>
        <v>0</v>
      </c>
      <c r="AN272" s="400">
        <f t="shared" si="131"/>
        <v>0</v>
      </c>
      <c r="AO272" s="400">
        <f t="shared" si="131"/>
        <v>0</v>
      </c>
      <c r="AP272" s="400">
        <f t="shared" si="131"/>
        <v>0</v>
      </c>
      <c r="AQ272" s="400">
        <f t="shared" si="131"/>
        <v>0</v>
      </c>
      <c r="AR272" s="400">
        <f t="shared" si="131"/>
        <v>0</v>
      </c>
      <c r="AS272" s="400">
        <f t="shared" si="132"/>
        <v>0</v>
      </c>
      <c r="AT272" s="400">
        <f t="shared" si="132"/>
        <v>0</v>
      </c>
      <c r="AU272" s="400">
        <f t="shared" si="132"/>
        <v>0</v>
      </c>
      <c r="AV272" s="400">
        <f t="shared" si="132"/>
        <v>0</v>
      </c>
      <c r="AW272" s="400">
        <f t="shared" si="132"/>
        <v>0</v>
      </c>
      <c r="AX272" s="400">
        <f t="shared" si="132"/>
        <v>0</v>
      </c>
      <c r="AY272" s="400">
        <f t="shared" si="132"/>
        <v>0</v>
      </c>
      <c r="AZ272" s="400">
        <f>SUM(AI272:AY272)</f>
        <v>0</v>
      </c>
    </row>
    <row r="273" spans="1:52" ht="12.75" customHeight="1">
      <c r="A273" s="248" t="s">
        <v>153</v>
      </c>
      <c r="B273" s="253">
        <f>+B256+B239+B222+B205+B188+B171+B154+B137+B120+B103+B86+B69+B52+B35+B18</f>
        <v>0</v>
      </c>
      <c r="C273" s="253" t="str">
        <f>IF(C265="No Year 2","",+C256+C239+C222+C205+C188+C171+C154+C137+C120+C103+C86+C69+C52+C35+C18)</f>
        <v/>
      </c>
      <c r="D273" s="253" t="str">
        <f>IF(D265="No Year 3","",+D256+D239+D222+D205+D188+D171+D154+D137+D120+D103+D86+D69+D52+D35+D18)</f>
        <v/>
      </c>
      <c r="E273" s="253" t="str">
        <f>IF(E265="No Year 4","",+E256+E239+E222+E205+E188+E171+E154+E137+E120+E103+E86+E69+E52+E35+E18)</f>
        <v/>
      </c>
      <c r="F273" s="253" t="str">
        <f>IF(F265="No Year 5","",+F256+F239+F222+F205+F188+F171+F154+F137+F120+F103+F86+F69+F52+F35+F18)</f>
        <v/>
      </c>
      <c r="G273" s="253" t="str">
        <f>IF(G265="No Year 6","",+G256+G239+G222+G205+G188+G171+G154+G137+G120+G103+G86+G69+G52+G35+G18)</f>
        <v/>
      </c>
      <c r="H273" s="253" t="str">
        <f>IF(H265="No Year 7","",+H256+H239+H222+H205+H188+H171+H154+H137+H120+H103+H86+H69+H52+H35+H18)</f>
        <v/>
      </c>
      <c r="I273" s="253" t="str">
        <f>IF(I265="No Year 8","",+I256+I239+I222+I205+I188+I171+I154+I137+I120+I103+I86+I69+I52+I35+I18)</f>
        <v/>
      </c>
      <c r="J273" s="253" t="str">
        <f>IF(J265="No Year 9","",+J256+J239+J222+J205+J188+J171+J154+J137+J120+J103+J86+J69+J52+J35+J18)</f>
        <v/>
      </c>
      <c r="K273" s="253" t="str">
        <f>IF(K265="No Year 10","",+K256+K239+K222+K205+K188+K171+K154+K137+K120+K103+K86+K69+K52+K35+K18)</f>
        <v/>
      </c>
      <c r="L273" s="229">
        <f>SUM(B273:K273)</f>
        <v>0</v>
      </c>
      <c r="P273" s="207">
        <f t="shared" si="123"/>
        <v>1</v>
      </c>
      <c r="Q273" s="401">
        <f>IF(Q272=0,0,(IF(($C$101+$B$101+$D$101)&lt;=25000,(($D$101/+$AH272)*Q272)*VLOOKUP('1. SUMMARY'!$C$20,rate,Sheet1!T$21,0),((IF(($B$101+$C$101)&gt;=25000,0,(((25000-($B$101+$C$101))/+$AH272)*Q272)*VLOOKUP('1. SUMMARY'!$C$20,rate,Sheet1!T$21,0)))))))</f>
        <v>0</v>
      </c>
      <c r="R273" s="401">
        <f>IF(R272=0,0,(IF(($C$101+$B$101+$D$101)&lt;=25000,(($D$101/+$AH272)*R272)*VLOOKUP('1. SUMMARY'!$C$20,rate,Sheet1!U$21,0),((IF(($B$101+$C$101)&gt;=25000,0,(((25000-($B$101+$C$101))/+$AH272)*R272)*VLOOKUP('1. SUMMARY'!$C$20,rate,Sheet1!U$21,0)))))))</f>
        <v>0</v>
      </c>
      <c r="S273" s="401">
        <f>IF(S272=0,0,(IF(($C$101+$B$101+$D$101)&lt;=25000,(($D$101/+$AH272)*S272)*VLOOKUP('1. SUMMARY'!$C$20,rate,Sheet1!V$21,0),((IF(($B$101+$C$101)&gt;=25000,0,(((25000-($B$101+$C$101))/+$AH272)*S272)*VLOOKUP('1. SUMMARY'!$C$20,rate,Sheet1!V$21,0)))))))</f>
        <v>0</v>
      </c>
      <c r="T273" s="401">
        <f>IF(T272=0,0,(IF(($C$101+$B$101+$D$101)&lt;=25000,(($D$101/+$AH272)*T272)*VLOOKUP('1. SUMMARY'!$C$20,rate,Sheet1!W$21,0),((IF(($B$101+$C$101)&gt;=25000,0,(((25000-($B$101+$C$101))/+$AH272)*T272)*VLOOKUP('1. SUMMARY'!$C$20,rate,Sheet1!W$21,0)))))))</f>
        <v>0</v>
      </c>
      <c r="U273" s="401">
        <f>IF(U272=0,0,(IF(($C$101+$B$101+$D$101)&lt;=25000,(($D$101/+$AH272)*U272)*VLOOKUP('1. SUMMARY'!$C$20,rate,Sheet1!X$21,0),((IF(($B$101+$C$101)&gt;=25000,0,(((25000-($B$101+$C$101))/+$AH272)*U272)*VLOOKUP('1. SUMMARY'!$C$20,rate,Sheet1!X$21,0)))))))</f>
        <v>0</v>
      </c>
      <c r="V273" s="401">
        <f>IF(V272=0,0,(IF(($C$101+$B$101+$D$101)&lt;=25000,(($D$101/+$AH272)*V272)*VLOOKUP('1. SUMMARY'!$C$20,rate,Sheet1!Y$21,0),((IF(($B$101+$C$101)&gt;=25000,0,(((25000-($B$101+$C$101))/+$AH272)*V272)*VLOOKUP('1. SUMMARY'!$C$20,rate,Sheet1!Y$21,0)))))))</f>
        <v>0</v>
      </c>
      <c r="W273" s="401">
        <f>IF(W272=0,0,(IF(($C$101+$B$101+$D$101)&lt;=25000,(($D$101/+$AH272)*W272)*VLOOKUP('1. SUMMARY'!$C$20,rate,Sheet1!Z$21,0),((IF(($B$101+$C$101)&gt;=25000,0,(((25000-($B$101+$C$101))/+$AH272)*W272)*VLOOKUP('1. SUMMARY'!$C$20,rate,Sheet1!Z$21,0)))))))</f>
        <v>0</v>
      </c>
      <c r="X273" s="401">
        <f>IF(X272=0,0,(IF(($C$101+$B$101+$D$101)&lt;=25000,(($D$101/+$AH272)*X272)*VLOOKUP('1. SUMMARY'!$C$20,rate,Sheet1!AA$21,0),((IF(($B$101+$C$101)&gt;=25000,0,(((25000-($B$101+$C$101))/+$AH272)*X272)*VLOOKUP('1. SUMMARY'!$C$20,rate,Sheet1!AA$21,0)))))))</f>
        <v>0</v>
      </c>
      <c r="Y273" s="401">
        <f>IF(Y272=0,0,(IF(($C$101+$B$101+$D$101)&lt;=25000,(($D$101/+$AH272)*Y272)*VLOOKUP('1. SUMMARY'!$C$20,rate,Sheet1!AB$21,0),((IF(($B$101+$C$101)&gt;=25000,0,(((25000-($B$101+$C$101))/+$AH272)*Y272)*VLOOKUP('1. SUMMARY'!$C$20,rate,Sheet1!AB$21,0)))))))</f>
        <v>0</v>
      </c>
      <c r="Z273" s="401">
        <f>IF(Z272=0,0,(IF(($C$101+$B$101+$D$101)&lt;=25000,(($D$101/+$AH272)*Z272)*VLOOKUP('1. SUMMARY'!$C$20,rate,Sheet1!AC$21,0),((IF(($B$101+$C$101)&gt;=25000,0,(((25000-($B$101+$C$101))/+$AH272)*Z272)*VLOOKUP('1. SUMMARY'!$C$20,rate,Sheet1!AC$21,0)))))))</f>
        <v>0</v>
      </c>
      <c r="AA273" s="401">
        <f>IF(AA272=0,0,(IF(($C$101+$B$101+$D$101)&lt;=25000,(($D$101/+$AH272)*AA272)*VLOOKUP('1. SUMMARY'!$C$20,rate,Sheet1!AD$21,0),((IF(($B$101+$C$101)&gt;=25000,0,(((25000-($B$101+$C$101))/+$AH272)*AA272)*VLOOKUP('1. SUMMARY'!$C$20,rate,Sheet1!AD$21,0)))))))</f>
        <v>0</v>
      </c>
      <c r="AB273" s="401">
        <f>IF(AB272=0,0,(IF(($C$101+$B$101+$D$101)&lt;=25000,(($D$101/+$AH272)*AB272)*VLOOKUP('1. SUMMARY'!$C$20,rate,Sheet1!AE$21,0),((IF(($B$101+$C$101)&gt;=25000,0,(((25000-($B$101+$C$101))/+$AH272)*AB272)*VLOOKUP('1. SUMMARY'!$C$20,rate,Sheet1!AE$21,0)))))))</f>
        <v>0</v>
      </c>
      <c r="AC273" s="401">
        <f>IF(AC272=0,0,(IF(($C$101+$B$101+$D$101)&lt;=25000,(($D$101/+$AH272)*AC272)*VLOOKUP('1. SUMMARY'!$C$20,rate,Sheet1!AF$21,0),((IF(($B$101+$C$101)&gt;=25000,0,(((25000-($B$101+$C$101))/+$AH272)*AC272)*VLOOKUP('1. SUMMARY'!$C$20,rate,Sheet1!AF$21,0)))))))</f>
        <v>0</v>
      </c>
      <c r="AD273" s="401">
        <f>IF(AD272=0,0,(IF(($C$101+$B$101+$D$101)&lt;=25000,(($D$101/+$AH272)*AD272)*VLOOKUP('1. SUMMARY'!$C$20,rate,Sheet1!AG$21,0),((IF(($B$101+$C$101)&gt;=25000,0,(((25000-($B$101+$C$101))/+$AH272)*AD272)*VLOOKUP('1. SUMMARY'!$C$20,rate,Sheet1!AG$21,0)))))))</f>
        <v>0</v>
      </c>
      <c r="AE273" s="401">
        <f>IF(AE272=0,0,(IF(($C$101+$B$101+$D$101)&lt;=25000,(($D$101/+$AH272)*AE272)*VLOOKUP('1. SUMMARY'!$C$20,rate,Sheet1!AH$21,0),((IF(($B$101+$C$101)&gt;=25000,0,(((25000-($B$101+$C$101))/+$AH272)*AE272)*VLOOKUP('1. SUMMARY'!$C$20,rate,Sheet1!AH$21,0)))))))</f>
        <v>0</v>
      </c>
      <c r="AF273" s="401">
        <f>IF(AF272=0,0,(IF(($C$101+$B$101+$D$101)&lt;=25000,(($D$101/+$AH272)*AF272)*VLOOKUP('1. SUMMARY'!$C$20,rate,Sheet1!AI$21,0),((IF(($B$101+$C$101)&gt;=25000,0,(((25000-($B$101+$C$101))/+$AH272)*AF272)*VLOOKUP('1. SUMMARY'!$C$20,rate,Sheet1!AI$21,0)))))))</f>
        <v>0</v>
      </c>
      <c r="AG273" s="401">
        <f>IF(AG272=0,0,(IF(($C$101+$B$101+$D$101)&lt;=25000,(($D$101/+$AH272)*AG272)*VLOOKUP('1. SUMMARY'!$C$20,rate,Sheet1!AJ$21,0),((IF(($B$101+$C$101)&gt;=25000,0,(((25000-($B$101+$C$101))/+$AH272)*AG272)*VLOOKUP('1. SUMMARY'!$C$20,rate,Sheet1!AJ$21,0)))))))</f>
        <v>0</v>
      </c>
      <c r="AH273" s="219">
        <f>SUM(Q273:AG273)</f>
        <v>0</v>
      </c>
      <c r="AI273" s="401">
        <f>IF(Q272=0,0,((+$D101/$AZ$17)*AI272)*VLOOKUP('1. SUMMARY'!$C$20,rate,Sheet1!T$21,0))</f>
        <v>0</v>
      </c>
      <c r="AJ273" s="401">
        <f>IF(R272=0,0,((+$D101/$AZ$17)*AJ272)*VLOOKUP('1. SUMMARY'!$C$20,rate,Sheet1!U$21,0))</f>
        <v>0</v>
      </c>
      <c r="AK273" s="401">
        <f>IF(S272=0,0,((+$D101/$AZ$17)*AK272)*VLOOKUP('1. SUMMARY'!$C$20,rate,Sheet1!V$21,0))</f>
        <v>0</v>
      </c>
      <c r="AL273" s="401">
        <f>IF(T272=0,0,((+$D101/$AZ$17)*AL272)*VLOOKUP('1. SUMMARY'!$C$20,rate,Sheet1!W$21,0))</f>
        <v>0</v>
      </c>
      <c r="AM273" s="401">
        <f>IF(U272=0,0,((+$D101/$AZ$17)*AM272)*VLOOKUP('1. SUMMARY'!$C$20,rate,Sheet1!X$21,0))</f>
        <v>0</v>
      </c>
      <c r="AN273" s="401">
        <f>IF(V272=0,0,((+$D101/$AZ$17)*AN272)*VLOOKUP('1. SUMMARY'!$C$20,rate,Sheet1!Y$21,0))</f>
        <v>0</v>
      </c>
      <c r="AO273" s="401">
        <f>IF(W272=0,0,((+$D101/$AZ$17)*AO272)*VLOOKUP('1. SUMMARY'!$C$20,rate,Sheet1!Z$21,0))</f>
        <v>0</v>
      </c>
      <c r="AP273" s="401">
        <f>IF(X272=0,0,((+$D101/$AZ$17)*AP272)*VLOOKUP('1. SUMMARY'!$C$20,rate,Sheet1!AA$21,0))</f>
        <v>0</v>
      </c>
      <c r="AQ273" s="401">
        <f>IF(Y272=0,0,((+$D101/$AZ$17)*AQ272)*VLOOKUP('1. SUMMARY'!$C$20,rate,Sheet1!AB$21,0))</f>
        <v>0</v>
      </c>
      <c r="AR273" s="401">
        <f>IF(Z272=0,0,((+$D101/$AZ$17)*AR272)*VLOOKUP('1. SUMMARY'!$C$20,rate,Sheet1!AC$21,0))</f>
        <v>0</v>
      </c>
      <c r="AS273" s="401">
        <f>IF(AA272=0,0,((+$D101/$AZ$17)*AS272)*VLOOKUP('1. SUMMARY'!$C$20,rate,Sheet1!AD$21,0))</f>
        <v>0</v>
      </c>
      <c r="AT273" s="401">
        <f>IF(AB272=0,0,((+$D101/$AZ$17)*AT272)*VLOOKUP('1. SUMMARY'!$C$20,rate,Sheet1!AE$21,0))</f>
        <v>0</v>
      </c>
      <c r="AU273" s="401">
        <f>IF(AC272=0,0,((+$D101/$AZ$17)*AU272)*VLOOKUP('1. SUMMARY'!$C$20,rate,Sheet1!AF$21,0))</f>
        <v>0</v>
      </c>
      <c r="AV273" s="401">
        <f>IF(AD272=0,0,((+$D101/$AZ$17)*AV272)*VLOOKUP('1. SUMMARY'!$C$20,rate,Sheet1!AG$21,0))</f>
        <v>0</v>
      </c>
      <c r="AW273" s="401">
        <f>IF(AE272=0,0,((+$D101/$AZ$17)*AW272)*VLOOKUP('1. SUMMARY'!$C$20,rate,Sheet1!AH$21,0))</f>
        <v>0</v>
      </c>
      <c r="AX273" s="401">
        <f>IF(AF272=0,0,((+$D101/$AZ$17)*AX272)*VLOOKUP('1. SUMMARY'!$C$20,rate,Sheet1!AI$21,0))</f>
        <v>0</v>
      </c>
      <c r="AY273" s="401">
        <f>IF(AG272=0,0,((+$D101/$AZ$17)*AY272)*VLOOKUP('1. SUMMARY'!$C$20,rate,Sheet1!AJ$21,0))</f>
        <v>0</v>
      </c>
      <c r="AZ273" s="401">
        <f>SUM(AI273:AY273)</f>
        <v>0</v>
      </c>
    </row>
    <row r="274" spans="1:52" ht="12.75" customHeight="1">
      <c r="A274" s="243"/>
      <c r="B274" s="255"/>
      <c r="C274" s="255"/>
      <c r="D274" s="255"/>
      <c r="E274" s="255"/>
      <c r="F274" s="255"/>
      <c r="G274" s="255"/>
      <c r="H274" s="255"/>
      <c r="I274" s="255"/>
      <c r="J274" s="255"/>
      <c r="K274" s="255"/>
      <c r="L274" s="235"/>
      <c r="P274" s="207">
        <f t="shared" si="123"/>
        <v>1</v>
      </c>
      <c r="Q274" s="401">
        <f>+Q273/VLOOKUP('1. SUMMARY'!$C$20,rate,Sheet1!T$21,0)</f>
        <v>0</v>
      </c>
      <c r="R274" s="401">
        <f>+R273/VLOOKUP('1. SUMMARY'!$C$20,rate,Sheet1!U$21,0)</f>
        <v>0</v>
      </c>
      <c r="S274" s="401">
        <f>+S273/VLOOKUP('1. SUMMARY'!$C$20,rate,Sheet1!V$21,0)</f>
        <v>0</v>
      </c>
      <c r="T274" s="401">
        <f>+T273/VLOOKUP('1. SUMMARY'!$C$20,rate,Sheet1!W$21,0)</f>
        <v>0</v>
      </c>
      <c r="U274" s="401">
        <f>+U273/VLOOKUP('1. SUMMARY'!$C$20,rate,Sheet1!X$21,0)</f>
        <v>0</v>
      </c>
      <c r="V274" s="401">
        <f>+V273/VLOOKUP('1. SUMMARY'!$C$20,rate,Sheet1!Y$21,0)</f>
        <v>0</v>
      </c>
      <c r="W274" s="401">
        <f>+W273/VLOOKUP('1. SUMMARY'!$C$20,rate,Sheet1!Z$21,0)</f>
        <v>0</v>
      </c>
      <c r="X274" s="401">
        <f>+X273/VLOOKUP('1. SUMMARY'!$C$20,rate,Sheet1!AA$21,0)</f>
        <v>0</v>
      </c>
      <c r="Y274" s="401">
        <f>+Y273/VLOOKUP('1. SUMMARY'!$C$20,rate,Sheet1!AB$21,0)</f>
        <v>0</v>
      </c>
      <c r="Z274" s="401">
        <f>+Z273/VLOOKUP('1. SUMMARY'!$C$20,rate,Sheet1!AC$21,0)</f>
        <v>0</v>
      </c>
      <c r="AA274" s="401">
        <f>+AA273/VLOOKUP('1. SUMMARY'!$C$20,rate,Sheet1!AD$21,0)</f>
        <v>0</v>
      </c>
      <c r="AB274" s="401">
        <f>+AB273/VLOOKUP('1. SUMMARY'!$C$20,rate,Sheet1!AE$21,0)</f>
        <v>0</v>
      </c>
      <c r="AC274" s="401">
        <f>+AC273/VLOOKUP('1. SUMMARY'!$C$20,rate,Sheet1!AF$21,0)</f>
        <v>0</v>
      </c>
      <c r="AD274" s="401">
        <f>+AD273/VLOOKUP('1. SUMMARY'!$C$20,rate,Sheet1!AG$21,0)</f>
        <v>0</v>
      </c>
      <c r="AE274" s="401">
        <f>+AE273/VLOOKUP('1. SUMMARY'!$C$20,rate,Sheet1!AH$21,0)</f>
        <v>0</v>
      </c>
      <c r="AF274" s="401">
        <f>+AF273/VLOOKUP('1. SUMMARY'!$C$20,rate,Sheet1!AI$21,0)</f>
        <v>0</v>
      </c>
      <c r="AG274" s="401">
        <f>+AG273/VLOOKUP('1. SUMMARY'!$C$20,rate,Sheet1!AJ$21,0)</f>
        <v>0</v>
      </c>
      <c r="AH274" s="219"/>
      <c r="AI274" s="401">
        <v>0</v>
      </c>
      <c r="AJ274" s="401">
        <v>0</v>
      </c>
      <c r="AK274" s="401">
        <v>0</v>
      </c>
      <c r="AL274" s="401">
        <v>0</v>
      </c>
      <c r="AM274" s="401">
        <v>0</v>
      </c>
      <c r="AN274" s="401">
        <v>0</v>
      </c>
      <c r="AO274" s="401">
        <v>0</v>
      </c>
      <c r="AP274" s="401">
        <v>0</v>
      </c>
      <c r="AQ274" s="401"/>
      <c r="AR274" s="401"/>
      <c r="AS274" s="401"/>
      <c r="AT274" s="401"/>
      <c r="AU274" s="401"/>
      <c r="AV274" s="401"/>
      <c r="AW274" s="401"/>
      <c r="AX274" s="401"/>
      <c r="AY274" s="401"/>
      <c r="AZ274" s="401"/>
    </row>
    <row r="275" spans="1:52" ht="12.75" customHeight="1" thickBot="1">
      <c r="A275" s="256" t="s">
        <v>154</v>
      </c>
      <c r="B275" s="257">
        <f>+B258+B241+B224+B207+B190+B173+B156+B139+B122+B105+B88+B71+B54+B37+B20</f>
        <v>0</v>
      </c>
      <c r="C275" s="257" t="str">
        <f>IF(C265="No Year 2","",+C258+C241+C224+C207+C190+C173+C156+C139+C122+C105+C88+C71+C54+C37+C20)</f>
        <v/>
      </c>
      <c r="D275" s="257" t="str">
        <f>IF(D265="No Year 3","",+D258+D241+D224+D207+D190+D173+D156+D139+D122+D105+D88+D71+D54+D37+D20)</f>
        <v/>
      </c>
      <c r="E275" s="257" t="str">
        <f>IF(E265="No Year 4","",+E258+E241+E224+E207+E190+E173+E156+E139+E122+E105+E88+E71+E54+E37+E20)</f>
        <v/>
      </c>
      <c r="F275" s="257" t="str">
        <f>IF(F265="No Year 5","",+F258+F241+F224+F207+F190+F173+F156+F139+F122+F105+F88+F71+F54+F37+F20)</f>
        <v/>
      </c>
      <c r="G275" s="257" t="str">
        <f>IF(G265="No Year 6","",+G258+G241+G224+G207+G190+G173+G156+G139+G122+G105+G88+G71+G54+G37+G20)</f>
        <v/>
      </c>
      <c r="H275" s="257" t="str">
        <f>IF(H265="No Year 7","",+H258+H241+H224+H207+H190+H173+H156+H139+H122+H105+H88+H71+H54+H37+H20)</f>
        <v/>
      </c>
      <c r="I275" s="257" t="str">
        <f>IF(I265="No Year 8","",+I258+I241+I224+I207+I190+I173+I156+I139+I122+I105+I88+I71+I54+I37+I20)</f>
        <v/>
      </c>
      <c r="J275" s="257" t="str">
        <f>IF(J265="No Year 9","",+J258+J241+J224+J207+J190+J173+J156+J139+J122+J105+J88+J71+J54+J37+J20)</f>
        <v/>
      </c>
      <c r="K275" s="257" t="str">
        <f>IF(K265="No Year 10","",+K258+K241+K224+K207+K190+K173+K156+K139+K122+K105+K88+K71+K54+K37+K20)</f>
        <v/>
      </c>
      <c r="L275" s="238">
        <f>SUM(B275:K275)</f>
        <v>0</v>
      </c>
      <c r="N275" s="86">
        <f>SUM(N7:N269)</f>
        <v>0</v>
      </c>
      <c r="P275" s="207">
        <f t="shared" si="123"/>
        <v>1</v>
      </c>
      <c r="Q275" s="405">
        <f>Sheet1!$T$8</f>
        <v>44105</v>
      </c>
      <c r="R275" s="405">
        <f>Sheet1!$U$8</f>
        <v>44470</v>
      </c>
      <c r="S275" s="405">
        <f>Sheet1!$V$8</f>
        <v>44835</v>
      </c>
      <c r="T275" s="405">
        <f>Sheet1!$W$8</f>
        <v>45200</v>
      </c>
      <c r="U275" s="405">
        <f>Sheet1!$X$8</f>
        <v>45566</v>
      </c>
      <c r="V275" s="405">
        <f>Sheet1!$Y$8</f>
        <v>45931</v>
      </c>
      <c r="W275" s="405">
        <f>Sheet1!$Z$8</f>
        <v>46296</v>
      </c>
      <c r="X275" s="405">
        <f>Sheet1!$AA$8</f>
        <v>46661</v>
      </c>
      <c r="Y275" s="405">
        <f>Sheet1!$AB$8</f>
        <v>47027</v>
      </c>
      <c r="Z275" s="405">
        <f>Sheet1!$AC$8</f>
        <v>47392</v>
      </c>
      <c r="AA275" s="405">
        <f>$AA$5</f>
        <v>47757</v>
      </c>
      <c r="AB275" s="405">
        <f>$AB$5</f>
        <v>48122</v>
      </c>
      <c r="AC275" s="405">
        <f>$AC$5</f>
        <v>48488</v>
      </c>
      <c r="AD275" s="405">
        <f>$AD$5</f>
        <v>48853</v>
      </c>
      <c r="AE275" s="405">
        <f>$AE$5</f>
        <v>49218</v>
      </c>
      <c r="AF275" s="405">
        <f>$AF$5</f>
        <v>49583</v>
      </c>
      <c r="AG275" s="405">
        <f>$AG$5</f>
        <v>49949</v>
      </c>
      <c r="AH275" s="211"/>
      <c r="AI275" s="405">
        <f t="shared" ref="AI275:AR277" si="134">+Q275</f>
        <v>44105</v>
      </c>
      <c r="AJ275" s="405">
        <f t="shared" si="134"/>
        <v>44470</v>
      </c>
      <c r="AK275" s="405">
        <f t="shared" si="134"/>
        <v>44835</v>
      </c>
      <c r="AL275" s="405">
        <f t="shared" si="134"/>
        <v>45200</v>
      </c>
      <c r="AM275" s="405">
        <f t="shared" si="134"/>
        <v>45566</v>
      </c>
      <c r="AN275" s="405">
        <f t="shared" si="134"/>
        <v>45931</v>
      </c>
      <c r="AO275" s="405">
        <f t="shared" si="134"/>
        <v>46296</v>
      </c>
      <c r="AP275" s="405">
        <f t="shared" si="134"/>
        <v>46661</v>
      </c>
      <c r="AQ275" s="405">
        <f t="shared" si="134"/>
        <v>47027</v>
      </c>
      <c r="AR275" s="405">
        <f t="shared" si="134"/>
        <v>47392</v>
      </c>
      <c r="AS275" s="405">
        <f t="shared" ref="AS275:AY277" si="135">+AA275</f>
        <v>47757</v>
      </c>
      <c r="AT275" s="405">
        <f t="shared" si="135"/>
        <v>48122</v>
      </c>
      <c r="AU275" s="405">
        <f t="shared" si="135"/>
        <v>48488</v>
      </c>
      <c r="AV275" s="405">
        <f t="shared" si="135"/>
        <v>48853</v>
      </c>
      <c r="AW275" s="405">
        <f t="shared" si="135"/>
        <v>49218</v>
      </c>
      <c r="AX275" s="405">
        <f t="shared" si="135"/>
        <v>49583</v>
      </c>
      <c r="AY275" s="405">
        <f t="shared" si="135"/>
        <v>49949</v>
      </c>
      <c r="AZ275" s="405"/>
    </row>
    <row r="276" spans="1:52" ht="12.75" customHeight="1" thickTop="1">
      <c r="P276" s="207">
        <f t="shared" si="123"/>
        <v>1</v>
      </c>
      <c r="Q276" s="405">
        <f>Sheet1!$T$9</f>
        <v>44469</v>
      </c>
      <c r="R276" s="405">
        <f>Sheet1!$U$9</f>
        <v>44834</v>
      </c>
      <c r="S276" s="405">
        <f>Sheet1!$V$9</f>
        <v>45199</v>
      </c>
      <c r="T276" s="405">
        <f>Sheet1!$W$9</f>
        <v>45565</v>
      </c>
      <c r="U276" s="405">
        <f>Sheet1!$X$9</f>
        <v>45930</v>
      </c>
      <c r="V276" s="405">
        <f>Sheet1!$Y$9</f>
        <v>46295</v>
      </c>
      <c r="W276" s="405">
        <f>Sheet1!$Z$9</f>
        <v>46660</v>
      </c>
      <c r="X276" s="405">
        <f>Sheet1!$AA$9</f>
        <v>47026</v>
      </c>
      <c r="Y276" s="405">
        <f>Sheet1!$AB$9</f>
        <v>47391</v>
      </c>
      <c r="Z276" s="405">
        <f>Sheet1!$AC$9</f>
        <v>47756</v>
      </c>
      <c r="AA276" s="405">
        <f>$AA$6</f>
        <v>48121</v>
      </c>
      <c r="AB276" s="405">
        <f>$AB$6</f>
        <v>48487</v>
      </c>
      <c r="AC276" s="405">
        <f>$AC$6</f>
        <v>48852</v>
      </c>
      <c r="AD276" s="405">
        <f>$AD$6</f>
        <v>49217</v>
      </c>
      <c r="AE276" s="405">
        <f>$AE$6</f>
        <v>49582</v>
      </c>
      <c r="AF276" s="405">
        <f>$AF$6</f>
        <v>49948</v>
      </c>
      <c r="AG276" s="405">
        <f>$AG$6</f>
        <v>50313</v>
      </c>
      <c r="AH276" s="211"/>
      <c r="AI276" s="405">
        <f t="shared" si="134"/>
        <v>44469</v>
      </c>
      <c r="AJ276" s="405">
        <f t="shared" si="134"/>
        <v>44834</v>
      </c>
      <c r="AK276" s="405">
        <f t="shared" si="134"/>
        <v>45199</v>
      </c>
      <c r="AL276" s="405">
        <f t="shared" si="134"/>
        <v>45565</v>
      </c>
      <c r="AM276" s="405">
        <f t="shared" si="134"/>
        <v>45930</v>
      </c>
      <c r="AN276" s="405">
        <f t="shared" si="134"/>
        <v>46295</v>
      </c>
      <c r="AO276" s="405">
        <f t="shared" si="134"/>
        <v>46660</v>
      </c>
      <c r="AP276" s="405">
        <f t="shared" si="134"/>
        <v>47026</v>
      </c>
      <c r="AQ276" s="405">
        <f t="shared" si="134"/>
        <v>47391</v>
      </c>
      <c r="AR276" s="405">
        <f t="shared" si="134"/>
        <v>47756</v>
      </c>
      <c r="AS276" s="405">
        <f t="shared" si="135"/>
        <v>48121</v>
      </c>
      <c r="AT276" s="405">
        <f t="shared" si="135"/>
        <v>48487</v>
      </c>
      <c r="AU276" s="405">
        <f t="shared" si="135"/>
        <v>48852</v>
      </c>
      <c r="AV276" s="405">
        <f t="shared" si="135"/>
        <v>49217</v>
      </c>
      <c r="AW276" s="405">
        <f t="shared" si="135"/>
        <v>49582</v>
      </c>
      <c r="AX276" s="405">
        <f t="shared" si="135"/>
        <v>49948</v>
      </c>
      <c r="AY276" s="405">
        <f t="shared" si="135"/>
        <v>50313</v>
      </c>
      <c r="AZ276" s="405"/>
    </row>
    <row r="277" spans="1:52" ht="12.75" customHeight="1">
      <c r="O277" s="207" t="s">
        <v>231</v>
      </c>
      <c r="P277" s="207">
        <f t="shared" si="123"/>
        <v>1</v>
      </c>
      <c r="Q277" s="406">
        <f>IF(IF(Q276&lt;$E$27,0,DATEDIF($E$27,Q276+1,"m"))&lt;0,0,IF(Q276&lt;$E$27,0,DATEDIF($E$27,Q276+1,"m")))</f>
        <v>0</v>
      </c>
      <c r="R277" s="406">
        <f>IF(IF(Q277=12,0,IF(R276&gt;$E$28,12-DATEDIF($E$28,R276+1,"m"),IF(R276&lt;$E$27,0,DATEDIF($E$27,R276+1,"m"))))&lt;0,0,IF(Q277=12,0,IF(R276&gt;$E$28,12-DATEDIF($E$28,R276+1,"m"),IF(R276&lt;$E$27,0,DATEDIF($E$27,R276+1,"m")))))</f>
        <v>0</v>
      </c>
      <c r="S277" s="406">
        <f>IF(IF(Q277+R277=12,0,IF(S276&gt;$E$28,12-DATEDIF($E$28,S276+1,"m"),IF(S276&lt;$E$27,0,DATEDIF($E$27,S276+1,"m"))))&lt;0,0,IF(Q277+R277=12,0,IF(S276&gt;$E$28,12-DATEDIF($E$28,S276+1,"m"),IF(S276&lt;$E$27,0,DATEDIF($E$27,S276+1,"m")))))</f>
        <v>0</v>
      </c>
      <c r="T277" s="406">
        <f>IF(IF(R277+S277+Q277=12,0,IF(T276&gt;$E$28,12-DATEDIF($E$28,T276+1,"m"),IF(T276&lt;$E$27,0,DATEDIF($E$27,T276+1,"m"))))&lt;0,0,IF(R277+S277+Q277=12,0,IF(T276&gt;$E$28,12-DATEDIF($E$28,T276+1,"m"),IF(T276&lt;$E$27,0,DATEDIF($E$27,T276+1,"m")))))</f>
        <v>0</v>
      </c>
      <c r="U277" s="406">
        <f>IF(IF(S277+T277+R277+Q277=12,0,IF(U276&gt;$E$28,12-DATEDIF($E$28,U276+1,"m"),IF(U276&lt;$E$27,0,DATEDIF($E$27,U276+1,"m"))))&lt;0,0,IF(S277+T277+R277+Q277=12,0,IF(U276&gt;$E$28,12-DATEDIF($E$28,U276+1,"m"),IF(U276&lt;$E$27,0,DATEDIF($E$27,U276+1,"m")))))</f>
        <v>0</v>
      </c>
      <c r="V277" s="406">
        <f>IF(IF(T277+U277+S277+R277+Q277=12,0,IF(V276&gt;$E$28,12-DATEDIF($E$28,V276+1,"m"),IF(V276&lt;$E$27,0,DATEDIF($E$27,V276+1,"m"))))&lt;0,0,IF(T277+U277+S277+R277+Q277=12,0,IF(V276&gt;$E$28,12-DATEDIF($E$28,V276+1,"m"),IF(V276&lt;$E$27,0,DATEDIF($E$27,V276+1,"m")))))</f>
        <v>0</v>
      </c>
      <c r="W277" s="406">
        <f>IF(IF(U277+V277+T277+S277+R277+Q277=12,0,IF(W276&gt;$E$28,12-DATEDIF($E$28,W276+1,"m"),IF(W276&lt;$E$27,0,DATEDIF($E$27,W276+1,"m"))))&lt;0,0,IF(U277+V277+T277+S277+R277+Q277=12,0,IF(W276&gt;$E$28,12-DATEDIF($E$28,W276+1,"m"),IF(W276&lt;$E$27,0,DATEDIF($E$27,W276+1,"m")))))</f>
        <v>0</v>
      </c>
      <c r="X277" s="406">
        <f>IF(IF(V277+W277+U277+T277+S277+R277+Q277=12,0,IF(X276&gt;$E$28,12-DATEDIF($E$28,X276+1,"m"),IF(X276&lt;$E$27,0,DATEDIF($E$27,X276+1,"m"))))&lt;0,0,IF(V277+W277+U277+T277+S277+R277+Q277=12,0,IF(X276&gt;$E$28,12-DATEDIF($E$28,X276+1,"m"),IF(X276&lt;$E$27,0,DATEDIF($E$27,X276+1,"m")))))</f>
        <v>0</v>
      </c>
      <c r="Y277" s="406">
        <f>IF(IF(W277+X277+V277+U277+T277+S277+R277=12,0,IF(Y276&gt;F96,12-DATEDIF(F96,Y276+1,"m"),IF(Y276&lt;F95,0,DATEDIF(F95,Y276+1,"m"))))&lt;0,0,IF(W277+X277+V277+U277+T277+S277+R277=12,0,IF(Y276&gt;F96,12-DATEDIF(F96,Y276+1,"m"),IF(Y276&lt;F95,0,DATEDIF(F95,Y276+1,"m")))))</f>
        <v>0</v>
      </c>
      <c r="Z277" s="406">
        <f>IF(IF(X277+Y277+W277+V277+U277+T277+S277=12,0,IF(Z276&gt;G96,12-DATEDIF(G96,Z276+1,"m"),IF(Z276&lt;G95,0,DATEDIF(G95,Z276+1,"m"))))&lt;0,0,IF(X277+Y277+W277+V277+U277+T277+S277=12,0,IF(Z276&gt;G96,12-DATEDIF(G96,Z276+1,"m"),IF(Z276&lt;G95,0,DATEDIF(G95,Z276+1,"m")))))</f>
        <v>0</v>
      </c>
      <c r="AA277" s="406"/>
      <c r="AB277" s="406"/>
      <c r="AC277" s="406"/>
      <c r="AD277" s="406"/>
      <c r="AE277" s="406"/>
      <c r="AF277" s="406"/>
      <c r="AG277" s="406"/>
      <c r="AH277" s="423">
        <f>SUM(Q277:AG277)</f>
        <v>0</v>
      </c>
      <c r="AI277" s="406">
        <f t="shared" si="134"/>
        <v>0</v>
      </c>
      <c r="AJ277" s="406">
        <f t="shared" si="134"/>
        <v>0</v>
      </c>
      <c r="AK277" s="406">
        <f t="shared" si="134"/>
        <v>0</v>
      </c>
      <c r="AL277" s="406">
        <f t="shared" si="134"/>
        <v>0</v>
      </c>
      <c r="AM277" s="406">
        <f t="shared" si="134"/>
        <v>0</v>
      </c>
      <c r="AN277" s="406">
        <f t="shared" si="134"/>
        <v>0</v>
      </c>
      <c r="AO277" s="406">
        <f t="shared" si="134"/>
        <v>0</v>
      </c>
      <c r="AP277" s="406">
        <f t="shared" si="134"/>
        <v>0</v>
      </c>
      <c r="AQ277" s="406">
        <f t="shared" si="134"/>
        <v>0</v>
      </c>
      <c r="AR277" s="406">
        <f t="shared" si="134"/>
        <v>0</v>
      </c>
      <c r="AS277" s="406">
        <f t="shared" si="135"/>
        <v>0</v>
      </c>
      <c r="AT277" s="406">
        <f t="shared" si="135"/>
        <v>0</v>
      </c>
      <c r="AU277" s="406">
        <f t="shared" si="135"/>
        <v>0</v>
      </c>
      <c r="AV277" s="406">
        <f t="shared" si="135"/>
        <v>0</v>
      </c>
      <c r="AW277" s="406">
        <f t="shared" si="135"/>
        <v>0</v>
      </c>
      <c r="AX277" s="406">
        <f t="shared" si="135"/>
        <v>0</v>
      </c>
      <c r="AY277" s="406">
        <f t="shared" si="135"/>
        <v>0</v>
      </c>
      <c r="AZ277" s="406">
        <f>SUM(AI277:AY277)</f>
        <v>0</v>
      </c>
    </row>
    <row r="278" spans="1:52" ht="12.75" customHeight="1">
      <c r="P278" s="207">
        <f t="shared" si="123"/>
        <v>1</v>
      </c>
      <c r="Q278" s="407">
        <f>IF(Q277=0,0,(IF(($C$101+$B$101+$D$101+$E$101)&lt;=25000,(($E$101/+$AH277)*Q277)*VLOOKUP('1. SUMMARY'!$C$20,rate,Sheet1!T$21,0),((IF(($B$101+$C$101+$D$101)&gt;=25000,0,(((25000-($B$101+$C$101+$D$101))/+$AH277)*Q277)*(VLOOKUP('1. SUMMARY'!$C$20,rate,Sheet1!T$21,0))))))))</f>
        <v>0</v>
      </c>
      <c r="R278" s="407">
        <f>IF(R277=0,0,(IF(($C$101+$B$101+$D$101+$E$101)&lt;=25000,(($E$101/+$AH277)*R277)*VLOOKUP('1. SUMMARY'!$C$20,rate,Sheet1!U$21,0),((IF(($B$101+$C$101+$D$101)&gt;=25000,0,(((25000-($B$101+$C$101+$D$101))/+$AH277)*R277)*(VLOOKUP('1. SUMMARY'!$C$20,rate,Sheet1!U$21,0))))))))</f>
        <v>0</v>
      </c>
      <c r="S278" s="407">
        <f>IF(S277=0,0,(IF(($C$101+$B$101+$D$101+$E$101)&lt;=25000,(($E$101/+$AH277)*S277)*VLOOKUP('1. SUMMARY'!$C$20,rate,Sheet1!V$21,0),((IF(($B$101+$C$101+$D$101)&gt;=25000,0,(((25000-($B$101+$C$101+$D$101))/+$AH277)*S277)*(VLOOKUP('1. SUMMARY'!$C$20,rate,Sheet1!V$21,0))))))))</f>
        <v>0</v>
      </c>
      <c r="T278" s="407">
        <f>IF(T277=0,0,(IF(($C$101+$B$101+$D$101+$E$101)&lt;=25000,(($E$101/+$AH277)*T277)*VLOOKUP('1. SUMMARY'!$C$20,rate,Sheet1!W$21,0),((IF(($B$101+$C$101+$D$101)&gt;=25000,0,(((25000-($B$101+$C$101+$D$101))/+$AH277)*T277)*(VLOOKUP('1. SUMMARY'!$C$20,rate,Sheet1!W$21,0))))))))</f>
        <v>0</v>
      </c>
      <c r="U278" s="407">
        <f>IF(U277=0,0,(IF(($C$101+$B$101+$D$101+$E$101)&lt;=25000,(($E$101/+$AH277)*U277)*VLOOKUP('1. SUMMARY'!$C$20,rate,Sheet1!X$21,0),((IF(($B$101+$C$101+$D$101)&gt;=25000,0,(((25000-($B$101+$C$101+$D$101))/+$AH277)*U277)*(VLOOKUP('1. SUMMARY'!$C$20,rate,Sheet1!X$21,0))))))))</f>
        <v>0</v>
      </c>
      <c r="V278" s="407">
        <f>IF(V277=0,0,(IF(($C$101+$B$101+$D$101+$E$101)&lt;=25000,(($E$101/+$AH277)*V277)*VLOOKUP('1. SUMMARY'!$C$20,rate,Sheet1!Y$21,0),((IF(($B$101+$C$101+$D$101)&gt;=25000,0,(((25000-($B$101+$C$101+$D$101))/+$AH277)*V277)*(VLOOKUP('1. SUMMARY'!$C$20,rate,Sheet1!Y$21,0))))))))</f>
        <v>0</v>
      </c>
      <c r="W278" s="407">
        <f>IF(W277=0,0,(IF(($C$101+$B$101+$D$101+$E$101)&lt;=25000,(($E$101/+$AH277)*W277)*VLOOKUP('1. SUMMARY'!$C$20,rate,Sheet1!Z$21,0),((IF(($B$101+$C$101+$D$101)&gt;=25000,0,(((25000-($B$101+$C$101+$D$101))/+$AH277)*W277)*(VLOOKUP('1. SUMMARY'!$C$20,rate,Sheet1!Z$21,0))))))))</f>
        <v>0</v>
      </c>
      <c r="X278" s="407">
        <f>IF(X277=0,0,(IF(($C$101+$B$101+$D$101+$E$101)&lt;=25000,(($E$101/+$AH277)*X277)*VLOOKUP('1. SUMMARY'!$C$20,rate,Sheet1!AA$21,0),((IF(($B$101+$C$101+$D$101)&gt;=25000,0,(((25000-($B$101+$C$101+$D$101))/+$AH277)*X277)*(VLOOKUP('1. SUMMARY'!$C$20,rate,Sheet1!AA$21,0))))))))</f>
        <v>0</v>
      </c>
      <c r="Y278" s="407">
        <f>IF(Y277=0,0,(IF(($C$101+$B$101+$D$101+$E$101)&lt;=25000,(($E$101/+$AH277)*Y277)*VLOOKUP('1. SUMMARY'!$C$20,rate,Sheet1!AB$21,0),((IF(($B$101+$C$101+$D$101)&gt;=25000,0,(((25000-($B$101+$C$101+$D$101))/+$AH277)*Y277)*(VLOOKUP('1. SUMMARY'!$C$20,rate,Sheet1!AB$21,0))))))))</f>
        <v>0</v>
      </c>
      <c r="Z278" s="407">
        <f>IF(Z277=0,0,(IF(($C$101+$B$101+$D$101+$E$101)&lt;=25000,(($E$101/+$AH277)*Z277)*VLOOKUP('1. SUMMARY'!$C$20,rate,Sheet1!AC$21,0),((IF(($B$101+$C$101+$D$101)&gt;=25000,0,(((25000-($B$101+$C$101+$D$101))/+$AH277)*Z277)*(VLOOKUP('1. SUMMARY'!$C$20,rate,Sheet1!AC$21,0))))))))</f>
        <v>0</v>
      </c>
      <c r="AA278" s="407">
        <f>IF(AA277=0,0,(IF(($C$101+$B$101+$D$101+$E$101)&lt;=25000,(($E$101/+$AH277)*AA277)*VLOOKUP('1. SUMMARY'!$C$20,rate,Sheet1!AD$21,0),((IF(($B$101+$C$101+$D$101)&gt;=25000,0,(((25000-($B$101+$C$101+$D$101))/+$AH277)*AA277)*(VLOOKUP('1. SUMMARY'!$C$20,rate,Sheet1!AD$21,0))))))))</f>
        <v>0</v>
      </c>
      <c r="AB278" s="407">
        <f>IF(AB277=0,0,(IF(($C$101+$B$101+$D$101+$E$101)&lt;=25000,(($E$101/+$AH277)*AB277)*VLOOKUP('1. SUMMARY'!$C$20,rate,Sheet1!AE$21,0),((IF(($B$101+$C$101+$D$101)&gt;=25000,0,(((25000-($B$101+$C$101+$D$101))/+$AH277)*AB277)*(VLOOKUP('1. SUMMARY'!$C$20,rate,Sheet1!AE$21,0))))))))</f>
        <v>0</v>
      </c>
      <c r="AC278" s="407">
        <f>IF(AC277=0,0,(IF(($C$101+$B$101+$D$101+$E$101)&lt;=25000,(($E$101/+$AH277)*AC277)*VLOOKUP('1. SUMMARY'!$C$20,rate,Sheet1!AF$21,0),((IF(($B$101+$C$101+$D$101)&gt;=25000,0,(((25000-($B$101+$C$101+$D$101))/+$AH277)*AC277)*(VLOOKUP('1. SUMMARY'!$C$20,rate,Sheet1!AF$21,0))))))))</f>
        <v>0</v>
      </c>
      <c r="AD278" s="407">
        <f>IF(AD277=0,0,(IF(($C$101+$B$101+$D$101+$E$101)&lt;=25000,(($E$101/+$AH277)*AD277)*VLOOKUP('1. SUMMARY'!$C$20,rate,Sheet1!AG$21,0),((IF(($B$101+$C$101+$D$101)&gt;=25000,0,(((25000-($B$101+$C$101+$D$101))/+$AH277)*AD277)*(VLOOKUP('1. SUMMARY'!$C$20,rate,Sheet1!AG$21,0))))))))</f>
        <v>0</v>
      </c>
      <c r="AE278" s="407">
        <f>IF(AE277=0,0,(IF(($C$101+$B$101+$D$101+$E$101)&lt;=25000,(($E$101/+$AH277)*AE277)*VLOOKUP('1. SUMMARY'!$C$20,rate,Sheet1!AH$21,0),((IF(($B$101+$C$101+$D$101)&gt;=25000,0,(((25000-($B$101+$C$101+$D$101))/+$AH277)*AE277)*(VLOOKUP('1. SUMMARY'!$C$20,rate,Sheet1!AH$21,0))))))))</f>
        <v>0</v>
      </c>
      <c r="AF278" s="407">
        <f>IF(AF277=0,0,(IF(($C$101+$B$101+$D$101+$E$101)&lt;=25000,(($E$101/+$AH277)*AF277)*VLOOKUP('1. SUMMARY'!$C$20,rate,Sheet1!AI$21,0),((IF(($B$101+$C$101+$D$101)&gt;=25000,0,(((25000-($B$101+$C$101+$D$101))/+$AH277)*AF277)*(VLOOKUP('1. SUMMARY'!$C$20,rate,Sheet1!AI$21,0))))))))</f>
        <v>0</v>
      </c>
      <c r="AG278" s="407">
        <f>IF(AG277=0,0,(IF(($C$101+$B$101+$D$101+$E$101)&lt;=25000,(($E$101/+$AH277)*AG277)*VLOOKUP('1. SUMMARY'!$C$20,rate,Sheet1!AJ$21,0),((IF(($B$101+$C$101+$D$101)&gt;=25000,0,(((25000-($B$101+$C$101+$D$101))/+$AH277)*AG277)*(VLOOKUP('1. SUMMARY'!$C$20,rate,Sheet1!AJ$21,0))))))))</f>
        <v>0</v>
      </c>
      <c r="AH278" s="219">
        <f>SUM(Q278:AG278)</f>
        <v>0</v>
      </c>
      <c r="AI278" s="407">
        <f>IF(AI277=0,0,((+$E101/$AZ$22)*AI277)*VLOOKUP('1. SUMMARY'!$C$20,rate,Sheet1!T$21,0))</f>
        <v>0</v>
      </c>
      <c r="AJ278" s="407">
        <f>IF(AJ277=0,0,((+$E101/$AZ$22)*AJ277)*VLOOKUP('1. SUMMARY'!$C$20,rate,Sheet1!U$21,0))</f>
        <v>0</v>
      </c>
      <c r="AK278" s="407">
        <f>IF(AK277=0,0,((+$E101/$AZ$22)*AK277)*VLOOKUP('1. SUMMARY'!$C$20,rate,Sheet1!V$21,0))</f>
        <v>0</v>
      </c>
      <c r="AL278" s="407">
        <f>IF(AL277=0,0,((+$E101/$AZ$22)*AL277)*VLOOKUP('1. SUMMARY'!$C$20,rate,Sheet1!W$21,0))</f>
        <v>0</v>
      </c>
      <c r="AM278" s="407">
        <f>IF(AM277=0,0,((+$E101/$AZ$22)*AM277)*VLOOKUP('1. SUMMARY'!$C$20,rate,Sheet1!X$21,0))</f>
        <v>0</v>
      </c>
      <c r="AN278" s="407">
        <f>IF(AN277=0,0,((+$E101/$AZ$22)*AN277)*VLOOKUP('1. SUMMARY'!$C$20,rate,Sheet1!Y$21,0))</f>
        <v>0</v>
      </c>
      <c r="AO278" s="407">
        <f>IF(AO277=0,0,((+$E101/$AZ$22)*AO277)*VLOOKUP('1. SUMMARY'!$C$20,rate,Sheet1!Z$21,0))</f>
        <v>0</v>
      </c>
      <c r="AP278" s="407">
        <f>IF(AP277=0,0,((+$E101/$AZ$22)*AP277)*VLOOKUP('1. SUMMARY'!$C$20,rate,Sheet1!AA$21,0))</f>
        <v>0</v>
      </c>
      <c r="AQ278" s="407">
        <f>IF(AQ277=0,0,((+$E101/$AZ$22)*AQ277)*VLOOKUP('1. SUMMARY'!$C$20,rate,Sheet1!AB$21,0))</f>
        <v>0</v>
      </c>
      <c r="AR278" s="407">
        <f>IF(AR277=0,0,((+$E101/$AZ$22)*AR277)*VLOOKUP('1. SUMMARY'!$C$20,rate,Sheet1!AC$21,0))</f>
        <v>0</v>
      </c>
      <c r="AS278" s="407">
        <f>IF(AS277=0,0,((+$E101/$AZ$22)*AS277)*VLOOKUP('1. SUMMARY'!$C$20,rate,Sheet1!AD$21,0))</f>
        <v>0</v>
      </c>
      <c r="AT278" s="407">
        <f>IF(AT277=0,0,((+$E101/$AZ$22)*AT277)*VLOOKUP('1. SUMMARY'!$C$20,rate,Sheet1!AE$21,0))</f>
        <v>0</v>
      </c>
      <c r="AU278" s="407">
        <f>IF(AU277=0,0,((+$E101/$AZ$22)*AU277)*VLOOKUP('1. SUMMARY'!$C$20,rate,Sheet1!AF$21,0))</f>
        <v>0</v>
      </c>
      <c r="AV278" s="407">
        <f>IF(AV277=0,0,((+$E101/$AZ$22)*AV277)*VLOOKUP('1. SUMMARY'!$C$20,rate,Sheet1!AG$21,0))</f>
        <v>0</v>
      </c>
      <c r="AW278" s="407">
        <f>IF(AW277=0,0,((+$E101/$AZ$22)*AW277)*VLOOKUP('1. SUMMARY'!$C$20,rate,Sheet1!AH$21,0))</f>
        <v>0</v>
      </c>
      <c r="AX278" s="407">
        <f>IF(AX277=0,0,((+$E101/$AZ$22)*AX277)*VLOOKUP('1. SUMMARY'!$C$20,rate,Sheet1!AI$21,0))</f>
        <v>0</v>
      </c>
      <c r="AY278" s="407">
        <f>IF(AY277=0,0,((+$E101/$AZ$22)*AY277)*VLOOKUP('1. SUMMARY'!$C$20,rate,Sheet1!AJ$21,0))</f>
        <v>0</v>
      </c>
      <c r="AZ278" s="407">
        <f>SUM(AI278:AY278)</f>
        <v>0</v>
      </c>
    </row>
    <row r="279" spans="1:52" ht="12.75" customHeight="1">
      <c r="P279" s="207">
        <f t="shared" si="123"/>
        <v>1</v>
      </c>
      <c r="Q279" s="407">
        <f>+Q278/VLOOKUP('1. SUMMARY'!$C$20,rate,Sheet1!T$21,0)</f>
        <v>0</v>
      </c>
      <c r="R279" s="407">
        <f>+R278/VLOOKUP('1. SUMMARY'!$C$20,rate,Sheet1!U$21,0)</f>
        <v>0</v>
      </c>
      <c r="S279" s="407">
        <f>+S278/VLOOKUP('1. SUMMARY'!$C$20,rate,Sheet1!V$21,0)</f>
        <v>0</v>
      </c>
      <c r="T279" s="407">
        <f>+T278/VLOOKUP('1. SUMMARY'!$C$20,rate,Sheet1!W$21,0)</f>
        <v>0</v>
      </c>
      <c r="U279" s="407">
        <f>+U278/VLOOKUP('1. SUMMARY'!$C$20,rate,Sheet1!X$21,0)</f>
        <v>0</v>
      </c>
      <c r="V279" s="407">
        <f>+V278/VLOOKUP('1. SUMMARY'!$C$20,rate,Sheet1!Y$21,0)</f>
        <v>0</v>
      </c>
      <c r="W279" s="407">
        <f>+W278/VLOOKUP('1. SUMMARY'!$C$20,rate,Sheet1!Z$21,0)</f>
        <v>0</v>
      </c>
      <c r="X279" s="407">
        <f>+X278/VLOOKUP('1. SUMMARY'!$C$20,rate,Sheet1!AA$21,0)</f>
        <v>0</v>
      </c>
      <c r="Y279" s="407">
        <f>+Y278/VLOOKUP('1. SUMMARY'!$C$20,rate,Sheet1!AB$21,0)</f>
        <v>0</v>
      </c>
      <c r="Z279" s="407">
        <f>+Z278/VLOOKUP('1. SUMMARY'!$C$20,rate,Sheet1!AC$21,0)</f>
        <v>0</v>
      </c>
      <c r="AA279" s="407">
        <f>+AA278/VLOOKUP('1. SUMMARY'!$C$20,rate,Sheet1!AD$21,0)</f>
        <v>0</v>
      </c>
      <c r="AB279" s="407">
        <f>+AB278/VLOOKUP('1. SUMMARY'!$C$20,rate,Sheet1!AE$21,0)</f>
        <v>0</v>
      </c>
      <c r="AC279" s="407">
        <f>+AC278/VLOOKUP('1. SUMMARY'!$C$20,rate,Sheet1!AF$21,0)</f>
        <v>0</v>
      </c>
      <c r="AD279" s="407">
        <f>+AD278/VLOOKUP('1. SUMMARY'!$C$20,rate,Sheet1!AG$21,0)</f>
        <v>0</v>
      </c>
      <c r="AE279" s="407">
        <f>+AE278/VLOOKUP('1. SUMMARY'!$C$20,rate,Sheet1!AH$21,0)</f>
        <v>0</v>
      </c>
      <c r="AF279" s="407">
        <f>+AF278/VLOOKUP('1. SUMMARY'!$C$20,rate,Sheet1!AI$21,0)</f>
        <v>0</v>
      </c>
      <c r="AG279" s="407">
        <f>+AG278/VLOOKUP('1. SUMMARY'!$C$20,rate,Sheet1!AJ$21,0)</f>
        <v>0</v>
      </c>
      <c r="AH279" s="219"/>
      <c r="AI279" s="407">
        <v>0</v>
      </c>
      <c r="AJ279" s="407">
        <v>0</v>
      </c>
      <c r="AK279" s="407">
        <v>0</v>
      </c>
      <c r="AL279" s="407">
        <v>0</v>
      </c>
      <c r="AM279" s="407">
        <v>0</v>
      </c>
      <c r="AN279" s="407">
        <v>0</v>
      </c>
      <c r="AO279" s="407">
        <v>0</v>
      </c>
      <c r="AP279" s="407">
        <v>0</v>
      </c>
      <c r="AQ279" s="407"/>
      <c r="AR279" s="407"/>
      <c r="AS279" s="407"/>
      <c r="AT279" s="407"/>
      <c r="AU279" s="407"/>
      <c r="AV279" s="407"/>
      <c r="AW279" s="407"/>
      <c r="AX279" s="407"/>
      <c r="AY279" s="407"/>
      <c r="AZ279" s="407"/>
    </row>
    <row r="280" spans="1:52" ht="12.75" customHeight="1">
      <c r="P280" s="207">
        <f t="shared" si="123"/>
        <v>1</v>
      </c>
      <c r="Q280" s="408">
        <f>Sheet1!$T$8</f>
        <v>44105</v>
      </c>
      <c r="R280" s="408">
        <f>Sheet1!$U$8</f>
        <v>44470</v>
      </c>
      <c r="S280" s="408">
        <f>Sheet1!$V$8</f>
        <v>44835</v>
      </c>
      <c r="T280" s="408">
        <f>Sheet1!$W$8</f>
        <v>45200</v>
      </c>
      <c r="U280" s="408">
        <f>Sheet1!$X$8</f>
        <v>45566</v>
      </c>
      <c r="V280" s="408">
        <f>Sheet1!$Y$8</f>
        <v>45931</v>
      </c>
      <c r="W280" s="408">
        <f>Sheet1!$Z$8</f>
        <v>46296</v>
      </c>
      <c r="X280" s="408">
        <f>Sheet1!$AA$8</f>
        <v>46661</v>
      </c>
      <c r="Y280" s="408">
        <f>Sheet1!$AB$8</f>
        <v>47027</v>
      </c>
      <c r="Z280" s="408">
        <f>Sheet1!$AC$8</f>
        <v>47392</v>
      </c>
      <c r="AA280" s="408">
        <f>$AA$5</f>
        <v>47757</v>
      </c>
      <c r="AB280" s="408">
        <f>$AB$5</f>
        <v>48122</v>
      </c>
      <c r="AC280" s="408">
        <f>$AC$5</f>
        <v>48488</v>
      </c>
      <c r="AD280" s="408">
        <f>$AD$5</f>
        <v>48853</v>
      </c>
      <c r="AE280" s="408">
        <f>$AE$5</f>
        <v>49218</v>
      </c>
      <c r="AF280" s="408">
        <f>$AF$5</f>
        <v>49583</v>
      </c>
      <c r="AG280" s="408">
        <f>$AG$5</f>
        <v>49949</v>
      </c>
      <c r="AH280" s="211"/>
      <c r="AI280" s="408">
        <f t="shared" ref="AI280:AR282" si="136">+Q280</f>
        <v>44105</v>
      </c>
      <c r="AJ280" s="408">
        <f t="shared" si="136"/>
        <v>44470</v>
      </c>
      <c r="AK280" s="408">
        <f t="shared" si="136"/>
        <v>44835</v>
      </c>
      <c r="AL280" s="408">
        <f t="shared" si="136"/>
        <v>45200</v>
      </c>
      <c r="AM280" s="408">
        <f t="shared" si="136"/>
        <v>45566</v>
      </c>
      <c r="AN280" s="408">
        <f t="shared" si="136"/>
        <v>45931</v>
      </c>
      <c r="AO280" s="408">
        <f t="shared" si="136"/>
        <v>46296</v>
      </c>
      <c r="AP280" s="408">
        <f t="shared" si="136"/>
        <v>46661</v>
      </c>
      <c r="AQ280" s="408">
        <f t="shared" si="136"/>
        <v>47027</v>
      </c>
      <c r="AR280" s="408">
        <f t="shared" si="136"/>
        <v>47392</v>
      </c>
      <c r="AS280" s="408">
        <f t="shared" ref="AS280:AY282" si="137">+AA280</f>
        <v>47757</v>
      </c>
      <c r="AT280" s="408">
        <f t="shared" si="137"/>
        <v>48122</v>
      </c>
      <c r="AU280" s="408">
        <f t="shared" si="137"/>
        <v>48488</v>
      </c>
      <c r="AV280" s="408">
        <f t="shared" si="137"/>
        <v>48853</v>
      </c>
      <c r="AW280" s="408">
        <f t="shared" si="137"/>
        <v>49218</v>
      </c>
      <c r="AX280" s="408">
        <f t="shared" si="137"/>
        <v>49583</v>
      </c>
      <c r="AY280" s="408">
        <f t="shared" si="137"/>
        <v>49949</v>
      </c>
      <c r="AZ280" s="408"/>
    </row>
    <row r="281" spans="1:52" ht="12.75" customHeight="1">
      <c r="P281" s="207">
        <f t="shared" si="123"/>
        <v>1</v>
      </c>
      <c r="Q281" s="408">
        <f>Sheet1!$T$9</f>
        <v>44469</v>
      </c>
      <c r="R281" s="408">
        <f>Sheet1!$U$9</f>
        <v>44834</v>
      </c>
      <c r="S281" s="408">
        <f>Sheet1!$V$9</f>
        <v>45199</v>
      </c>
      <c r="T281" s="408">
        <f>Sheet1!$W$9</f>
        <v>45565</v>
      </c>
      <c r="U281" s="408">
        <f>Sheet1!$X$9</f>
        <v>45930</v>
      </c>
      <c r="V281" s="408">
        <f>Sheet1!$Y$9</f>
        <v>46295</v>
      </c>
      <c r="W281" s="408">
        <f>Sheet1!$Z$9</f>
        <v>46660</v>
      </c>
      <c r="X281" s="408">
        <f>Sheet1!$AA$9</f>
        <v>47026</v>
      </c>
      <c r="Y281" s="408">
        <f>Sheet1!$AB$9</f>
        <v>47391</v>
      </c>
      <c r="Z281" s="408">
        <f>Sheet1!$AC$9</f>
        <v>47756</v>
      </c>
      <c r="AA281" s="408">
        <f>$AA$6</f>
        <v>48121</v>
      </c>
      <c r="AB281" s="408">
        <f>$AB$6</f>
        <v>48487</v>
      </c>
      <c r="AC281" s="408">
        <f>$AC$6</f>
        <v>48852</v>
      </c>
      <c r="AD281" s="408">
        <f>$AD$6</f>
        <v>49217</v>
      </c>
      <c r="AE281" s="408">
        <f>$AE$6</f>
        <v>49582</v>
      </c>
      <c r="AF281" s="408">
        <f>$AF$6</f>
        <v>49948</v>
      </c>
      <c r="AG281" s="408">
        <f>$AG$6</f>
        <v>50313</v>
      </c>
      <c r="AH281" s="211"/>
      <c r="AI281" s="408">
        <f t="shared" si="136"/>
        <v>44469</v>
      </c>
      <c r="AJ281" s="408">
        <f t="shared" si="136"/>
        <v>44834</v>
      </c>
      <c r="AK281" s="408">
        <f t="shared" si="136"/>
        <v>45199</v>
      </c>
      <c r="AL281" s="408">
        <f t="shared" si="136"/>
        <v>45565</v>
      </c>
      <c r="AM281" s="408">
        <f t="shared" si="136"/>
        <v>45930</v>
      </c>
      <c r="AN281" s="408">
        <f t="shared" si="136"/>
        <v>46295</v>
      </c>
      <c r="AO281" s="408">
        <f t="shared" si="136"/>
        <v>46660</v>
      </c>
      <c r="AP281" s="408">
        <f t="shared" si="136"/>
        <v>47026</v>
      </c>
      <c r="AQ281" s="408">
        <f t="shared" si="136"/>
        <v>47391</v>
      </c>
      <c r="AR281" s="408">
        <f t="shared" si="136"/>
        <v>47756</v>
      </c>
      <c r="AS281" s="408">
        <f t="shared" si="137"/>
        <v>48121</v>
      </c>
      <c r="AT281" s="408">
        <f t="shared" si="137"/>
        <v>48487</v>
      </c>
      <c r="AU281" s="408">
        <f t="shared" si="137"/>
        <v>48852</v>
      </c>
      <c r="AV281" s="408">
        <f t="shared" si="137"/>
        <v>49217</v>
      </c>
      <c r="AW281" s="408">
        <f t="shared" si="137"/>
        <v>49582</v>
      </c>
      <c r="AX281" s="408">
        <f t="shared" si="137"/>
        <v>49948</v>
      </c>
      <c r="AY281" s="408">
        <f t="shared" si="137"/>
        <v>50313</v>
      </c>
      <c r="AZ281" s="408"/>
    </row>
    <row r="282" spans="1:52" ht="12.75" customHeight="1">
      <c r="O282" s="207" t="s">
        <v>232</v>
      </c>
      <c r="P282" s="207">
        <f t="shared" si="123"/>
        <v>1</v>
      </c>
      <c r="Q282" s="409">
        <f>IF(IF(Q281&lt;$F$27,0,DATEDIF($F$27,Q281+1,"m"))&lt;0,0,IF(Q281&lt;$F$27,0,DATEDIF($F$27,Q281+1,"m")))</f>
        <v>0</v>
      </c>
      <c r="R282" s="409">
        <f>IF(IF(Q282=12,0,IF(R281&gt;$F$28,12-DATEDIF($F$28,R281+1,"m"),IF(R281&lt;$F$27,0,DATEDIF($F$27,R281+1,"m"))))&lt;0,0,IF(Q282=12,0,IF(R281&gt;$F$28,12-DATEDIF($F$28,R281+1,"m"),IF(R281&lt;$F$27,0,DATEDIF($F$27,R281+1,"m")))))</f>
        <v>0</v>
      </c>
      <c r="S282" s="409">
        <f>IF(IF(Q282+R282=12,0,IF(S281&gt;$F$28,12-DATEDIF($F$28,S281+1,"m"),IF(S281&lt;$F$27,0,DATEDIF($F$27,S281+1,"m"))))&lt;0,0,IF(Q282+R282=12,0,IF(S281&gt;$F$28,12-DATEDIF($F$28,S281+1,"m"),IF(S281&lt;$F$27,0,DATEDIF($F$27,S281+1,"m")))))</f>
        <v>0</v>
      </c>
      <c r="T282" s="409">
        <f>IF(IF(R282+S282+Q282=12,0,IF(T281&gt;$F$28,12-DATEDIF($F$28,T281+1,"m"),IF(T281&lt;$F$27,0,DATEDIF($F$27,T281+1,"m"))))&lt;0,0,IF(R282+S282+Q282=12,0,IF(T281&gt;$F$28,12-DATEDIF($F$28,T281+1,"m"),IF(T281&lt;$F$27,0,DATEDIF($F$27,T281+1,"m")))))</f>
        <v>0</v>
      </c>
      <c r="U282" s="409">
        <f>IF(IF(S282+T282+R282+Q282=12,0,IF(U281&gt;$F$28,12-DATEDIF($F$28,U281+1,"m"),IF(U281&lt;$F$27,0,DATEDIF($F$27,U281+1,"m"))))&lt;0,0,IF(S282+T282+R282+Q282=12,0,IF(U281&gt;$F$28,12-DATEDIF($F$28,U281+1,"m"),IF(U281&lt;$F$27,0,DATEDIF($F$27,U281+1,"m")))))</f>
        <v>0</v>
      </c>
      <c r="V282" s="409">
        <f>IF(IF(T282+U282+S282+R282+Q282=12,0,IF(V281&gt;$F$28,12-DATEDIF($F$28,V281+1,"m"),IF(V281&lt;$F$27,0,DATEDIF($F$27,V281+1,"m"))))&lt;0,0,IF(T282+U282+S282+R282+Q282=12,0,IF(V281&gt;$F$28,12-DATEDIF($F$28,V281+1,"m"),IF(V281&lt;$F$27,0,DATEDIF($F$27,V281+1,"m")))))</f>
        <v>0</v>
      </c>
      <c r="W282" s="409">
        <f>IF(IF(U282+V282+T282+S282+R282+Q282=12,0,IF(W281&gt;$F$28,12-DATEDIF($F$28,W281+1,"m"),IF(W281&lt;$F$27,0,DATEDIF($F$27,W281+1,"m"))))&lt;0,0,IF(U282+V282+T282+S282+R282+Q282=12,0,IF(W281&gt;$F$28,12-DATEDIF($F$28,W281+1,"m"),IF(W281&lt;$F$27,0,DATEDIF($F$27,W281+1,"m")))))</f>
        <v>0</v>
      </c>
      <c r="X282" s="409">
        <f>IF(IF(V282+W282+U282+T282+S282+R282+Q282=12,0,IF(X281&gt;$F$28,12-DATEDIF($F$28,X281+1,"m"),IF(X281&lt;$F$27,0,DATEDIF($F$27,X281+1,"m"))))&lt;0,0,IF(V282+W282+U282+T282+S282+R282+Q282=12,0,IF(X281&gt;$F$28,12-DATEDIF($F$28,X281+1,"m"),IF(X281&lt;$F$27,0,DATEDIF($F$27,X281+1,"m")))))</f>
        <v>0</v>
      </c>
      <c r="Y282" s="409">
        <f>IF(IF(Q282+W282+X282+V282+U282+T282+S282+R282=12,0,IF(Y281&gt;$F$28,12-DATEDIF($F$28,Y281+1,"m"),IF(Y281&lt;$F$27,0,DATEDIF($F$27,Y281+1,"m"))))&lt;0,0,IF(Q282+W282+X282+V282+U282+T282+S282+R282=12,0,IF(Y281&gt;$F$28,12-DATEDIF($F$28,Y281+1,"m"),IF(Y281&lt;$F$27,0,DATEDIF($F$27,Y281+1,"m")))))</f>
        <v>0</v>
      </c>
      <c r="Z282" s="409">
        <f>IF(IF(Q282+R282+X282+Y282+W282+V282+U282+T282+S282=12,0,IF(Z281&gt;$F$28,12-DATEDIF($F$28,Z281+1,"m"),IF(Z281&lt;$F$27,0,DATEDIF($F$27,Z281+1,"m"))))&lt;0,0,IF(Q282+R282+X282+Y282+W282+V282+U282+T282+S282=12,0,IF(Z281&gt;$F$28,12-DATEDIF($F$28,Z281+1,"m"),IF(Z281&lt;$F$27,0,DATEDIF($F$27,Z281+1,"m")))))</f>
        <v>0</v>
      </c>
      <c r="AA282" s="409"/>
      <c r="AB282" s="409"/>
      <c r="AC282" s="409"/>
      <c r="AD282" s="409"/>
      <c r="AE282" s="409"/>
      <c r="AF282" s="409"/>
      <c r="AG282" s="409"/>
      <c r="AH282" s="423">
        <f>SUM(Q282:AG282)</f>
        <v>0</v>
      </c>
      <c r="AI282" s="409">
        <f t="shared" si="136"/>
        <v>0</v>
      </c>
      <c r="AJ282" s="409">
        <f t="shared" si="136"/>
        <v>0</v>
      </c>
      <c r="AK282" s="409">
        <f t="shared" si="136"/>
        <v>0</v>
      </c>
      <c r="AL282" s="409">
        <f t="shared" si="136"/>
        <v>0</v>
      </c>
      <c r="AM282" s="409">
        <f t="shared" si="136"/>
        <v>0</v>
      </c>
      <c r="AN282" s="409">
        <f t="shared" si="136"/>
        <v>0</v>
      </c>
      <c r="AO282" s="409">
        <f t="shared" si="136"/>
        <v>0</v>
      </c>
      <c r="AP282" s="409">
        <f t="shared" si="136"/>
        <v>0</v>
      </c>
      <c r="AQ282" s="409">
        <f t="shared" si="136"/>
        <v>0</v>
      </c>
      <c r="AR282" s="409">
        <f t="shared" si="136"/>
        <v>0</v>
      </c>
      <c r="AS282" s="409">
        <f t="shared" si="137"/>
        <v>0</v>
      </c>
      <c r="AT282" s="409">
        <f t="shared" si="137"/>
        <v>0</v>
      </c>
      <c r="AU282" s="409">
        <f t="shared" si="137"/>
        <v>0</v>
      </c>
      <c r="AV282" s="409">
        <f t="shared" si="137"/>
        <v>0</v>
      </c>
      <c r="AW282" s="409">
        <f t="shared" si="137"/>
        <v>0</v>
      </c>
      <c r="AX282" s="409">
        <f t="shared" si="137"/>
        <v>0</v>
      </c>
      <c r="AY282" s="409">
        <f t="shared" si="137"/>
        <v>0</v>
      </c>
      <c r="AZ282" s="409">
        <f>SUM(AI282:AY282)</f>
        <v>0</v>
      </c>
    </row>
    <row r="283" spans="1:52" ht="12.75" customHeight="1">
      <c r="P283" s="207">
        <f t="shared" si="123"/>
        <v>1</v>
      </c>
      <c r="Q283" s="410">
        <f>IF(Q282=0,0,(IF(($C$101+$B$101+$D$101+$E$101+$F$101)&lt;=25000,(($F$101/+$AH282)*Q282)*VLOOKUP('1. SUMMARY'!$C$20,rate,Sheet1!T$21,0),((IF(($B$101+$C$101+$D$101+$E$101)&gt;=25000,0,(((25000-($B$101+$C$101+$D$101+$E$101))/+$AH282)*Q282)*(VLOOKUP('1. SUMMARY'!$C$20,rate,Sheet1!T$21,0))))))))</f>
        <v>0</v>
      </c>
      <c r="R283" s="410">
        <f>IF(R282=0,0,(IF(($C$101+$B$101+$D$101+$E$101+$F$101)&lt;=25000,(($F$101/+$AH282)*R282)*VLOOKUP('1. SUMMARY'!$C$20,rate,Sheet1!U$21,0),((IF(($B$101+$C$101+$D$101+$E$101)&gt;=25000,0,(((25000-($B$101+$C$101+$D$101+$E$101))/+$AH282)*R282)*(VLOOKUP('1. SUMMARY'!$C$20,rate,Sheet1!U$21,0))))))))</f>
        <v>0</v>
      </c>
      <c r="S283" s="410">
        <f>IF(S282=0,0,(IF(($C$101+$B$101+$D$101+$E$101+$F$101)&lt;=25000,(($F$101/+$AH282)*S282)*VLOOKUP('1. SUMMARY'!$C$20,rate,Sheet1!V$21,0),((IF(($B$101+$C$101+$D$101+$E$101)&gt;=25000,0,(((25000-($B$101+$C$101+$D$101+$E$101))/+$AH282)*S282)*(VLOOKUP('1. SUMMARY'!$C$20,rate,Sheet1!V$21,0))))))))</f>
        <v>0</v>
      </c>
      <c r="T283" s="410">
        <f>IF(T282=0,0,(IF(($C$101+$B$101+$D$101+$E$101+$F$101)&lt;=25000,(($F$101/+$AH282)*T282)*VLOOKUP('1. SUMMARY'!$C$20,rate,Sheet1!W$21,0),((IF(($B$101+$C$101+$D$101+$E$101)&gt;=25000,0,(((25000-($B$101+$C$101+$D$101+$E$101))/+$AH282)*T282)*(VLOOKUP('1. SUMMARY'!$C$20,rate,Sheet1!W$21,0))))))))</f>
        <v>0</v>
      </c>
      <c r="U283" s="410">
        <f>IF(U282=0,0,(IF(($C$101+$B$101+$D$101+$E$101+$F$101)&lt;=25000,(($F$101/+$AH282)*U282)*VLOOKUP('1. SUMMARY'!$C$20,rate,Sheet1!X$21,0),((IF(($B$101+$C$101+$D$101+$E$101)&gt;=25000,0,(((25000-($B$101+$C$101+$D$101+$E$101))/+$AH282)*U282)*(VLOOKUP('1. SUMMARY'!$C$20,rate,Sheet1!X$21,0))))))))</f>
        <v>0</v>
      </c>
      <c r="V283" s="410">
        <f>IF(V282=0,0,(IF(($C$101+$B$101+$D$101+$E$101+$F$101)&lt;=25000,(($F$101/+$AH282)*V282)*VLOOKUP('1. SUMMARY'!$C$20,rate,Sheet1!Y$21,0),((IF(($B$101+$C$101+$D$101+$E$101)&gt;=25000,0,(((25000-($B$101+$C$101+$D$101+$E$101))/+$AH282)*V282)*(VLOOKUP('1. SUMMARY'!$C$20,rate,Sheet1!Y$21,0))))))))</f>
        <v>0</v>
      </c>
      <c r="W283" s="410">
        <f>IF(W282=0,0,(IF(($C$101+$B$101+$D$101+$E$101+$F$101)&lt;=25000,(($F$101/+$AH282)*W282)*VLOOKUP('1. SUMMARY'!$C$20,rate,Sheet1!Z$21,0),((IF(($B$101+$C$101+$D$101+$E$101)&gt;=25000,0,(((25000-($B$101+$C$101+$D$101+$E$101))/+$AH282)*W282)*(VLOOKUP('1. SUMMARY'!$C$20,rate,Sheet1!Z$21,0))))))))</f>
        <v>0</v>
      </c>
      <c r="X283" s="410">
        <f>IF(X282=0,0,(IF(($C$101+$B$101+$D$101+$E$101+$F$101)&lt;=25000,(($F$101/+$AH282)*X282)*VLOOKUP('1. SUMMARY'!$C$20,rate,Sheet1!AA$21,0),((IF(($B$101+$C$101+$D$101+$E$101)&gt;=25000,0,(((25000-($B$101+$C$101+$D$101+$E$101))/+$AH282)*X282)*(VLOOKUP('1. SUMMARY'!$C$20,rate,Sheet1!AA$21,0))))))))</f>
        <v>0</v>
      </c>
      <c r="Y283" s="410">
        <f>IF(Y282=0,0,(IF(($C$101+$B$101+$D$101+$E$101+$F$101)&lt;=25000,(($F$101/+$AH282)*Y282)*VLOOKUP('1. SUMMARY'!$C$20,rate,Sheet1!AB$21,0),((IF(($B$101+$C$101+$D$101+$E$101)&gt;=25000,0,(((25000-($B$101+$C$101+$D$101+$E$101))/+$AH282)*Y282)*(VLOOKUP('1. SUMMARY'!$C$20,rate,Sheet1!AB$21,0))))))))</f>
        <v>0</v>
      </c>
      <c r="Z283" s="410">
        <f>IF(Z282=0,0,(IF(($C$101+$B$101+$D$101+$E$101+$F$101)&lt;=25000,(($F$101/+$AH282)*Z282)*VLOOKUP('1. SUMMARY'!$C$20,rate,Sheet1!AC$21,0),((IF(($B$101+$C$101+$D$101+$E$101)&gt;=25000,0,(((25000-($B$101+$C$101+$D$101+$E$101))/+$AH282)*Z282)*(VLOOKUP('1. SUMMARY'!$C$20,rate,Sheet1!AC$21,0))))))))</f>
        <v>0</v>
      </c>
      <c r="AA283" s="410">
        <f>IF(AA282=0,0,(IF(($C$101+$B$101+$D$101+$E$101+$F$101)&lt;=25000,(($F$101/+$AH282)*AA282)*VLOOKUP('1. SUMMARY'!$C$20,rate,Sheet1!AD$21,0),((IF(($B$101+$C$101+$D$101+$E$101)&gt;=25000,0,(((25000-($B$101+$C$101+$D$101+$E$101))/+$AH282)*AA282)*(VLOOKUP('1. SUMMARY'!$C$20,rate,Sheet1!AD$21,0))))))))</f>
        <v>0</v>
      </c>
      <c r="AB283" s="410">
        <f>IF(AB282=0,0,(IF(($C$101+$B$101+$D$101+$E$101+$F$101)&lt;=25000,(($F$101/+$AH282)*AB282)*VLOOKUP('1. SUMMARY'!$C$20,rate,Sheet1!AE$21,0),((IF(($B$101+$C$101+$D$101+$E$101)&gt;=25000,0,(((25000-($B$101+$C$101+$D$101+$E$101))/+$AH282)*AB282)*(VLOOKUP('1. SUMMARY'!$C$20,rate,Sheet1!AE$21,0))))))))</f>
        <v>0</v>
      </c>
      <c r="AC283" s="410">
        <f>IF(AC282=0,0,(IF(($C$101+$B$101+$D$101+$E$101+$F$101)&lt;=25000,(($F$101/+$AH282)*AC282)*VLOOKUP('1. SUMMARY'!$C$20,rate,Sheet1!AF$21,0),((IF(($B$101+$C$101+$D$101+$E$101)&gt;=25000,0,(((25000-($B$101+$C$101+$D$101+$E$101))/+$AH282)*AC282)*(VLOOKUP('1. SUMMARY'!$C$20,rate,Sheet1!AF$21,0))))))))</f>
        <v>0</v>
      </c>
      <c r="AD283" s="410">
        <f>IF(AD282=0,0,(IF(($C$101+$B$101+$D$101+$E$101+$F$101)&lt;=25000,(($F$101/+$AH282)*AD282)*VLOOKUP('1. SUMMARY'!$C$20,rate,Sheet1!AG$21,0),((IF(($B$101+$C$101+$D$101+$E$101)&gt;=25000,0,(((25000-($B$101+$C$101+$D$101+$E$101))/+$AH282)*AD282)*(VLOOKUP('1. SUMMARY'!$C$20,rate,Sheet1!AG$21,0))))))))</f>
        <v>0</v>
      </c>
      <c r="AE283" s="410">
        <f>IF(AE282=0,0,(IF(($C$101+$B$101+$D$101+$E$101+$F$101)&lt;=25000,(($F$101/+$AH282)*AE282)*VLOOKUP('1. SUMMARY'!$C$20,rate,Sheet1!AH$21,0),((IF(($B$101+$C$101+$D$101+$E$101)&gt;=25000,0,(((25000-($B$101+$C$101+$D$101+$E$101))/+$AH282)*AE282)*(VLOOKUP('1. SUMMARY'!$C$20,rate,Sheet1!AH$21,0))))))))</f>
        <v>0</v>
      </c>
      <c r="AF283" s="410">
        <f>IF(AF282=0,0,(IF(($C$101+$B$101+$D$101+$E$101+$F$101)&lt;=25000,(($F$101/+$AH282)*AF282)*VLOOKUP('1. SUMMARY'!$C$20,rate,Sheet1!AI$21,0),((IF(($B$101+$C$101+$D$101+$E$101)&gt;=25000,0,(((25000-($B$101+$C$101+$D$101+$E$101))/+$AH282)*AF282)*(VLOOKUP('1. SUMMARY'!$C$20,rate,Sheet1!AI$21,0))))))))</f>
        <v>0</v>
      </c>
      <c r="AG283" s="410">
        <f>IF(AG282=0,0,(IF(($C$101+$B$101+$D$101+$E$101+$F$101)&lt;=25000,(($F$101/+$AH282)*AG282)*VLOOKUP('1. SUMMARY'!$C$20,rate,Sheet1!AJ$21,0),((IF(($B$101+$C$101+$D$101+$E$101)&gt;=25000,0,(((25000-($B$101+$C$101+$D$101+$E$101))/+$AH282)*AG282)*(VLOOKUP('1. SUMMARY'!$C$20,rate,Sheet1!AJ$21,0))))))))</f>
        <v>0</v>
      </c>
      <c r="AH283" s="219">
        <f>SUM(Q283:AG283)</f>
        <v>0</v>
      </c>
      <c r="AI283" s="410">
        <f>IF(AI282=0,0,((+$F101/$AZ282)*AI282)*VLOOKUP('1. SUMMARY'!$C$20,rate,Sheet1!T$21,0))</f>
        <v>0</v>
      </c>
      <c r="AJ283" s="410">
        <f>IF(AJ282=0,0,((+$F101/$AZ282)*AJ282)*VLOOKUP('1. SUMMARY'!$C$20,rate,Sheet1!U$21,0))</f>
        <v>0</v>
      </c>
      <c r="AK283" s="410">
        <f>IF(AK282=0,0,((+$F101/$AZ282)*AK282)*VLOOKUP('1. SUMMARY'!$C$20,rate,Sheet1!V$21,0))</f>
        <v>0</v>
      </c>
      <c r="AL283" s="410">
        <f>IF(AL282=0,0,((+$F101/$AZ282)*AL282)*VLOOKUP('1. SUMMARY'!$C$20,rate,Sheet1!W$21,0))</f>
        <v>0</v>
      </c>
      <c r="AM283" s="410">
        <f>IF(AM282=0,0,((+$F101/$AZ282)*AM282)*VLOOKUP('1. SUMMARY'!$C$20,rate,Sheet1!X$21,0))</f>
        <v>0</v>
      </c>
      <c r="AN283" s="410">
        <f>IF(AN282=0,0,((+$F101/$AZ282)*AN282)*VLOOKUP('1. SUMMARY'!$C$20,rate,Sheet1!Y$21,0))</f>
        <v>0</v>
      </c>
      <c r="AO283" s="410">
        <f>IF(AO282=0,0,((+$F101/$AZ282)*AO282)*VLOOKUP('1. SUMMARY'!$C$20,rate,Sheet1!Z$21,0))</f>
        <v>0</v>
      </c>
      <c r="AP283" s="410">
        <f>IF(AP282=0,0,((+$F101/$AZ282)*AP282)*VLOOKUP('1. SUMMARY'!$C$20,rate,Sheet1!AA$21,0))</f>
        <v>0</v>
      </c>
      <c r="AQ283" s="410">
        <f>IF(AQ282=0,0,((+$F101/$AZ282)*AQ282)*VLOOKUP('1. SUMMARY'!$C$20,rate,Sheet1!AB$21,0))</f>
        <v>0</v>
      </c>
      <c r="AR283" s="410">
        <f>IF(AR282=0,0,((+$F101/$AZ282)*AR282)*VLOOKUP('1. SUMMARY'!$C$20,rate,Sheet1!AC$21,0))</f>
        <v>0</v>
      </c>
      <c r="AS283" s="410">
        <f>IF(AS282=0,0,((+$F101/$AZ282)*AS282)*VLOOKUP('1. SUMMARY'!$C$20,rate,Sheet1!AD$21,0))</f>
        <v>0</v>
      </c>
      <c r="AT283" s="410">
        <f>IF(AT282=0,0,((+$F101/$AZ282)*AT282)*VLOOKUP('1. SUMMARY'!$C$20,rate,Sheet1!AE$21,0))</f>
        <v>0</v>
      </c>
      <c r="AU283" s="410">
        <f>IF(AU282=0,0,((+$F101/$AZ282)*AU282)*VLOOKUP('1. SUMMARY'!$C$20,rate,Sheet1!AF$21,0))</f>
        <v>0</v>
      </c>
      <c r="AV283" s="410">
        <f>IF(AV282=0,0,((+$F101/$AZ282)*AV282)*VLOOKUP('1. SUMMARY'!$C$20,rate,Sheet1!AG$21,0))</f>
        <v>0</v>
      </c>
      <c r="AW283" s="410">
        <f>IF(AW282=0,0,((+$F101/$AZ282)*AW282)*VLOOKUP('1. SUMMARY'!$C$20,rate,Sheet1!AH$21,0))</f>
        <v>0</v>
      </c>
      <c r="AX283" s="410">
        <f>IF(AX282=0,0,((+$F101/$AZ282)*AX282)*VLOOKUP('1. SUMMARY'!$C$20,rate,Sheet1!AI$21,0))</f>
        <v>0</v>
      </c>
      <c r="AY283" s="410">
        <f>IF(AY282=0,0,((+$F101/$AZ282)*AY282)*VLOOKUP('1. SUMMARY'!$C$20,rate,Sheet1!AJ$21,0))</f>
        <v>0</v>
      </c>
      <c r="AZ283" s="410">
        <f>SUM(AI283:AY283)</f>
        <v>0</v>
      </c>
    </row>
    <row r="284" spans="1:52" ht="12.75" customHeight="1">
      <c r="P284" s="207">
        <f t="shared" si="123"/>
        <v>1</v>
      </c>
      <c r="Q284" s="410">
        <f>+Q283/VLOOKUP('1. SUMMARY'!$C$20,rate,Sheet1!T$21,0)</f>
        <v>0</v>
      </c>
      <c r="R284" s="410">
        <f>+R283/VLOOKUP('1. SUMMARY'!$C$20,rate,Sheet1!U$21,0)</f>
        <v>0</v>
      </c>
      <c r="S284" s="410">
        <f>+S283/VLOOKUP('1. SUMMARY'!$C$20,rate,Sheet1!V$21,0)</f>
        <v>0</v>
      </c>
      <c r="T284" s="410">
        <f>+T283/VLOOKUP('1. SUMMARY'!$C$20,rate,Sheet1!W$21,0)</f>
        <v>0</v>
      </c>
      <c r="U284" s="410">
        <f>+U283/VLOOKUP('1. SUMMARY'!$C$20,rate,Sheet1!X$21,0)</f>
        <v>0</v>
      </c>
      <c r="V284" s="410">
        <f>+V283/VLOOKUP('1. SUMMARY'!$C$20,rate,Sheet1!Y$21,0)</f>
        <v>0</v>
      </c>
      <c r="W284" s="410">
        <f>+W283/VLOOKUP('1. SUMMARY'!$C$20,rate,Sheet1!Z$21,0)</f>
        <v>0</v>
      </c>
      <c r="X284" s="410">
        <f>+X283/VLOOKUP('1. SUMMARY'!$C$20,rate,Sheet1!AA$21,0)</f>
        <v>0</v>
      </c>
      <c r="Y284" s="410">
        <f>+Y283/VLOOKUP('1. SUMMARY'!$C$20,rate,Sheet1!AB$21,0)</f>
        <v>0</v>
      </c>
      <c r="Z284" s="410">
        <f>+Z283/VLOOKUP('1. SUMMARY'!$C$20,rate,Sheet1!AC$21,0)</f>
        <v>0</v>
      </c>
      <c r="AA284" s="410">
        <f>+AA283/VLOOKUP('1. SUMMARY'!$C$20,rate,Sheet1!AD$21,0)</f>
        <v>0</v>
      </c>
      <c r="AB284" s="410">
        <f>+AB283/VLOOKUP('1. SUMMARY'!$C$20,rate,Sheet1!AE$21,0)</f>
        <v>0</v>
      </c>
      <c r="AC284" s="410">
        <f>+AC283/VLOOKUP('1. SUMMARY'!$C$20,rate,Sheet1!AF$21,0)</f>
        <v>0</v>
      </c>
      <c r="AD284" s="410">
        <f>+AD283/VLOOKUP('1. SUMMARY'!$C$20,rate,Sheet1!AG$21,0)</f>
        <v>0</v>
      </c>
      <c r="AE284" s="410">
        <f>+AE283/VLOOKUP('1. SUMMARY'!$C$20,rate,Sheet1!AH$21,0)</f>
        <v>0</v>
      </c>
      <c r="AF284" s="410">
        <f>+AF283/VLOOKUP('1. SUMMARY'!$C$20,rate,Sheet1!AI$21,0)</f>
        <v>0</v>
      </c>
      <c r="AG284" s="410">
        <f>+AG283/VLOOKUP('1. SUMMARY'!$C$20,rate,Sheet1!AJ$21,0)</f>
        <v>0</v>
      </c>
      <c r="AH284" s="219"/>
      <c r="AI284" s="410">
        <v>0</v>
      </c>
      <c r="AJ284" s="410">
        <v>0</v>
      </c>
      <c r="AK284" s="410">
        <v>0</v>
      </c>
      <c r="AL284" s="410">
        <v>0</v>
      </c>
      <c r="AM284" s="410">
        <v>0</v>
      </c>
      <c r="AN284" s="410">
        <v>0</v>
      </c>
      <c r="AO284" s="410">
        <v>0</v>
      </c>
      <c r="AP284" s="410">
        <v>0</v>
      </c>
      <c r="AQ284" s="410"/>
      <c r="AR284" s="410"/>
      <c r="AS284" s="410"/>
      <c r="AT284" s="410"/>
      <c r="AU284" s="410"/>
      <c r="AV284" s="410"/>
      <c r="AW284" s="410"/>
      <c r="AX284" s="410"/>
      <c r="AY284" s="410"/>
      <c r="AZ284" s="410"/>
    </row>
    <row r="285" spans="1:52" ht="12.75" hidden="1" customHeight="1">
      <c r="Q285" s="413">
        <f>Sheet1!$T$8</f>
        <v>44105</v>
      </c>
      <c r="R285" s="413">
        <f>Sheet1!$U$8</f>
        <v>44470</v>
      </c>
      <c r="S285" s="413">
        <f>Sheet1!$V$8</f>
        <v>44835</v>
      </c>
      <c r="T285" s="413">
        <f>Sheet1!$W$8</f>
        <v>45200</v>
      </c>
      <c r="U285" s="413">
        <f>Sheet1!$X$8</f>
        <v>45566</v>
      </c>
      <c r="V285" s="413">
        <f>Sheet1!$Y$8</f>
        <v>45931</v>
      </c>
      <c r="W285" s="413">
        <f>Sheet1!$Z$8</f>
        <v>46296</v>
      </c>
      <c r="X285" s="413">
        <f>Sheet1!$AA$8</f>
        <v>46661</v>
      </c>
      <c r="Y285" s="413">
        <f>Sheet1!$AB$8</f>
        <v>47027</v>
      </c>
      <c r="Z285" s="413">
        <f>Sheet1!$AC$8</f>
        <v>47392</v>
      </c>
      <c r="AA285" s="413">
        <f>$AA$5</f>
        <v>47757</v>
      </c>
      <c r="AB285" s="413">
        <f>$AB$5</f>
        <v>48122</v>
      </c>
      <c r="AC285" s="413">
        <f>$AC$5</f>
        <v>48488</v>
      </c>
      <c r="AD285" s="413">
        <f>$AD$5</f>
        <v>48853</v>
      </c>
      <c r="AE285" s="413">
        <f>$AE$5</f>
        <v>49218</v>
      </c>
      <c r="AF285" s="413">
        <f>$AF$5</f>
        <v>49583</v>
      </c>
      <c r="AG285" s="413">
        <f>$AG$5</f>
        <v>49949</v>
      </c>
      <c r="AH285" s="219"/>
      <c r="AI285" s="413">
        <f t="shared" ref="AI285:AR287" si="138">+Q285</f>
        <v>44105</v>
      </c>
      <c r="AJ285" s="413">
        <f t="shared" si="138"/>
        <v>44470</v>
      </c>
      <c r="AK285" s="413">
        <f t="shared" si="138"/>
        <v>44835</v>
      </c>
      <c r="AL285" s="413">
        <f t="shared" si="138"/>
        <v>45200</v>
      </c>
      <c r="AM285" s="413">
        <f t="shared" si="138"/>
        <v>45566</v>
      </c>
      <c r="AN285" s="413">
        <f t="shared" si="138"/>
        <v>45931</v>
      </c>
      <c r="AO285" s="413">
        <f t="shared" si="138"/>
        <v>46296</v>
      </c>
      <c r="AP285" s="413">
        <f t="shared" si="138"/>
        <v>46661</v>
      </c>
      <c r="AQ285" s="413">
        <f t="shared" si="138"/>
        <v>47027</v>
      </c>
      <c r="AR285" s="413">
        <f t="shared" si="138"/>
        <v>47392</v>
      </c>
      <c r="AS285" s="413">
        <f t="shared" ref="AS285:AY287" si="139">+AA285</f>
        <v>47757</v>
      </c>
      <c r="AT285" s="413">
        <f t="shared" si="139"/>
        <v>48122</v>
      </c>
      <c r="AU285" s="413">
        <f t="shared" si="139"/>
        <v>48488</v>
      </c>
      <c r="AV285" s="413">
        <f t="shared" si="139"/>
        <v>48853</v>
      </c>
      <c r="AW285" s="413">
        <f t="shared" si="139"/>
        <v>49218</v>
      </c>
      <c r="AX285" s="413">
        <f t="shared" si="139"/>
        <v>49583</v>
      </c>
      <c r="AY285" s="413">
        <f t="shared" si="139"/>
        <v>49949</v>
      </c>
      <c r="AZ285" s="413"/>
    </row>
    <row r="286" spans="1:52" ht="12.75" hidden="1" customHeight="1">
      <c r="Q286" s="413">
        <f>Sheet1!$T$9</f>
        <v>44469</v>
      </c>
      <c r="R286" s="413">
        <f>Sheet1!$U$9</f>
        <v>44834</v>
      </c>
      <c r="S286" s="413">
        <f>Sheet1!$V$9</f>
        <v>45199</v>
      </c>
      <c r="T286" s="413">
        <f>Sheet1!$W$9</f>
        <v>45565</v>
      </c>
      <c r="U286" s="413">
        <f>Sheet1!$X$9</f>
        <v>45930</v>
      </c>
      <c r="V286" s="413">
        <f>Sheet1!$Y$9</f>
        <v>46295</v>
      </c>
      <c r="W286" s="413">
        <f>Sheet1!$Z$9</f>
        <v>46660</v>
      </c>
      <c r="X286" s="413">
        <f>Sheet1!$AA$9</f>
        <v>47026</v>
      </c>
      <c r="Y286" s="413">
        <f>Sheet1!$AB$9</f>
        <v>47391</v>
      </c>
      <c r="Z286" s="413">
        <f>Sheet1!$AC$9</f>
        <v>47756</v>
      </c>
      <c r="AA286" s="413">
        <f>$AA$6</f>
        <v>48121</v>
      </c>
      <c r="AB286" s="413">
        <f>$AB$6</f>
        <v>48487</v>
      </c>
      <c r="AC286" s="413">
        <f>$AC$6</f>
        <v>48852</v>
      </c>
      <c r="AD286" s="413">
        <f>$AD$6</f>
        <v>49217</v>
      </c>
      <c r="AE286" s="413">
        <f>$AE$6</f>
        <v>49582</v>
      </c>
      <c r="AF286" s="413">
        <f>$AF$6</f>
        <v>49948</v>
      </c>
      <c r="AG286" s="413">
        <f>$AG$6</f>
        <v>50313</v>
      </c>
      <c r="AH286" s="219"/>
      <c r="AI286" s="413">
        <f t="shared" si="138"/>
        <v>44469</v>
      </c>
      <c r="AJ286" s="413">
        <f t="shared" si="138"/>
        <v>44834</v>
      </c>
      <c r="AK286" s="413">
        <f t="shared" si="138"/>
        <v>45199</v>
      </c>
      <c r="AL286" s="413">
        <f t="shared" si="138"/>
        <v>45565</v>
      </c>
      <c r="AM286" s="413">
        <f t="shared" si="138"/>
        <v>45930</v>
      </c>
      <c r="AN286" s="413">
        <f t="shared" si="138"/>
        <v>46295</v>
      </c>
      <c r="AO286" s="413">
        <f t="shared" si="138"/>
        <v>46660</v>
      </c>
      <c r="AP286" s="413">
        <f t="shared" si="138"/>
        <v>47026</v>
      </c>
      <c r="AQ286" s="413">
        <f t="shared" si="138"/>
        <v>47391</v>
      </c>
      <c r="AR286" s="413">
        <f t="shared" si="138"/>
        <v>47756</v>
      </c>
      <c r="AS286" s="413">
        <f t="shared" si="139"/>
        <v>48121</v>
      </c>
      <c r="AT286" s="413">
        <f t="shared" si="139"/>
        <v>48487</v>
      </c>
      <c r="AU286" s="413">
        <f t="shared" si="139"/>
        <v>48852</v>
      </c>
      <c r="AV286" s="413">
        <f t="shared" si="139"/>
        <v>49217</v>
      </c>
      <c r="AW286" s="413">
        <f t="shared" si="139"/>
        <v>49582</v>
      </c>
      <c r="AX286" s="413">
        <f t="shared" si="139"/>
        <v>49948</v>
      </c>
      <c r="AY286" s="413">
        <f t="shared" si="139"/>
        <v>50313</v>
      </c>
      <c r="AZ286" s="413"/>
    </row>
    <row r="287" spans="1:52" ht="12.75" hidden="1" customHeight="1">
      <c r="O287" s="207" t="s">
        <v>233</v>
      </c>
      <c r="Q287" s="424">
        <f>IF(IF(Q286&lt;$G$27,0,DATEDIF($G$27,Q286+1,"m"))&lt;0,0,IF(Q286&lt;$G$27,0,DATEDIF($G$27,Q286+1,"m")))</f>
        <v>0</v>
      </c>
      <c r="R287" s="424">
        <f>IF(IF(Q287=12,0,IF(R286&gt;$G$28,12-DATEDIF($G$28,R286+1,"m"),IF(R286&lt;$G$27,0,DATEDIF($G$27,R286+1,"m"))))&lt;0,0,IF(Q287=12,0,IF(R286&gt;$G$28,12-DATEDIF($G$28,R286+1,"m"),IF(R286&lt;$G$27,0,DATEDIF($G$27,R286+1,"m")))))</f>
        <v>0</v>
      </c>
      <c r="S287" s="424">
        <f>IF(IF(Q287+R287=12,0,IF(S286&gt;$G$28,12-DATEDIF($G$28,S286+1,"m"),IF(S286&lt;$G$27,0,DATEDIF($G$27,S286+1,"m"))))&lt;0,0,IF(Q287+R287=12,0,IF(S286&gt;$G$28,12-DATEDIF($G$28,S286+1,"m"),IF(S286&lt;$G$27,0,DATEDIF($G$27,S286+1,"m")))))</f>
        <v>0</v>
      </c>
      <c r="T287" s="424">
        <f>IF(IF(R287+S287+Q287=12,0,IF(T286&gt;$G$28,12-DATEDIF($G$28,T286+1,"m"),IF(T286&lt;$G$27,0,DATEDIF($G$27,T286+1,"m"))))&lt;0,0,IF(R287+S287+Q287=12,0,IF(T286&gt;$G$28,12-DATEDIF($G$28,T286+1,"m"),IF(T286&lt;$G$27,0,DATEDIF($G$27,T286+1,"m")))))</f>
        <v>0</v>
      </c>
      <c r="U287" s="424">
        <f>IF(IF(S287+T287+R287+Q287=12,0,IF(U286&gt;$G$28,12-DATEDIF($G$28,U286+1,"m"),IF(U286&lt;$G$27,0,DATEDIF($G$27,U286+1,"m"))))&lt;0,0,IF(S287+T287+R287+Q287=12,0,IF(U286&gt;$G$28,12-DATEDIF($G$28,U286+1,"m"),IF(U286&lt;$G$27,0,DATEDIF($G$27,U286+1,"m")))))</f>
        <v>0</v>
      </c>
      <c r="V287" s="424">
        <f>IF(IF(T287+U287+S287+R287+Q287=12,0,IF(V286&gt;$G$28,12-DATEDIF($G$28,V286+1,"m"),IF(V286&lt;$G$27,0,DATEDIF($G$27,V286+1,"m"))))&lt;0,0,IF(T287+U287+S287+R287+Q287=12,0,IF(V286&gt;$G$28,12-DATEDIF($G$28,V286+1,"m"),IF(V286&lt;$G$27,0,DATEDIF($G$27,V286+1,"m")))))</f>
        <v>0</v>
      </c>
      <c r="W287" s="424">
        <f>IF(IF(U287+V287+T287+S287+R287+Q287=12,0,IF(W286&gt;$G$28,12-DATEDIF($G$28,W286+1,"m"),IF(W286&lt;$G$27,0,DATEDIF($G$27,W286+1,"m"))))&lt;0,0,IF(U287+V287+T287+S287+R287+Q287=12,0,IF(W286&gt;$G$28,12-DATEDIF($G$28,W286+1,"m"),IF(W286&lt;$G$27,0,DATEDIF($G$27,W286+1,"m")))))</f>
        <v>0</v>
      </c>
      <c r="X287" s="424">
        <f>IF(IF(V287+W287+U287+T287+S287+R287+Q287=12,0,IF(X286&gt;$G$28,12-DATEDIF($G$28,X286+1,"m"),IF(X286&lt;$G$27,0,DATEDIF($G$27,X286+1,"m"))))&lt;0,0,IF(V287+W287+U287+T287+S287+R287+Q287=12,0,IF(X286&gt;$G$28,12-DATEDIF($G$28,X286+1,"m"),IF(X286&lt;$G$27,0,DATEDIF($G$27,X286+1,"m")))))</f>
        <v>0</v>
      </c>
      <c r="Y287" s="424">
        <f>IF(IF(W287+X287+V287+U287+T287+S287+R287+Q287=12,0,IF(Y286&gt;$G$28,12-DATEDIF($G$28,Y286+1,"m"),IF(Y286&lt;$G$27,0,DATEDIF($G$27,Y286+1,"m"))))&lt;0,0,IF(W287+X287+V287+U287+T287+S287+R287+Q287=12,0,IF(Y286&gt;$G$28,12-DATEDIF($G$28,Y286+1,"m"),IF(Y286&lt;$G$27,0,DATEDIF($G$27,Y286+1,"m")))))</f>
        <v>0</v>
      </c>
      <c r="Z287" s="424">
        <f>IF(IF(X287+Y287+W287+V287+U287+T287+S287+R287+Q287=12,0,IF(Z286&gt;$G$28,12-DATEDIF($G$28,Z286+1,"m"),IF(Z286&lt;$G$27,0,DATEDIF($G$27,Z286+1,"m"))))&lt;0,0,IF(X287+Y287+W287+V287+U287+T287+S287+R287+Q287=12,0,IF(Z286&gt;$G$28,12-DATEDIF($G$28,Z286+1,"m"),IF(Z286&lt;$G$27,0,DATEDIF($G$27,Z286+1,"m")))))</f>
        <v>0</v>
      </c>
      <c r="AA287" s="414">
        <f>IF(IF(Q287+R287+S287+Y287+Z287+X287+W287+V287+U287+T287=12,0,IF(AA286&gt;$G$28,12-DATEDIF($G$28,AA286+1,"m"),IF(AA286&lt;$G$27,0,DATEDIF($G$27,AA286+1,"m"))))&lt;0,0,IF(Q287+R287+S287+Y287+Z287+X287+W287+V287+U287+T287=12,0,IF(AA286&gt;$G$28,12-DATEDIF($G$28,AA286+1,"m"),IF(AA286&lt;$G$27,0,DATEDIF($G$27,AA286+1,"m")))))</f>
        <v>0</v>
      </c>
      <c r="AB287" s="414">
        <f>IF(IF(Q287+R287+S287+T287+Z287+AA287+Y287+X287+W287+V287+U287=12,0,IF(AB286&gt;$G$28,12-DATEDIF($G$28,AB286+1,"m"),IF(AB286&lt;$G$27,0,DATEDIF($G$27,AB286+1,"m"))))&lt;0,0,IF(Q287+R287+S287+T287+Z287+AA287+Y287+X287+W287+V287+U287=12,0,IF(AB286&gt;$G$28,12-DATEDIF($G$28,AB286+1,"m"),IF(AB286&lt;$G$27,0,DATEDIF($G$27,AB286+1,"m")))))</f>
        <v>0</v>
      </c>
      <c r="AC287" s="414">
        <f>IF(IF(Q287+R287+S287+T287+U287+AA287+AB287+Z287+Y287+X287+W287+V287=12,0,IF(AC286&gt;$G$28,12-DATEDIF($G$28,AC286+1,"m"),IF(AC286&lt;$G$27,0,DATEDIF($G$27,AC286+1,"m"))))&lt;0,0,IF(Q287+R287+S287+T287+U287+AA287+AB287+Z287+Y287+X287+W287+V287=12,0,IF(AC286&gt;$G$28,12-DATEDIF($G$28,AC286+1,"m"),IF(AC286&lt;$G$27,0,DATEDIF($G$27,AC286+1,"m")))))</f>
        <v>0</v>
      </c>
      <c r="AD287" s="414">
        <f>IF(IF(Q287+R287+S287+T287+U287+V287+AB287+AC287+AA287+Z287+Y287+X287+W287=12,0,IF(AD286&gt;$G$28,12-DATEDIF($G$28,AD286+1,"m"),IF(AD286&lt;$G$27,0,DATEDIF($G$27,AD286+1,"m"))))&lt;0,0,IF(Q287+R287+S287+T287+U287+V287+AB287+AC287+AA287+Z287+Y287+X287+W287=12,0,IF(AD286&gt;$G$28,12-DATEDIF($G$28,AD286+1,"m"),IF(AD286&lt;$G$27,0,DATEDIF($G$27,AD286+1,"m")))))</f>
        <v>0</v>
      </c>
      <c r="AE287" s="414"/>
      <c r="AF287" s="414"/>
      <c r="AG287" s="414"/>
      <c r="AH287" s="423">
        <f>SUM(Q287:AG287)</f>
        <v>0</v>
      </c>
      <c r="AI287" s="414">
        <f t="shared" si="138"/>
        <v>0</v>
      </c>
      <c r="AJ287" s="414">
        <f t="shared" si="138"/>
        <v>0</v>
      </c>
      <c r="AK287" s="414">
        <f t="shared" si="138"/>
        <v>0</v>
      </c>
      <c r="AL287" s="414">
        <f t="shared" si="138"/>
        <v>0</v>
      </c>
      <c r="AM287" s="414">
        <f t="shared" si="138"/>
        <v>0</v>
      </c>
      <c r="AN287" s="414">
        <f t="shared" si="138"/>
        <v>0</v>
      </c>
      <c r="AO287" s="414">
        <f t="shared" si="138"/>
        <v>0</v>
      </c>
      <c r="AP287" s="414">
        <f t="shared" si="138"/>
        <v>0</v>
      </c>
      <c r="AQ287" s="414">
        <f t="shared" si="138"/>
        <v>0</v>
      </c>
      <c r="AR287" s="414">
        <f t="shared" si="138"/>
        <v>0</v>
      </c>
      <c r="AS287" s="414">
        <f t="shared" si="139"/>
        <v>0</v>
      </c>
      <c r="AT287" s="414">
        <f t="shared" si="139"/>
        <v>0</v>
      </c>
      <c r="AU287" s="414">
        <f t="shared" si="139"/>
        <v>0</v>
      </c>
      <c r="AV287" s="414">
        <f t="shared" si="139"/>
        <v>0</v>
      </c>
      <c r="AW287" s="414">
        <f t="shared" si="139"/>
        <v>0</v>
      </c>
      <c r="AX287" s="414">
        <f t="shared" si="139"/>
        <v>0</v>
      </c>
      <c r="AY287" s="414">
        <f t="shared" si="139"/>
        <v>0</v>
      </c>
      <c r="AZ287" s="414">
        <f>SUM(AI287:AY287)</f>
        <v>0</v>
      </c>
    </row>
    <row r="288" spans="1:52" ht="12.75" hidden="1" customHeight="1">
      <c r="Q288" s="415">
        <f>IF(Q287=0,0,(IF(($B$101+$C$101+$D$101+$E$101+$F$101+$G$101)&lt;=25000,(($G$101/+$AH287)*Q287)*VLOOKUP('1. SUMMARY'!$C$20,rate,Sheet1!T$21,0),((IF(($F$101+$B$101+$C$101+$D$101+$E$101)&gt;=25000,0,(((25000-($B$101+$C$101+$D$101+$E$101+$F$101))/+$AH287)*Q287)*(VLOOKUP('1. SUMMARY'!$C$20,rate,Sheet1!T$21,0))))))))</f>
        <v>0</v>
      </c>
      <c r="R288" s="415">
        <f>IF(R287=0,0,(IF(($B$101+$C$101+$D$101+$E$101+$F$101+$G$101)&lt;=25000,(($G$101/+$AH287)*R287)*VLOOKUP('1. SUMMARY'!$C$20,rate,Sheet1!U$21,0),((IF(($F$101+$B$101+$C$101+$D$101+$E$101)&gt;=25000,0,(((25000-($B$101+$C$101+$D$101+$E$101+$F$101))/+$AH287)*R287)*(VLOOKUP('1. SUMMARY'!$C$20,rate,Sheet1!U$21,0))))))))</f>
        <v>0</v>
      </c>
      <c r="S288" s="415">
        <f>IF(S287=0,0,(IF(($B$101+$C$101+$D$101+$E$101+$F$101+$G$101)&lt;=25000,(($G$101/+$AH287)*S287)*VLOOKUP('1. SUMMARY'!$C$20,rate,Sheet1!V$21,0),((IF(($F$101+$B$101+$C$101+$D$101+$E$101)&gt;=25000,0,(((25000-($B$101+$C$101+$D$101+$E$101+$F$101))/+$AH287)*S287)*(VLOOKUP('1. SUMMARY'!$C$20,rate,Sheet1!V$21,0))))))))</f>
        <v>0</v>
      </c>
      <c r="T288" s="415">
        <f>IF(T287=0,0,(IF(($B$101+$C$101+$D$101+$E$101+$F$101+$G$101)&lt;=25000,(($G$101/+$AH287)*T287)*VLOOKUP('1. SUMMARY'!$C$20,rate,Sheet1!W$21,0),((IF(($F$101+$B$101+$C$101+$D$101+$E$101)&gt;=25000,0,(((25000-($B$101+$C$101+$D$101+$E$101+$F$101))/+$AH287)*T287)*(VLOOKUP('1. SUMMARY'!$C$20,rate,Sheet1!W$21,0))))))))</f>
        <v>0</v>
      </c>
      <c r="U288" s="415">
        <f>IF(U287=0,0,(IF(($B$101+$C$101+$D$101+$E$101+$F$101+$G$101)&lt;=25000,(($G$101/+$AH287)*U287)*VLOOKUP('1. SUMMARY'!$C$20,rate,Sheet1!X$21,0),((IF(($F$101+$B$101+$C$101+$D$101+$E$101)&gt;=25000,0,(((25000-($B$101+$C$101+$D$101+$E$101+$F$101))/+$AH287)*U287)*(VLOOKUP('1. SUMMARY'!$C$20,rate,Sheet1!X$21,0))))))))</f>
        <v>0</v>
      </c>
      <c r="V288" s="415">
        <f>IF(V287=0,0,(IF(($B$101+$C$101+$D$101+$E$101+$F$101+$G$101)&lt;=25000,(($G$101/+$AH287)*V287)*VLOOKUP('1. SUMMARY'!$C$20,rate,Sheet1!Y$21,0),((IF(($F$101+$B$101+$C$101+$D$101+$E$101)&gt;=25000,0,(((25000-($B$101+$C$101+$D$101+$E$101+$F$101))/+$AH287)*V287)*(VLOOKUP('1. SUMMARY'!$C$20,rate,Sheet1!Y$21,0))))))))</f>
        <v>0</v>
      </c>
      <c r="W288" s="415">
        <f>IF(W287=0,0,(IF(($B$101+$C$101+$D$101+$E$101+$F$101+$G$101)&lt;=25000,(($G$101/+$AH287)*W287)*VLOOKUP('1. SUMMARY'!$C$20,rate,Sheet1!Z$21,0),((IF(($F$101+$B$101+$C$101+$D$101+$E$101)&gt;=25000,0,(((25000-($B$101+$C$101+$D$101+$E$101+$F$101))/+$AH287)*W287)*(VLOOKUP('1. SUMMARY'!$C$20,rate,Sheet1!Z$21,0))))))))</f>
        <v>0</v>
      </c>
      <c r="X288" s="415">
        <f>IF(X287=0,0,(IF(($B$101+$C$101+$D$101+$E$101+$F$101+$G$101)&lt;=25000,(($G$101/+$AH287)*X287)*VLOOKUP('1. SUMMARY'!$C$20,rate,Sheet1!AA$21,0),((IF(($F$101+$B$101+$C$101+$D$101+$E$101)&gt;=25000,0,(((25000-($B$101+$C$101+$D$101+$E$101+$F$101))/+$AH287)*X287)*(VLOOKUP('1. SUMMARY'!$C$20,rate,Sheet1!AA$21,0))))))))</f>
        <v>0</v>
      </c>
      <c r="Y288" s="415">
        <f>IF(Y287=0,0,(IF(($B$101+$C$101+$D$101+$E$101+$F$101+$G$101)&lt;=25000,(($G$101/+$AH287)*Y287)*VLOOKUP('1. SUMMARY'!$C$20,rate,Sheet1!AB$21,0),((IF(($F$101+$B$101+$C$101+$D$101+$E$101)&gt;=25000,0,(((25000-($B$101+$C$101+$D$101+$E$101+$F$101))/+$AH287)*Y287)*(VLOOKUP('1. SUMMARY'!$C$20,rate,Sheet1!AB$21,0))))))))</f>
        <v>0</v>
      </c>
      <c r="Z288" s="415">
        <f>IF(Z287=0,0,(IF(($B$101+$C$101+$D$101+$E$101+$F$101+$G$101)&lt;=25000,(($G$101/+$AH287)*Z287)*VLOOKUP('1. SUMMARY'!$C$20,rate,Sheet1!AC$21,0),((IF(($F$101+$B$101+$C$101+$D$101+$E$101)&gt;=25000,0,(((25000-($B$101+$C$101+$D$101+$E$101+$F$101))/+$AH287)*Z287)*(VLOOKUP('1. SUMMARY'!$C$20,rate,Sheet1!AC$21,0))))))))</f>
        <v>0</v>
      </c>
      <c r="AA288" s="415">
        <f>IF(AA287=0,0,(IF(($B$101+$C$101+$D$101+$E$101+$F$101+$G$101)&lt;=25000,(($G$101/+$AH287)*AA287)*VLOOKUP('1. SUMMARY'!$C$20,rate,Sheet1!AD$21,0),((IF(($F$101+$B$101+$C$101+$D$101+$E$101)&gt;=25000,0,(((25000-($B$101+$C$101+$D$101+$E$101+$F$101))/+$AH287)*AA287)*(VLOOKUP('1. SUMMARY'!$C$20,rate,Sheet1!AD$21,0))))))))</f>
        <v>0</v>
      </c>
      <c r="AB288" s="415">
        <f>IF(AB287=0,0,(IF(($B$101+$C$101+$D$101+$E$101+$F$101+$G$101)&lt;=25000,(($G$101/+$AH287)*AB287)*VLOOKUP('1. SUMMARY'!$C$20,rate,Sheet1!AE$21,0),((IF(($F$101+$B$101+$C$101+$D$101+$E$101)&gt;=25000,0,(((25000-($B$101+$C$101+$D$101+$E$101+$F$101))/+$AH287)*AB287)*(VLOOKUP('1. SUMMARY'!$C$20,rate,Sheet1!AE$21,0))))))))</f>
        <v>0</v>
      </c>
      <c r="AC288" s="415">
        <f>IF(AC287=0,0,(IF(($B$101+$C$101+$D$101+$E$101+$F$101+$G$101)&lt;=25000,(($G$101/+$AH287)*AC287)*VLOOKUP('1. SUMMARY'!$C$20,rate,Sheet1!AF$21,0),((IF(($F$101+$B$101+$C$101+$D$101+$E$101)&gt;=25000,0,(((25000-($B$101+$C$101+$D$101+$E$101+$F$101))/+$AH287)*AC287)*(VLOOKUP('1. SUMMARY'!$C$20,rate,Sheet1!AF$21,0))))))))</f>
        <v>0</v>
      </c>
      <c r="AD288" s="415">
        <f>IF(AD287=0,0,(IF(($B$101+$C$101+$D$101+$E$101+$F$101+$G$101)&lt;=25000,(($G$101/+$AH287)*AD287)*VLOOKUP('1. SUMMARY'!$C$20,rate,Sheet1!AG$21,0),((IF(($F$101+$B$101+$C$101+$D$101+$E$101)&gt;=25000,0,(((25000-($B$101+$C$101+$D$101+$E$101+$F$101))/+$AH287)*AD287)*(VLOOKUP('1. SUMMARY'!$C$20,rate,Sheet1!AG$21,0))))))))</f>
        <v>0</v>
      </c>
      <c r="AE288" s="415">
        <f>IF(AE287=0,0,(IF(($B$101+$C$101+$D$101+$E$101+$F$101+$G$101)&lt;=25000,(($G$101/+$AH287)*AE287)*VLOOKUP('1. SUMMARY'!$C$20,rate,Sheet1!AH$21,0),((IF(($F$101+$B$101+$C$101+$D$101+$E$101)&gt;=25000,0,(((25000-($B$101+$C$101+$D$101+$E$101+$F$101))/+$AH287)*AE287)*(VLOOKUP('1. SUMMARY'!$C$20,rate,Sheet1!AH$21,0))))))))</f>
        <v>0</v>
      </c>
      <c r="AF288" s="415">
        <f>IF(AF287=0,0,(IF(($B$101+$C$101+$D$101+$E$101+$F$101+$G$101)&lt;=25000,(($G$101/+$AH287)*AF287)*VLOOKUP('1. SUMMARY'!$C$20,rate,Sheet1!AI$21,0),((IF(($F$101+$B$101+$C$101+$D$101+$E$101)&gt;=25000,0,(((25000-($B$101+$C$101+$D$101+$E$101+$F$101))/+$AH287)*AF287)*(VLOOKUP('1. SUMMARY'!$C$20,rate,Sheet1!AI$21,0))))))))</f>
        <v>0</v>
      </c>
      <c r="AG288" s="415">
        <f>IF(AG287=0,0,(IF(($B$101+$C$101+$D$101+$E$101+$F$101+$G$101)&lt;=25000,(($G$101/+$AH287)*AG287)*VLOOKUP('1. SUMMARY'!$C$20,rate,Sheet1!AJ$21,0),((IF(($F$101+$B$101+$C$101+$D$101+$E$101)&gt;=25000,0,(((25000-($B$101+$C$101+$D$101+$E$101+$F$101))/+$AH287)*AG287)*(VLOOKUP('1. SUMMARY'!$C$20,rate,Sheet1!AJ$21,0))))))))</f>
        <v>0</v>
      </c>
      <c r="AH288" s="219">
        <f>SUM(Q288:AG288)</f>
        <v>0</v>
      </c>
      <c r="AI288" s="415">
        <f>IF(AI287=0,0,((+$G101/$AZ287)*AI287)*VLOOKUP('1. SUMMARY'!$C$20,rate,Sheet1!T$21,0))</f>
        <v>0</v>
      </c>
      <c r="AJ288" s="415">
        <f>IF(AJ287=0,0,((+$G101/$AZ287)*AJ287)*VLOOKUP('1. SUMMARY'!$C$20,rate,Sheet1!U$21,0))</f>
        <v>0</v>
      </c>
      <c r="AK288" s="415">
        <f>IF(AK287=0,0,((+$G101/$AZ287)*AK287)*VLOOKUP('1. SUMMARY'!$C$20,rate,Sheet1!V$21,0))</f>
        <v>0</v>
      </c>
      <c r="AL288" s="415">
        <f>IF(AL287=0,0,((+$G101/$AZ287)*AL287)*VLOOKUP('1. SUMMARY'!$C$20,rate,Sheet1!W$21,0))</f>
        <v>0</v>
      </c>
      <c r="AM288" s="415">
        <f>IF(AM287=0,0,((+$G101/$AZ287)*AM287)*VLOOKUP('1. SUMMARY'!$C$20,rate,Sheet1!X$21,0))</f>
        <v>0</v>
      </c>
      <c r="AN288" s="415">
        <f>IF(AN287=0,0,((+$G101/$AZ287)*AN287)*VLOOKUP('1. SUMMARY'!$C$20,rate,Sheet1!Y$21,0))</f>
        <v>0</v>
      </c>
      <c r="AO288" s="415">
        <f>IF(AO287=0,0,((+$G101/$AZ287)*AO287)*VLOOKUP('1. SUMMARY'!$C$20,rate,Sheet1!Z$21,0))</f>
        <v>0</v>
      </c>
      <c r="AP288" s="415">
        <f>IF(AP287=0,0,((+$G101/$AZ287)*AP287)*VLOOKUP('1. SUMMARY'!$C$20,rate,Sheet1!AA$21,0))</f>
        <v>0</v>
      </c>
      <c r="AQ288" s="415">
        <f>IF(AQ287=0,0,((+$G101/$AZ287)*AQ287)*VLOOKUP('1. SUMMARY'!$C$20,rate,Sheet1!AB$21,0))</f>
        <v>0</v>
      </c>
      <c r="AR288" s="415">
        <f>IF(AR287=0,0,((+$G101/$AZ287)*AR287)*VLOOKUP('1. SUMMARY'!$C$20,rate,Sheet1!AC$21,0))</f>
        <v>0</v>
      </c>
      <c r="AS288" s="415">
        <f>IF(AS287=0,0,((+$G101/$AZ287)*AS287)*VLOOKUP('1. SUMMARY'!$C$20,rate,Sheet1!AD$21,0))</f>
        <v>0</v>
      </c>
      <c r="AT288" s="415">
        <f>IF(AT287=0,0,((+$G101/$AZ287)*AT287)*VLOOKUP('1. SUMMARY'!$C$20,rate,Sheet1!AE$21,0))</f>
        <v>0</v>
      </c>
      <c r="AU288" s="415">
        <f>IF(AU287=0,0,((+$G101/$AZ287)*AU287)*VLOOKUP('1. SUMMARY'!$C$20,rate,Sheet1!AF$21,0))</f>
        <v>0</v>
      </c>
      <c r="AV288" s="415">
        <f>IF(AV287=0,0,((+$G101/$AZ287)*AV287)*VLOOKUP('1. SUMMARY'!$C$20,rate,Sheet1!AG$21,0))</f>
        <v>0</v>
      </c>
      <c r="AW288" s="415">
        <f>IF(AW287=0,0,((+$G101/$AZ287)*AW287)*VLOOKUP('1. SUMMARY'!$C$20,rate,Sheet1!AH$21,0))</f>
        <v>0</v>
      </c>
      <c r="AX288" s="415">
        <f>IF(AX287=0,0,((+$G101/$AZ287)*AX287)*VLOOKUP('1. SUMMARY'!$C$20,rate,Sheet1!AI$21,0))</f>
        <v>0</v>
      </c>
      <c r="AY288" s="415">
        <f>IF(AY287=0,0,((+$G101/$AZ287)*AY287)*VLOOKUP('1. SUMMARY'!$C$20,rate,Sheet1!AJ$21,0))</f>
        <v>0</v>
      </c>
      <c r="AZ288" s="415">
        <f>SUM(AI288:AY288)</f>
        <v>0</v>
      </c>
    </row>
    <row r="289" spans="15:52" ht="12.75" hidden="1" customHeight="1">
      <c r="Q289" s="415">
        <f>+Q288/VLOOKUP('1. SUMMARY'!$C$20,rate,Sheet1!T$21,0)</f>
        <v>0</v>
      </c>
      <c r="R289" s="415">
        <f>+R288/VLOOKUP('1. SUMMARY'!$C$20,rate,Sheet1!U$21,0)</f>
        <v>0</v>
      </c>
      <c r="S289" s="415">
        <f>+S288/VLOOKUP('1. SUMMARY'!$C$20,rate,Sheet1!V$21,0)</f>
        <v>0</v>
      </c>
      <c r="T289" s="415">
        <f>+T288/VLOOKUP('1. SUMMARY'!$C$20,rate,Sheet1!W$21,0)</f>
        <v>0</v>
      </c>
      <c r="U289" s="415">
        <f>+U288/VLOOKUP('1. SUMMARY'!$C$20,rate,Sheet1!X$21,0)</f>
        <v>0</v>
      </c>
      <c r="V289" s="415">
        <f>+V288/VLOOKUP('1. SUMMARY'!$C$20,rate,Sheet1!Y$21,0)</f>
        <v>0</v>
      </c>
      <c r="W289" s="415">
        <f>+W288/VLOOKUP('1. SUMMARY'!$C$20,rate,Sheet1!Z$21,0)</f>
        <v>0</v>
      </c>
      <c r="X289" s="415">
        <f>+X288/VLOOKUP('1. SUMMARY'!$C$20,rate,Sheet1!AA$21,0)</f>
        <v>0</v>
      </c>
      <c r="Y289" s="415">
        <f>+Y288/VLOOKUP('1. SUMMARY'!$C$20,rate,Sheet1!AB$21,0)</f>
        <v>0</v>
      </c>
      <c r="Z289" s="415">
        <f>+Z288/VLOOKUP('1. SUMMARY'!$C$20,rate,Sheet1!AC$21,0)</f>
        <v>0</v>
      </c>
      <c r="AA289" s="415">
        <f>+AA288/VLOOKUP('1. SUMMARY'!$C$20,rate,Sheet1!AD$21,0)</f>
        <v>0</v>
      </c>
      <c r="AB289" s="415">
        <f>+AB288/VLOOKUP('1. SUMMARY'!$C$20,rate,Sheet1!AE$21,0)</f>
        <v>0</v>
      </c>
      <c r="AC289" s="415">
        <f>+AC288/VLOOKUP('1. SUMMARY'!$C$20,rate,Sheet1!AF$21,0)</f>
        <v>0</v>
      </c>
      <c r="AD289" s="415">
        <f>+AD288/VLOOKUP('1. SUMMARY'!$C$20,rate,Sheet1!AG$21,0)</f>
        <v>0</v>
      </c>
      <c r="AE289" s="415">
        <f>+AE288/VLOOKUP('1. SUMMARY'!$C$20,rate,Sheet1!AH$21,0)</f>
        <v>0</v>
      </c>
      <c r="AF289" s="415">
        <f>+AF288/VLOOKUP('1. SUMMARY'!$C$20,rate,Sheet1!AI$21,0)</f>
        <v>0</v>
      </c>
      <c r="AG289" s="415">
        <f>+AG288/VLOOKUP('1. SUMMARY'!$C$20,rate,Sheet1!AJ$21,0)</f>
        <v>0</v>
      </c>
      <c r="AH289" s="219"/>
      <c r="AI289" s="415"/>
      <c r="AJ289" s="415"/>
      <c r="AK289" s="415"/>
      <c r="AL289" s="415"/>
      <c r="AM289" s="415"/>
      <c r="AN289" s="415"/>
      <c r="AO289" s="415"/>
      <c r="AP289" s="415"/>
      <c r="AQ289" s="415"/>
      <c r="AR289" s="415"/>
      <c r="AS289" s="415"/>
      <c r="AT289" s="415"/>
      <c r="AU289" s="415"/>
      <c r="AV289" s="415"/>
      <c r="AW289" s="415"/>
      <c r="AX289" s="415"/>
      <c r="AY289" s="415"/>
      <c r="AZ289" s="415"/>
    </row>
    <row r="290" spans="15:52" ht="12.75" hidden="1" customHeight="1">
      <c r="Q290" s="411">
        <f>Sheet1!$T$8</f>
        <v>44105</v>
      </c>
      <c r="R290" s="411">
        <f>Sheet1!$U$8</f>
        <v>44470</v>
      </c>
      <c r="S290" s="411">
        <f>Sheet1!$V$8</f>
        <v>44835</v>
      </c>
      <c r="T290" s="411">
        <f>Sheet1!$W$8</f>
        <v>45200</v>
      </c>
      <c r="U290" s="411">
        <f>Sheet1!$X$8</f>
        <v>45566</v>
      </c>
      <c r="V290" s="411">
        <f>Sheet1!$Y$8</f>
        <v>45931</v>
      </c>
      <c r="W290" s="411">
        <f>Sheet1!$Z$8</f>
        <v>46296</v>
      </c>
      <c r="X290" s="411">
        <f>Sheet1!$AA$8</f>
        <v>46661</v>
      </c>
      <c r="Y290" s="411">
        <f>Sheet1!$AB$8</f>
        <v>47027</v>
      </c>
      <c r="Z290" s="411">
        <f>Sheet1!$AC$8</f>
        <v>47392</v>
      </c>
      <c r="AA290" s="411">
        <f>$AA$5</f>
        <v>47757</v>
      </c>
      <c r="AB290" s="411">
        <f>$AB$5</f>
        <v>48122</v>
      </c>
      <c r="AC290" s="411">
        <f>$AC$5</f>
        <v>48488</v>
      </c>
      <c r="AD290" s="411">
        <f>$AD$5</f>
        <v>48853</v>
      </c>
      <c r="AE290" s="411">
        <f>$AE$5</f>
        <v>49218</v>
      </c>
      <c r="AF290" s="411">
        <f>$AF$5</f>
        <v>49583</v>
      </c>
      <c r="AG290" s="411">
        <f>$AG$5</f>
        <v>49949</v>
      </c>
      <c r="AH290" s="219"/>
      <c r="AI290" s="411">
        <f t="shared" ref="AI290:AR292" si="140">+Q290</f>
        <v>44105</v>
      </c>
      <c r="AJ290" s="411">
        <f t="shared" si="140"/>
        <v>44470</v>
      </c>
      <c r="AK290" s="411">
        <f t="shared" si="140"/>
        <v>44835</v>
      </c>
      <c r="AL290" s="411">
        <f t="shared" si="140"/>
        <v>45200</v>
      </c>
      <c r="AM290" s="411">
        <f t="shared" si="140"/>
        <v>45566</v>
      </c>
      <c r="AN290" s="411">
        <f t="shared" si="140"/>
        <v>45931</v>
      </c>
      <c r="AO290" s="411">
        <f t="shared" si="140"/>
        <v>46296</v>
      </c>
      <c r="AP290" s="411">
        <f t="shared" si="140"/>
        <v>46661</v>
      </c>
      <c r="AQ290" s="411">
        <f t="shared" si="140"/>
        <v>47027</v>
      </c>
      <c r="AR290" s="411">
        <f t="shared" si="140"/>
        <v>47392</v>
      </c>
      <c r="AS290" s="411">
        <f t="shared" ref="AS290:AY292" si="141">+AA290</f>
        <v>47757</v>
      </c>
      <c r="AT290" s="411">
        <f t="shared" si="141"/>
        <v>48122</v>
      </c>
      <c r="AU290" s="411">
        <f t="shared" si="141"/>
        <v>48488</v>
      </c>
      <c r="AV290" s="411">
        <f t="shared" si="141"/>
        <v>48853</v>
      </c>
      <c r="AW290" s="411">
        <f t="shared" si="141"/>
        <v>49218</v>
      </c>
      <c r="AX290" s="411">
        <f t="shared" si="141"/>
        <v>49583</v>
      </c>
      <c r="AY290" s="411">
        <f t="shared" si="141"/>
        <v>49949</v>
      </c>
      <c r="AZ290" s="411"/>
    </row>
    <row r="291" spans="15:52" ht="12.75" hidden="1" customHeight="1">
      <c r="Q291" s="411">
        <f>Sheet1!$T$9</f>
        <v>44469</v>
      </c>
      <c r="R291" s="411">
        <f>Sheet1!$U$9</f>
        <v>44834</v>
      </c>
      <c r="S291" s="411">
        <f>Sheet1!$V$9</f>
        <v>45199</v>
      </c>
      <c r="T291" s="411">
        <f>Sheet1!$W$9</f>
        <v>45565</v>
      </c>
      <c r="U291" s="411">
        <f>Sheet1!$X$9</f>
        <v>45930</v>
      </c>
      <c r="V291" s="411">
        <f>Sheet1!$Y$9</f>
        <v>46295</v>
      </c>
      <c r="W291" s="411">
        <f>Sheet1!$Z$9</f>
        <v>46660</v>
      </c>
      <c r="X291" s="411">
        <f>Sheet1!$AA$9</f>
        <v>47026</v>
      </c>
      <c r="Y291" s="411">
        <f>Sheet1!$AB$9</f>
        <v>47391</v>
      </c>
      <c r="Z291" s="411">
        <f>Sheet1!$AC$9</f>
        <v>47756</v>
      </c>
      <c r="AA291" s="411">
        <f>$AA$6</f>
        <v>48121</v>
      </c>
      <c r="AB291" s="411">
        <f>$AB$6</f>
        <v>48487</v>
      </c>
      <c r="AC291" s="411">
        <f>$AC$6</f>
        <v>48852</v>
      </c>
      <c r="AD291" s="411">
        <f>$AD$6</f>
        <v>49217</v>
      </c>
      <c r="AE291" s="411">
        <f>$AE$6</f>
        <v>49582</v>
      </c>
      <c r="AF291" s="411">
        <f>$AF$6</f>
        <v>49948</v>
      </c>
      <c r="AG291" s="411">
        <f>$AG$6</f>
        <v>50313</v>
      </c>
      <c r="AH291" s="219"/>
      <c r="AI291" s="411">
        <f t="shared" si="140"/>
        <v>44469</v>
      </c>
      <c r="AJ291" s="411">
        <f t="shared" si="140"/>
        <v>44834</v>
      </c>
      <c r="AK291" s="411">
        <f t="shared" si="140"/>
        <v>45199</v>
      </c>
      <c r="AL291" s="411">
        <f t="shared" si="140"/>
        <v>45565</v>
      </c>
      <c r="AM291" s="411">
        <f t="shared" si="140"/>
        <v>45930</v>
      </c>
      <c r="AN291" s="411">
        <f t="shared" si="140"/>
        <v>46295</v>
      </c>
      <c r="AO291" s="411">
        <f t="shared" si="140"/>
        <v>46660</v>
      </c>
      <c r="AP291" s="411">
        <f t="shared" si="140"/>
        <v>47026</v>
      </c>
      <c r="AQ291" s="411">
        <f t="shared" si="140"/>
        <v>47391</v>
      </c>
      <c r="AR291" s="411">
        <f t="shared" si="140"/>
        <v>47756</v>
      </c>
      <c r="AS291" s="411">
        <f t="shared" si="141"/>
        <v>48121</v>
      </c>
      <c r="AT291" s="411">
        <f t="shared" si="141"/>
        <v>48487</v>
      </c>
      <c r="AU291" s="411">
        <f t="shared" si="141"/>
        <v>48852</v>
      </c>
      <c r="AV291" s="411">
        <f t="shared" si="141"/>
        <v>49217</v>
      </c>
      <c r="AW291" s="411">
        <f t="shared" si="141"/>
        <v>49582</v>
      </c>
      <c r="AX291" s="411">
        <f t="shared" si="141"/>
        <v>49948</v>
      </c>
      <c r="AY291" s="411">
        <f t="shared" si="141"/>
        <v>50313</v>
      </c>
      <c r="AZ291" s="411"/>
    </row>
    <row r="292" spans="15:52" ht="12.75" hidden="1" customHeight="1">
      <c r="O292" s="207" t="s">
        <v>234</v>
      </c>
      <c r="Q292" s="412">
        <f>IF(IF(Q291&lt;$H$27,0,DATEDIF($H$27,Q291+1,"m"))&lt;0,0,IF(Q291&lt;$H$27,0,DATEDIF($H$27,Q291+1,"m")))</f>
        <v>0</v>
      </c>
      <c r="R292" s="412">
        <f>IF(IF(Q292=12,0,IF(R291&gt;$H$28,12-DATEDIF($H$28,R291+1,"m"),IF(R291&lt;$H$27,0,DATEDIF($H$27,R291+1,"m"))))&lt;0,0,IF(Q292=12,0,IF(R291&gt;$H$28,12-DATEDIF($H$28,R291+1,"m"),IF(R291&lt;$H$27,0,DATEDIF($H$27,R291+1,"m")))))</f>
        <v>0</v>
      </c>
      <c r="S292" s="412">
        <f>IF(IF(Q292+R292=12,0,IF(S291&gt;$H$28,12-DATEDIF($H$28,S291+1,"m"),IF(S291&lt;$H$27,0,DATEDIF($H$27,S291+1,"m"))))&lt;0,0,IF(Q292+R292=12,0,IF(S291&gt;$H$28,12-DATEDIF($H$28,S291+1,"m"),IF(S291&lt;$H$27,0,DATEDIF($H$27,S291+1,"m")))))</f>
        <v>0</v>
      </c>
      <c r="T292" s="412">
        <f>IF(IF(R292+S292+Q292=12,0,IF(T291&gt;$H$28,12-DATEDIF($H$28,T291+1,"m"),IF(T291&lt;$H$27,0,DATEDIF($H$27,T291+1,"m"))))&lt;0,0,IF(R292+S292+Q292=12,0,IF(T291&gt;$H$28,12-DATEDIF($H$28,T291+1,"m"),IF(T291&lt;$H$27,0,DATEDIF($H$27,T291+1,"m")))))</f>
        <v>0</v>
      </c>
      <c r="U292" s="412">
        <f>IF(IF(S292+T292+R292+Q292=12,0,IF(U291&gt;$H$28,12-DATEDIF($H$28,U291+1,"m"),IF(U291&lt;$H$27,0,DATEDIF($H$27,U291+1,"m"))))&lt;0,0,IF(S292+T292+R292+Q292=12,0,IF(U291&gt;$H$28,12-DATEDIF($H$28,U291+1,"m"),IF(U291&lt;$H$27,0,DATEDIF($H$27,U291+1,"m")))))</f>
        <v>0</v>
      </c>
      <c r="V292" s="412">
        <f>IF(IF(T292+U292+S292+R292+Q292=12,0,IF(V291&gt;$H$28,12-DATEDIF($H$28,V291+1,"m"),IF(V291&lt;$H$27,0,DATEDIF($H$27,V291+1,"m"))))&lt;0,0,IF(T292+U292+S292+R292+Q292=12,0,IF(V291&gt;$H$28,12-DATEDIF($H$28,V291+1,"m"),IF(V291&lt;$H$27,0,DATEDIF($H$27,V291+1,"m")))))</f>
        <v>0</v>
      </c>
      <c r="W292" s="412">
        <f>IF(IF(U292+V292+T292+S292+R292+Q292=12,0,IF(W291&gt;$H$28,12-DATEDIF($H$28,W291+1,"m"),IF(W291&lt;$H$27,0,DATEDIF($H$27,W291+1,"m"))))&lt;0,0,IF(U292+V292+T292+S292+R292+Q292=12,0,IF(W291&gt;$H$28,12-DATEDIF($H$28,W291+1,"m"),IF(W291&lt;$H$27,0,DATEDIF($H$27,W291+1,"m")))))</f>
        <v>0</v>
      </c>
      <c r="X292" s="412">
        <f>IF(IF(V292+W292+U292+T292+S292+R292+Q292=12,0,IF(X291&gt;$H$28,12-DATEDIF($H$28,X291+1,"m"),IF(X291&lt;$H$27,0,DATEDIF($H$27,X291+1,"m"))))&lt;0,0,IF(V292+W292+U292+T292+S292+R292+Q292=12,0,IF(X291&gt;$H$28,12-DATEDIF($H$28,X291+1,"m"),IF(X291&lt;$H$27,0,DATEDIF($H$27,X291+1,"m")))))</f>
        <v>0</v>
      </c>
      <c r="Y292" s="412">
        <f>IF(IF(W292+X292+V292+U292+T292+S292+R292+Q292=12,0,IF(Y291&gt;$H$28,12-DATEDIF($H$28,Y291+1,"m"),IF(Y291&lt;$H$27,0,DATEDIF($H$27,Y291+1,"m"))))&lt;0,0,IF(W292+X292+V292+U292+T292+S292+R292+Q292=12,0,IF(Y291&gt;$H$28,12-DATEDIF($H$28,Y291+1,"m"),IF(Y291&lt;$H$27,0,DATEDIF($H$27,Y291+1,"m")))))</f>
        <v>0</v>
      </c>
      <c r="Z292" s="412">
        <f>IF(IF(X292+Y292+W292+V292+U292+T292+S292+R292+Q292=12,0,IF(Z291&gt;$H$28,12-DATEDIF($H$28,Z291+1,"m"),IF(Z291&lt;$H$27,0,DATEDIF($H$27,Z291+1,"m"))))&lt;0,0,IF(X292+Y292+W292+V292+U292+T292+S292+R292+Q292=12,0,IF(Z291&gt;$H$28,12-DATEDIF($H$28,Z291+1,"m"),IF(Z291&lt;$H$27,0,DATEDIF($H$27,Z291+1,"m")))))</f>
        <v>0</v>
      </c>
      <c r="AA292" s="412">
        <f>IF(IF(Q292+R292+S292+Y292+Z292+X292+W292+V292+U292+T292=12,0,IF(AA291&gt;$H$28,12-DATEDIF($H$28,AA291+1,"m"),IF(AA291&lt;$H$27,0,DATEDIF($H$27,AA291+1,"m"))))&lt;0,0,IF(Q292+R292+S292+Y292+Z292+X292+W292+V292+U292+T292=12,0,IF(AA291&gt;$H$28,12-DATEDIF($H$28,AA291+1,"m"),IF(AA291&lt;$H$27,0,DATEDIF($H$27,AA291+1,"m")))))</f>
        <v>0</v>
      </c>
      <c r="AB292" s="412">
        <f>IF(IF(Q292+R292+S292+T292+Z292+AA292+Y292+X292+W292+V292+U292=12,0,IF(AB291&gt;$H$28,12-DATEDIF($H$28,AB291+1,"m"),IF(AB291&lt;$H$27,0,DATEDIF($H$27,AB291+1,"m"))))&lt;0,0,IF(Q292+R292+S292+T292+Z292+AA292+Y292+X292+W292+V292+U292=12,0,IF(AB291&gt;$H$28,12-DATEDIF($H$28,AB291+1,"m"),IF(AB291&lt;$H$27,0,DATEDIF($H$27,AB291+1,"m")))))</f>
        <v>0</v>
      </c>
      <c r="AC292" s="412">
        <f>IF(IF(Q292+R292+S292+T292+U292+AA292+AB292+Z292+Y292+X292+W292+V292=12,0,IF(AC291&gt;$H$28,12-DATEDIF($H$28,AC291+1,"m"),IF(AC291&lt;$H$27,0,DATEDIF($H$27,AC291+1,"m"))))&lt;0,0,IF(Q292+R292+S292+T292+U292+AA292+AB292+Z292+Y292+X292+W292+V292=12,0,IF(AC291&gt;$H$28,12-DATEDIF($H$28,AC291+1,"m"),IF(AC291&lt;$H$27,0,DATEDIF($H$27,AC291+1,"m")))))</f>
        <v>0</v>
      </c>
      <c r="AD292" s="412">
        <f>IF(IF(Q292+R292+S292+T292+U292+V292+AB292+AC292+AA292+Z292+Y292+X292+W292=12,0,IF(AD291&gt;$H$28,12-DATEDIF($H$28,AD291+1,"m"),IF(AD291&lt;$H$27,0,DATEDIF($H$27,AD291+1,"m"))))&lt;0,0,IF(Q292+R292+S292+T292+U292+V292+AB292+AC292+AA292+Z292+Y292+X292+W292=12,0,IF(AD291&gt;$H$28,12-DATEDIF($H$28,AD291+1,"m"),IF(AD291&lt;$H$27,0,DATEDIF($H$27,AD291+1,"m")))))</f>
        <v>0</v>
      </c>
      <c r="AE292" s="412">
        <f>IF(IF(Q292+R292+S292+T292+U292+V292+W292+AC292+AD292+AB292+AA292+Z292+Y292+X292=12,0,IF(AE291&gt;$H$28,12-DATEDIF($H$28,AE291+1,"m"),IF(AE291&lt;$H$27,0,DATEDIF($H$27,AE291+1,"m"))))&lt;0,0,IF(Q292+R292+S292+T292+U292+V292+W292+AC292+AD292+AB292+AA292+Z292+Y292+X292=12,0,IF(AE291&gt;$H$28,12-DATEDIF($H$28,AE291+1,"m"),IF(AE291&lt;$H$27,0,DATEDIF($H$27,AE291+1,"m")))))</f>
        <v>0</v>
      </c>
      <c r="AF292" s="412">
        <f>IF(IF(Q292+R292+S292+T292+U292+V292+W292+X292+AD292+AE292+AC292+AB292+AA292+Z292+Y292=12,0,IF(AF291&gt;$H$28,12-DATEDIF($H$28,AF291+1,"m"),IF(AF291&lt;$H$27,0,DATEDIF($H$27,AF291+1,"m"))))&lt;0,0,IF(Q292+R292+S292+T292+U292+V292+W292+X292+AD292+AE292+AC292+AB292+AA292+Z292+Y292=12,0,IF(AF291&gt;$H$28,12-DATEDIF($H$28,AF291+1,"m"),IF(AF291&lt;$H$27,0,DATEDIF($H$27,AF291+1,"m")))))</f>
        <v>0</v>
      </c>
      <c r="AG292" s="412">
        <f>IF(IF(Q292+R292+S292+T292+U292+V292+W292+X292+Y292+AE292+AF292+AD292+AC292+AB292+AA292+Z292=12,0,IF(AG291&gt;$H$28,12-DATEDIF($H$28,AG291+1,"m"),IF(AG291&lt;$H$27,0,DATEDIF($H$27,AG291+1,"m"))))&lt;0,0,IF(Q292+R292+S292+T292+U292+V292+W292+X292+Y292+AE292+AF292+AD292+AC292+AB292+AA292+Z292=12,0,IF(AG291&gt;$H$28,12-DATEDIF($H$28,AG291+1,"m"),IF(AG291&lt;$H$27,0,DATEDIF($H$27,AG291+1,"m")))))</f>
        <v>0</v>
      </c>
      <c r="AH292" s="423">
        <f>SUM(Q292:AG292)</f>
        <v>0</v>
      </c>
      <c r="AI292" s="425">
        <f t="shared" si="140"/>
        <v>0</v>
      </c>
      <c r="AJ292" s="425">
        <f t="shared" si="140"/>
        <v>0</v>
      </c>
      <c r="AK292" s="425">
        <f t="shared" si="140"/>
        <v>0</v>
      </c>
      <c r="AL292" s="425">
        <f t="shared" si="140"/>
        <v>0</v>
      </c>
      <c r="AM292" s="425">
        <f t="shared" si="140"/>
        <v>0</v>
      </c>
      <c r="AN292" s="425">
        <f t="shared" si="140"/>
        <v>0</v>
      </c>
      <c r="AO292" s="425">
        <f t="shared" si="140"/>
        <v>0</v>
      </c>
      <c r="AP292" s="425">
        <f t="shared" si="140"/>
        <v>0</v>
      </c>
      <c r="AQ292" s="425">
        <f t="shared" si="140"/>
        <v>0</v>
      </c>
      <c r="AR292" s="425">
        <f t="shared" si="140"/>
        <v>0</v>
      </c>
      <c r="AS292" s="425">
        <f t="shared" si="141"/>
        <v>0</v>
      </c>
      <c r="AT292" s="425">
        <f t="shared" si="141"/>
        <v>0</v>
      </c>
      <c r="AU292" s="425">
        <f t="shared" si="141"/>
        <v>0</v>
      </c>
      <c r="AV292" s="425">
        <f t="shared" si="141"/>
        <v>0</v>
      </c>
      <c r="AW292" s="425">
        <f t="shared" si="141"/>
        <v>0</v>
      </c>
      <c r="AX292" s="425">
        <f t="shared" si="141"/>
        <v>0</v>
      </c>
      <c r="AY292" s="425">
        <f t="shared" si="141"/>
        <v>0</v>
      </c>
      <c r="AZ292" s="425">
        <f>SUM(AI292:AY292)</f>
        <v>0</v>
      </c>
    </row>
    <row r="293" spans="15:52" ht="12.75" hidden="1" customHeight="1">
      <c r="Q293" s="412">
        <f>IF(Q292=0,0,(IF(($B$101+$C$101+$D$101+$E$101+$F$101+$G$101+$H$101)&lt;=25000,(($H$101/+$AH292)*Q292)*VLOOKUP('1. SUMMARY'!$C$20,rate,Sheet1!T$21,0),((IF(($F$101+$B$101+$C$101+$D$101+$E$101+$G$101)&gt;=25000,0,(((25000-($B$101+$C$101+$D$101+$E$101+$F$101+$G$101))/+$AH292)*Q292)*(VLOOKUP('1. SUMMARY'!$C$20,rate,Sheet1!T$21,0))))))))</f>
        <v>0</v>
      </c>
      <c r="R293" s="412">
        <f>IF(R292=0,0,(IF(($B$101+$C$101+$D$101+$E$101+$F$101+$G$101+$H$101)&lt;=25000,(($H$101/+$AH292)*R292)*VLOOKUP('1. SUMMARY'!$C$20,rate,Sheet1!U$21,0),((IF(($F$101+$B$101+$C$101+$D$101+$E$101+$G$101)&gt;=25000,0,(((25000-($B$101+$C$101+$D$101+$E$101+$F$101+$G$101))/+$AH292)*R292)*(VLOOKUP('1. SUMMARY'!$C$20,rate,Sheet1!U$21,0))))))))</f>
        <v>0</v>
      </c>
      <c r="S293" s="412">
        <f>IF(S292=0,0,(IF(($B$101+$C$101+$D$101+$E$101+$F$101+$G$101+$H$101)&lt;=25000,(($H$101/+$AH292)*S292)*VLOOKUP('1. SUMMARY'!$C$20,rate,Sheet1!V$21,0),((IF(($F$101+$B$101+$C$101+$D$101+$E$101+$G$101)&gt;=25000,0,(((25000-($B$101+$C$101+$D$101+$E$101+$F$101+$G$101))/+$AH292)*S292)*(VLOOKUP('1. SUMMARY'!$C$20,rate,Sheet1!V$21,0))))))))</f>
        <v>0</v>
      </c>
      <c r="T293" s="412">
        <f>IF(T292=0,0,(IF(($B$101+$C$101+$D$101+$E$101+$F$101+$G$101+$H$101)&lt;=25000,(($H$101/+$AH292)*T292)*VLOOKUP('1. SUMMARY'!$C$20,rate,Sheet1!W$21,0),((IF(($F$101+$B$101+$C$101+$D$101+$E$101+$G$101)&gt;=25000,0,(((25000-($B$101+$C$101+$D$101+$E$101+$F$101+$G$101))/+$AH292)*T292)*(VLOOKUP('1. SUMMARY'!$C$20,rate,Sheet1!W$21,0))))))))</f>
        <v>0</v>
      </c>
      <c r="U293" s="412">
        <f>IF(U292=0,0,(IF(($B$101+$C$101+$D$101+$E$101+$F$101+$G$101+$H$101)&lt;=25000,(($H$101/+$AH292)*U292)*VLOOKUP('1. SUMMARY'!$C$20,rate,Sheet1!X$21,0),((IF(($F$101+$B$101+$C$101+$D$101+$E$101+$G$101)&gt;=25000,0,(((25000-($B$101+$C$101+$D$101+$E$101+$F$101+$G$101))/+$AH292)*U292)*(VLOOKUP('1. SUMMARY'!$C$20,rate,Sheet1!X$21,0))))))))</f>
        <v>0</v>
      </c>
      <c r="V293" s="412">
        <f>IF(V292=0,0,(IF(($B$101+$C$101+$D$101+$E$101+$F$101+$G$101+$H$101)&lt;=25000,(($H$101/+$AH292)*V292)*VLOOKUP('1. SUMMARY'!$C$20,rate,Sheet1!Y$21,0),((IF(($F$101+$B$101+$C$101+$D$101+$E$101+$G$101)&gt;=25000,0,(((25000-($B$101+$C$101+$D$101+$E$101+$F$101+$G$101))/+$AH292)*V292)*(VLOOKUP('1. SUMMARY'!$C$20,rate,Sheet1!Y$21,0))))))))</f>
        <v>0</v>
      </c>
      <c r="W293" s="412">
        <f>IF(W292=0,0,(IF(($B$101+$C$101+$D$101+$E$101+$F$101+$G$101+$H$101)&lt;=25000,(($H$101/+$AH292)*W292)*VLOOKUP('1. SUMMARY'!$C$20,rate,Sheet1!Z$21,0),((IF(($F$101+$B$101+$C$101+$D$101+$E$101+$G$101)&gt;=25000,0,(((25000-($B$101+$C$101+$D$101+$E$101+$F$101+$G$101))/+$AH292)*W292)*(VLOOKUP('1. SUMMARY'!$C$20,rate,Sheet1!Z$21,0))))))))</f>
        <v>0</v>
      </c>
      <c r="X293" s="412">
        <f>IF(X292=0,0,(IF(($B$101+$C$101+$D$101+$E$101+$F$101+$G$101+$H$101)&lt;=25000,(($H$101/+$AH292)*X292)*VLOOKUP('1. SUMMARY'!$C$20,rate,Sheet1!AA$21,0),((IF(($F$101+$B$101+$C$101+$D$101+$E$101+$G$101)&gt;=25000,0,(((25000-($B$101+$C$101+$D$101+$E$101+$F$101+$G$101))/+$AH292)*X292)*(VLOOKUP('1. SUMMARY'!$C$20,rate,Sheet1!AA$21,0))))))))</f>
        <v>0</v>
      </c>
      <c r="Y293" s="412">
        <f>IF(Y292=0,0,(IF(($B$101+$C$101+$D$101+$E$101+$F$101+$G$101+$H$101)&lt;=25000,(($H$101/+$AH292)*Y292)*VLOOKUP('1. SUMMARY'!$C$20,rate,Sheet1!AB$21,0),((IF(($F$101+$B$101+$C$101+$D$101+$E$101+$G$101)&gt;=25000,0,(((25000-($B$101+$C$101+$D$101+$E$101+$F$101+$G$101))/+$AH292)*Y292)*(VLOOKUP('1. SUMMARY'!$C$20,rate,Sheet1!AB$21,0))))))))</f>
        <v>0</v>
      </c>
      <c r="Z293" s="412">
        <f>IF(Z292=0,0,(IF(($B$101+$C$101+$D$101+$E$101+$F$101+$G$101+$H$101)&lt;=25000,(($H$101/+$AH292)*Z292)*VLOOKUP('1. SUMMARY'!$C$20,rate,Sheet1!AC$21,0),((IF(($F$101+$B$101+$C$101+$D$101+$E$101+$G$101)&gt;=25000,0,(((25000-($B$101+$C$101+$D$101+$E$101+$F$101+$G$101))/+$AH292)*Z292)*(VLOOKUP('1. SUMMARY'!$C$20,rate,Sheet1!AC$21,0))))))))</f>
        <v>0</v>
      </c>
      <c r="AA293" s="412">
        <f>IF(AA292=0,0,(IF(($B$101+$C$101+$D$101+$E$101+$F$101+$G$101+$H$101)&lt;=25000,(($H$101/+$AH292)*AA292)*VLOOKUP('1. SUMMARY'!$C$20,rate,Sheet1!AD$21,0),((IF(($F$101+$B$101+$C$101+$D$101+$E$101+$G$101)&gt;=25000,0,(((25000-($B$101+$C$101+$D$101+$E$101+$F$101+$G$101))/+$AH292)*AA292)*(VLOOKUP('1. SUMMARY'!$C$20,rate,Sheet1!AD$21,0))))))))</f>
        <v>0</v>
      </c>
      <c r="AB293" s="412">
        <f>IF(AB292=0,0,(IF(($B$101+$C$101+$D$101+$E$101+$F$101+$G$101+$H$101)&lt;=25000,(($H$101/+$AH292)*AB292)*VLOOKUP('1. SUMMARY'!$C$20,rate,Sheet1!AE$21,0),((IF(($F$101+$B$101+$C$101+$D$101+$E$101+$G$101)&gt;=25000,0,(((25000-($B$101+$C$101+$D$101+$E$101+$F$101+$G$101))/+$AH292)*AB292)*(VLOOKUP('1. SUMMARY'!$C$20,rate,Sheet1!AE$21,0))))))))</f>
        <v>0</v>
      </c>
      <c r="AC293" s="412">
        <f>IF(AC292=0,0,(IF(($B$101+$C$101+$D$101+$E$101+$F$101+$G$101+$H$101)&lt;=25000,(($H$101/+$AH292)*AC292)*VLOOKUP('1. SUMMARY'!$C$20,rate,Sheet1!AF$21,0),((IF(($F$101+$B$101+$C$101+$D$101+$E$101+$G$101)&gt;=25000,0,(((25000-($B$101+$C$101+$D$101+$E$101+$F$101+$G$101))/+$AH292)*AC292)*(VLOOKUP('1. SUMMARY'!$C$20,rate,Sheet1!AF$21,0))))))))</f>
        <v>0</v>
      </c>
      <c r="AD293" s="412">
        <f>IF(AD292=0,0,(IF(($B$101+$C$101+$D$101+$E$101+$F$101+$G$101+$H$101)&lt;=25000,(($H$101/+$AH292)*AD292)*VLOOKUP('1. SUMMARY'!$C$20,rate,Sheet1!AG$21,0),((IF(($F$101+$B$101+$C$101+$D$101+$E$101+$G$101)&gt;=25000,0,(((25000-($B$101+$C$101+$D$101+$E$101+$F$101+$G$101))/+$AH292)*AD292)*(VLOOKUP('1. SUMMARY'!$C$20,rate,Sheet1!AG$21,0))))))))</f>
        <v>0</v>
      </c>
      <c r="AE293" s="412">
        <f>IF(AE292=0,0,(IF(($B$101+$C$101+$D$101+$E$101+$F$101+$G$101+$H$101)&lt;=25000,(($H$101/+$AH292)*AE292)*VLOOKUP('1. SUMMARY'!$C$20,rate,Sheet1!AH$21,0),((IF(($F$101+$B$101+$C$101+$D$101+$E$101+$G$101)&gt;=25000,0,(((25000-($B$101+$C$101+$D$101+$E$101+$F$101+$G$101))/+$AH292)*AE292)*(VLOOKUP('1. SUMMARY'!$C$20,rate,Sheet1!AH$21,0))))))))</f>
        <v>0</v>
      </c>
      <c r="AF293" s="412">
        <f>IF(AF292=0,0,(IF(($B$101+$C$101+$D$101+$E$101+$F$101+$G$101+$H$101)&lt;=25000,(($H$101/+$AH292)*AF292)*VLOOKUP('1. SUMMARY'!$C$20,rate,Sheet1!AI$21,0),((IF(($F$101+$B$101+$C$101+$D$101+$E$101+$G$101)&gt;=25000,0,(((25000-($B$101+$C$101+$D$101+$E$101+$F$101+$G$101))/+$AH292)*AF292)*(VLOOKUP('1. SUMMARY'!$C$20,rate,Sheet1!AI$21,0))))))))</f>
        <v>0</v>
      </c>
      <c r="AG293" s="412">
        <f>IF(AG292=0,0,(IF(($B$101+$C$101+$D$101+$E$101+$F$101+$G$101+$H$101)&lt;=25000,(($H$101/+$AH292)*AG292)*VLOOKUP('1. SUMMARY'!$C$20,rate,Sheet1!AJ$21,0),((IF(($F$101+$B$101+$C$101+$D$101+$E$101+$G$101)&gt;=25000,0,(((25000-($B$101+$C$101+$D$101+$E$101+$F$101+$G$101))/+$AH292)*AG292)*(VLOOKUP('1. SUMMARY'!$C$20,rate,Sheet1!AJ$21,0))))))))</f>
        <v>0</v>
      </c>
      <c r="AH293" s="219">
        <f>SUM(Q293:AG293)</f>
        <v>0</v>
      </c>
      <c r="AI293" s="412">
        <f>IF(AI292=0,0,((+$H101/$AZ292)*AI292)*VLOOKUP('1. SUMMARY'!$C$20,rate,Sheet1!T$21,0))</f>
        <v>0</v>
      </c>
      <c r="AJ293" s="412">
        <f>IF(AJ292=0,0,((+$H101/$AZ292)*AJ292)*VLOOKUP('1. SUMMARY'!$C$20,rate,Sheet1!U$21,0))</f>
        <v>0</v>
      </c>
      <c r="AK293" s="412">
        <f>IF(AK292=0,0,((+$H101/$AZ292)*AK292)*VLOOKUP('1. SUMMARY'!$C$20,rate,Sheet1!V$21,0))</f>
        <v>0</v>
      </c>
      <c r="AL293" s="412">
        <f>IF(AL292=0,0,((+$H101/$AZ292)*AL292)*VLOOKUP('1. SUMMARY'!$C$20,rate,Sheet1!W$21,0))</f>
        <v>0</v>
      </c>
      <c r="AM293" s="412">
        <f>IF(AM292=0,0,((+$H101/$AZ292)*AM292)*VLOOKUP('1. SUMMARY'!$C$20,rate,Sheet1!X$21,0))</f>
        <v>0</v>
      </c>
      <c r="AN293" s="412">
        <f>IF(AN292=0,0,((+$H101/$AZ292)*AN292)*VLOOKUP('1. SUMMARY'!$C$20,rate,Sheet1!Y$21,0))</f>
        <v>0</v>
      </c>
      <c r="AO293" s="412">
        <f>IF(AO292=0,0,((+$H101/$AZ292)*AO292)*VLOOKUP('1. SUMMARY'!$C$20,rate,Sheet1!Z$21,0))</f>
        <v>0</v>
      </c>
      <c r="AP293" s="412">
        <f>IF(AP292=0,0,((+$H101/$AZ292)*AP292)*VLOOKUP('1. SUMMARY'!$C$20,rate,Sheet1!AA$21,0))</f>
        <v>0</v>
      </c>
      <c r="AQ293" s="412">
        <f>IF(AQ292=0,0,((+$H101/$AZ292)*AQ292)*VLOOKUP('1. SUMMARY'!$C$20,rate,Sheet1!AB$21,0))</f>
        <v>0</v>
      </c>
      <c r="AR293" s="412">
        <f>IF(AR292=0,0,((+$H101/$AZ292)*AR292)*VLOOKUP('1. SUMMARY'!$C$20,rate,Sheet1!AC$21,0))</f>
        <v>0</v>
      </c>
      <c r="AS293" s="412">
        <f>IF(AS292=0,0,((+$H101/$AZ292)*AS292)*VLOOKUP('1. SUMMARY'!$C$20,rate,Sheet1!AD$21,0))</f>
        <v>0</v>
      </c>
      <c r="AT293" s="412">
        <f>IF(AT292=0,0,((+$H101/$AZ292)*AT292)*VLOOKUP('1. SUMMARY'!$C$20,rate,Sheet1!AE$21,0))</f>
        <v>0</v>
      </c>
      <c r="AU293" s="412">
        <f>IF(AU292=0,0,((+$H101/$AZ292)*AU292)*VLOOKUP('1. SUMMARY'!$C$20,rate,Sheet1!AF$21,0))</f>
        <v>0</v>
      </c>
      <c r="AV293" s="412">
        <f>IF(AV292=0,0,((+$H101/$AZ292)*AV292)*VLOOKUP('1. SUMMARY'!$C$20,rate,Sheet1!AG$21,0))</f>
        <v>0</v>
      </c>
      <c r="AW293" s="412">
        <f>IF(AW292=0,0,((+$H101/$AZ292)*AW292)*VLOOKUP('1. SUMMARY'!$C$20,rate,Sheet1!AH$21,0))</f>
        <v>0</v>
      </c>
      <c r="AX293" s="412">
        <f>IF(AX292=0,0,((+$H101/$AZ292)*AX292)*VLOOKUP('1. SUMMARY'!$C$20,rate,Sheet1!AI$21,0))</f>
        <v>0</v>
      </c>
      <c r="AY293" s="412">
        <f>IF(AY292=0,0,((+$H101/$AZ292)*AY292)*VLOOKUP('1. SUMMARY'!$C$20,rate,Sheet1!AJ$21,0))</f>
        <v>0</v>
      </c>
      <c r="AZ293" s="412">
        <f>SUM(AI293:AY293)</f>
        <v>0</v>
      </c>
    </row>
    <row r="294" spans="15:52" ht="12.75" hidden="1" customHeight="1">
      <c r="Q294" s="412">
        <f>+Q293/VLOOKUP('1. SUMMARY'!$C$20,rate,Sheet1!T$21,0)</f>
        <v>0</v>
      </c>
      <c r="R294" s="412">
        <f>+R293/VLOOKUP('1. SUMMARY'!$C$20,rate,Sheet1!U$21,0)</f>
        <v>0</v>
      </c>
      <c r="S294" s="412">
        <f>+S293/VLOOKUP('1. SUMMARY'!$C$20,rate,Sheet1!V$21,0)</f>
        <v>0</v>
      </c>
      <c r="T294" s="412">
        <f>+T293/VLOOKUP('1. SUMMARY'!$C$20,rate,Sheet1!W$21,0)</f>
        <v>0</v>
      </c>
      <c r="U294" s="412">
        <f>+U293/VLOOKUP('1. SUMMARY'!$C$20,rate,Sheet1!X$21,0)</f>
        <v>0</v>
      </c>
      <c r="V294" s="412">
        <f>+V293/VLOOKUP('1. SUMMARY'!$C$20,rate,Sheet1!Y$21,0)</f>
        <v>0</v>
      </c>
      <c r="W294" s="412">
        <f>+W293/VLOOKUP('1. SUMMARY'!$C$20,rate,Sheet1!Z$21,0)</f>
        <v>0</v>
      </c>
      <c r="X294" s="412">
        <f>+X293/VLOOKUP('1. SUMMARY'!$C$20,rate,Sheet1!AA$21,0)</f>
        <v>0</v>
      </c>
      <c r="Y294" s="412">
        <f>+Y293/VLOOKUP('1. SUMMARY'!$C$20,rate,Sheet1!AB$21,0)</f>
        <v>0</v>
      </c>
      <c r="Z294" s="412">
        <f>+Z293/VLOOKUP('1. SUMMARY'!$C$20,rate,Sheet1!AC$21,0)</f>
        <v>0</v>
      </c>
      <c r="AA294" s="412">
        <f>+AA293/VLOOKUP('1. SUMMARY'!$C$20,rate,Sheet1!AD$21,0)</f>
        <v>0</v>
      </c>
      <c r="AB294" s="412">
        <f>+AB293/VLOOKUP('1. SUMMARY'!$C$20,rate,Sheet1!AE$21,0)</f>
        <v>0</v>
      </c>
      <c r="AC294" s="412">
        <f>+AC293/VLOOKUP('1. SUMMARY'!$C$20,rate,Sheet1!AF$21,0)</f>
        <v>0</v>
      </c>
      <c r="AD294" s="412">
        <f>+AD293/VLOOKUP('1. SUMMARY'!$C$20,rate,Sheet1!AG$21,0)</f>
        <v>0</v>
      </c>
      <c r="AE294" s="412">
        <f>+AE293/VLOOKUP('1. SUMMARY'!$C$20,rate,Sheet1!AH$21,0)</f>
        <v>0</v>
      </c>
      <c r="AF294" s="412">
        <f>+AF293/VLOOKUP('1. SUMMARY'!$C$20,rate,Sheet1!AI$21,0)</f>
        <v>0</v>
      </c>
      <c r="AG294" s="412">
        <f>+AG293/VLOOKUP('1. SUMMARY'!$C$20,rate,Sheet1!AJ$21,0)</f>
        <v>0</v>
      </c>
      <c r="AH294" s="219"/>
      <c r="AI294" s="412"/>
      <c r="AJ294" s="412"/>
      <c r="AK294" s="412"/>
      <c r="AL294" s="412"/>
      <c r="AM294" s="412"/>
      <c r="AN294" s="412"/>
      <c r="AO294" s="412"/>
      <c r="AP294" s="412"/>
      <c r="AQ294" s="412"/>
      <c r="AR294" s="412"/>
      <c r="AS294" s="412"/>
      <c r="AT294" s="412"/>
      <c r="AU294" s="412"/>
      <c r="AV294" s="412"/>
      <c r="AW294" s="412"/>
      <c r="AX294" s="412"/>
      <c r="AY294" s="412"/>
      <c r="AZ294" s="412"/>
    </row>
    <row r="295" spans="15:52" ht="12.75" hidden="1" customHeight="1">
      <c r="Q295" s="418">
        <f>Sheet1!$T$8</f>
        <v>44105</v>
      </c>
      <c r="R295" s="418">
        <f>Sheet1!$U$8</f>
        <v>44470</v>
      </c>
      <c r="S295" s="418">
        <f>Sheet1!$V$8</f>
        <v>44835</v>
      </c>
      <c r="T295" s="418">
        <f>Sheet1!$W$8</f>
        <v>45200</v>
      </c>
      <c r="U295" s="418">
        <f>Sheet1!$X$8</f>
        <v>45566</v>
      </c>
      <c r="V295" s="418">
        <f>Sheet1!$Y$8</f>
        <v>45931</v>
      </c>
      <c r="W295" s="418">
        <f>Sheet1!$Z$8</f>
        <v>46296</v>
      </c>
      <c r="X295" s="418">
        <f>Sheet1!$AA$8</f>
        <v>46661</v>
      </c>
      <c r="Y295" s="418">
        <f>Sheet1!$AB$8</f>
        <v>47027</v>
      </c>
      <c r="Z295" s="418">
        <f>Sheet1!$AC$8</f>
        <v>47392</v>
      </c>
      <c r="AA295" s="418">
        <f>$AA$5</f>
        <v>47757</v>
      </c>
      <c r="AB295" s="418">
        <f>$AB$5</f>
        <v>48122</v>
      </c>
      <c r="AC295" s="418">
        <f>$AC$5</f>
        <v>48488</v>
      </c>
      <c r="AD295" s="418">
        <f>$AD$5</f>
        <v>48853</v>
      </c>
      <c r="AE295" s="418">
        <f>$AE$5</f>
        <v>49218</v>
      </c>
      <c r="AF295" s="418">
        <f>$AF$5</f>
        <v>49583</v>
      </c>
      <c r="AG295" s="418">
        <f>$AG$5</f>
        <v>49949</v>
      </c>
      <c r="AH295" s="219"/>
      <c r="AI295" s="418">
        <f t="shared" ref="AI295:AR297" si="142">+Q295</f>
        <v>44105</v>
      </c>
      <c r="AJ295" s="418">
        <f t="shared" si="142"/>
        <v>44470</v>
      </c>
      <c r="AK295" s="418">
        <f t="shared" si="142"/>
        <v>44835</v>
      </c>
      <c r="AL295" s="418">
        <f t="shared" si="142"/>
        <v>45200</v>
      </c>
      <c r="AM295" s="418">
        <f t="shared" si="142"/>
        <v>45566</v>
      </c>
      <c r="AN295" s="418">
        <f t="shared" si="142"/>
        <v>45931</v>
      </c>
      <c r="AO295" s="418">
        <f t="shared" si="142"/>
        <v>46296</v>
      </c>
      <c r="AP295" s="418">
        <f t="shared" si="142"/>
        <v>46661</v>
      </c>
      <c r="AQ295" s="418">
        <f t="shared" si="142"/>
        <v>47027</v>
      </c>
      <c r="AR295" s="418">
        <f t="shared" si="142"/>
        <v>47392</v>
      </c>
      <c r="AS295" s="418">
        <f t="shared" ref="AS295:AY297" si="143">+AA295</f>
        <v>47757</v>
      </c>
      <c r="AT295" s="418">
        <f t="shared" si="143"/>
        <v>48122</v>
      </c>
      <c r="AU295" s="418">
        <f t="shared" si="143"/>
        <v>48488</v>
      </c>
      <c r="AV295" s="418">
        <f t="shared" si="143"/>
        <v>48853</v>
      </c>
      <c r="AW295" s="418">
        <f t="shared" si="143"/>
        <v>49218</v>
      </c>
      <c r="AX295" s="418">
        <f t="shared" si="143"/>
        <v>49583</v>
      </c>
      <c r="AY295" s="418">
        <f t="shared" si="143"/>
        <v>49949</v>
      </c>
      <c r="AZ295" s="418"/>
    </row>
    <row r="296" spans="15:52" ht="12.75" hidden="1" customHeight="1">
      <c r="Q296" s="418">
        <f>Sheet1!$T$9</f>
        <v>44469</v>
      </c>
      <c r="R296" s="418">
        <f>Sheet1!$U$9</f>
        <v>44834</v>
      </c>
      <c r="S296" s="418">
        <f>Sheet1!$V$9</f>
        <v>45199</v>
      </c>
      <c r="T296" s="418">
        <f>Sheet1!$W$9</f>
        <v>45565</v>
      </c>
      <c r="U296" s="418">
        <f>Sheet1!$X$9</f>
        <v>45930</v>
      </c>
      <c r="V296" s="418">
        <f>Sheet1!$Y$9</f>
        <v>46295</v>
      </c>
      <c r="W296" s="418">
        <f>Sheet1!$Z$9</f>
        <v>46660</v>
      </c>
      <c r="X296" s="418">
        <f>Sheet1!$AA$9</f>
        <v>47026</v>
      </c>
      <c r="Y296" s="418">
        <f>Sheet1!$AB$9</f>
        <v>47391</v>
      </c>
      <c r="Z296" s="418">
        <f>Sheet1!$AC$9</f>
        <v>47756</v>
      </c>
      <c r="AA296" s="418">
        <f>$AA$6</f>
        <v>48121</v>
      </c>
      <c r="AB296" s="418">
        <f>$AB$6</f>
        <v>48487</v>
      </c>
      <c r="AC296" s="418">
        <f>$AC$6</f>
        <v>48852</v>
      </c>
      <c r="AD296" s="418">
        <f>$AD$6</f>
        <v>49217</v>
      </c>
      <c r="AE296" s="418">
        <f>$AE$6</f>
        <v>49582</v>
      </c>
      <c r="AF296" s="418">
        <f>$AF$6</f>
        <v>49948</v>
      </c>
      <c r="AG296" s="418">
        <f>$AG$6</f>
        <v>50313</v>
      </c>
      <c r="AH296" s="219"/>
      <c r="AI296" s="418">
        <f t="shared" si="142"/>
        <v>44469</v>
      </c>
      <c r="AJ296" s="418">
        <f t="shared" si="142"/>
        <v>44834</v>
      </c>
      <c r="AK296" s="418">
        <f t="shared" si="142"/>
        <v>45199</v>
      </c>
      <c r="AL296" s="418">
        <f t="shared" si="142"/>
        <v>45565</v>
      </c>
      <c r="AM296" s="418">
        <f t="shared" si="142"/>
        <v>45930</v>
      </c>
      <c r="AN296" s="418">
        <f t="shared" si="142"/>
        <v>46295</v>
      </c>
      <c r="AO296" s="418">
        <f t="shared" si="142"/>
        <v>46660</v>
      </c>
      <c r="AP296" s="418">
        <f t="shared" si="142"/>
        <v>47026</v>
      </c>
      <c r="AQ296" s="418">
        <f t="shared" si="142"/>
        <v>47391</v>
      </c>
      <c r="AR296" s="418">
        <f t="shared" si="142"/>
        <v>47756</v>
      </c>
      <c r="AS296" s="418">
        <f t="shared" si="143"/>
        <v>48121</v>
      </c>
      <c r="AT296" s="418">
        <f t="shared" si="143"/>
        <v>48487</v>
      </c>
      <c r="AU296" s="418">
        <f t="shared" si="143"/>
        <v>48852</v>
      </c>
      <c r="AV296" s="418">
        <f t="shared" si="143"/>
        <v>49217</v>
      </c>
      <c r="AW296" s="418">
        <f t="shared" si="143"/>
        <v>49582</v>
      </c>
      <c r="AX296" s="418">
        <f t="shared" si="143"/>
        <v>49948</v>
      </c>
      <c r="AY296" s="418">
        <f t="shared" si="143"/>
        <v>50313</v>
      </c>
      <c r="AZ296" s="418"/>
    </row>
    <row r="297" spans="15:52" ht="12.75" hidden="1" customHeight="1">
      <c r="O297" s="207" t="s">
        <v>235</v>
      </c>
      <c r="Q297" s="419">
        <f>IF(IF(Q296&lt;$I$27,0,DATEDIF($I$27,Q296+1,"m"))&lt;0,0,IF(Q296&lt;$I$27,0,DATEDIF($I$27,Q296+1,"m")))</f>
        <v>0</v>
      </c>
      <c r="R297" s="419">
        <f>IF(IF(Q297=12,0,IF(R296&gt;$I$28,12-DATEDIF($I$28,R296+1,"m"),IF(R296&lt;$I$27,0,DATEDIF($I$27,R296+1,"m"))))&lt;0,0,IF(Q297=12,0,IF(R296&gt;$I$28,12-DATEDIF($I$28,R296+1,"m"),IF(R296&lt;$I$27,0,DATEDIF($I$27,R296+1,"m")))))</f>
        <v>0</v>
      </c>
      <c r="S297" s="419">
        <f>IF(IF(Q297+R297=12,0,IF(S296&gt;$I$28,12-DATEDIF($I$28,S296+1,"m"),IF(S296&lt;$I$27,0,DATEDIF($I$27,S296+1,"m"))))&lt;0,0,IF(Q297+R297=12,0,IF(S296&gt;$I$28,12-DATEDIF($I$28,S296+1,"m"),IF(S296&lt;$I$27,0,DATEDIF($I$27,S296+1,"m")))))</f>
        <v>0</v>
      </c>
      <c r="T297" s="419">
        <f>IF(IF(R297+S297+Q297=12,0,IF(T296&gt;$I$28,12-DATEDIF($I$28,T296+1,"m"),IF(T296&lt;$I$27,0,DATEDIF($I$27,T296+1,"m"))))&lt;0,0,IF(R297+S297+Q297=12,0,IF(T296&gt;$I$28,12-DATEDIF($I$28,T296+1,"m"),IF(T296&lt;$I$27,0,DATEDIF($I$27,T296+1,"m")))))</f>
        <v>0</v>
      </c>
      <c r="U297" s="419">
        <f>IF(IF(S297+T297+R297+Q297=12,0,IF(U296&gt;$I$28,12-DATEDIF($I$28,U296+1,"m"),IF(U296&lt;$I$27,0,DATEDIF($I$27,U296+1,"m"))))&lt;0,0,IF(S297+T297+R297+Q297=12,0,IF(U296&gt;$I$28,12-DATEDIF($I$28,U296+1,"m"),IF(U296&lt;$I$27,0,DATEDIF($I$27,U296+1,"m")))))</f>
        <v>0</v>
      </c>
      <c r="V297" s="419">
        <f>IF(IF(T297+U297+S297+R297+Q297=12,0,IF(V296&gt;$I$28,12-DATEDIF($I$28,V296+1,"m"),IF(V296&lt;$I$27,0,DATEDIF($I$27,V296+1,"m"))))&lt;0,0,IF(T297+U297+S297+R297+Q297=12,0,IF(V296&gt;$I$28,12-DATEDIF($I$28,V296+1,"m"),IF(V296&lt;$I$27,0,DATEDIF($I$27,V296+1,"m")))))</f>
        <v>0</v>
      </c>
      <c r="W297" s="419">
        <f>IF(IF(U297+V297+T297+S297+R297+Q297=12,0,IF(W296&gt;$I$28,12-DATEDIF($I$28,W296+1,"m"),IF(W296&lt;$I$27,0,DATEDIF($I$27,W296+1,"m"))))&lt;0,0,IF(U297+V297+T297+S297+R297+Q297=12,0,IF(W296&gt;$I$28,12-DATEDIF($I$28,W296+1,"m"),IF(W296&lt;$I$27,0,DATEDIF($I$27,W296+1,"m")))))</f>
        <v>0</v>
      </c>
      <c r="X297" s="419">
        <f>IF(IF(V297+W297+U297+T297+S297+R297+Q297=12,0,IF(X296&gt;$I$28,12-DATEDIF($I$28,X296+1,"m"),IF(X296&lt;$I$27,0,DATEDIF($I$27,X296+1,"m"))))&lt;0,0,IF(V297+W297+U297+T297+S297+R297+Q297=12,0,IF(X296&gt;$I$28,12-DATEDIF($I$28,X296+1,"m"),IF(X296&lt;$I$27,0,DATEDIF($I$27,X296+1,"m")))))</f>
        <v>0</v>
      </c>
      <c r="Y297" s="419">
        <f>IF(IF(W297+X297+V297+U297+T297+S297+R297+Q297=12,0,IF(Y296&gt;$I$28,12-DATEDIF($I$28,Y296+1,"m"),IF(Y296&lt;$I$27,0,DATEDIF($I$27,Y296+1,"m"))))&lt;0,0,IF(W297+X297+V297+U297+T297+S297+R297+Q297=12,0,IF(Y296&gt;$I$28,12-DATEDIF($I$28,Y296+1,"m"),IF(Y296&lt;$I$27,0,DATEDIF($I$27,Y296+1,"m")))))</f>
        <v>0</v>
      </c>
      <c r="Z297" s="419">
        <f>IF(IF(X297+Y297+W297+V297+U297+T297+S297+R297+Q297=12,0,IF(Z296&gt;$I$28,12-DATEDIF($I$28,Z296+1,"m"),IF(Z296&lt;$I$27,0,DATEDIF($I$27,Z296+1,"m"))))&lt;0,0,IF(X297+Y297+W297+V297+U297+T297+S297+R297+Q297=12,0,IF(Z296&gt;$I$28,12-DATEDIF($I$28,Z296+1,"m"),IF(Z296&lt;$I$27,0,DATEDIF($I$27,Z296+1,"m")))))</f>
        <v>0</v>
      </c>
      <c r="AA297" s="419">
        <f>IF(IF(Q297+R297+S297+Y297+Z297+X297+W297+V297+U297+T297=12,0,IF(AA296&gt;$I$28,12-DATEDIF($I$28,AA296+1,"m"),IF(AA296&lt;$I$27,0,DATEDIF($I$27,AA296+1,"m"))))&lt;0,0,IF(Q297+R297+S297+Y297+Z297+X297+W297+V297+U297+T297=12,0,IF(AA296&gt;$I$28,12-DATEDIF($I$28,AA296+1,"m"),IF(AA296&lt;$I$27,0,DATEDIF($I$27,AA296+1,"m")))))</f>
        <v>0</v>
      </c>
      <c r="AB297" s="419">
        <f>IF(IF(Q297+R297+S297+T297+Z297+AA297+Y297+X297+W297+V297+U297=12,0,IF(AB296&gt;$I$28,12-DATEDIF($I$28,AB296+1,"m"),IF(AB296&lt;$I$27,0,DATEDIF($I$27,AB296+1,"m"))))&lt;0,0,IF(Q297+R297+S297+T297+Z297+AA297+Y297+X297+W297+V297+U297=12,0,IF(AB296&gt;$I$28,12-DATEDIF($I$28,AB296+1,"m"),IF(AB296&lt;$I$27,0,DATEDIF($I$27,AB296+1,"m")))))</f>
        <v>0</v>
      </c>
      <c r="AC297" s="419">
        <f>IF(IF(Q297+R297+S297+T297+U297+AA297+AB297+Z297+Y297+X297+W297+V297=12,0,IF(AC296&gt;$I$28,12-DATEDIF($I$28,AC296+1,"m"),IF(AC296&lt;$I$27,0,DATEDIF($I$27,AC296+1,"m"))))&lt;0,0,IF(Q297+R297+S297+T297+U297+AA297+AB297+Z297+Y297+X297+W297+V297=12,0,IF(AC296&gt;$I$28,12-DATEDIF($I$28,AC296+1,"m"),IF(AC296&lt;$I$27,0,DATEDIF($I$27,AC296+1,"m")))))</f>
        <v>0</v>
      </c>
      <c r="AD297" s="419">
        <f>IF(IF(Q297+R297+S297+T297+U297+V297+AB297+AC297+AA297+Z297+Y297+X297+W297=12,0,IF(AD296&gt;$I$28,12-DATEDIF($I$28,AD296+1,"m"),IF(AD296&lt;$I$27,0,DATEDIF($I$27,AD296+1,"m"))))&lt;0,0,IF(Q297+R297+S297+T297+U297+V297+AB297+AC297+AA297+Z297+Y297+X297+W297=12,0,IF(AD296&gt;$I$28,12-DATEDIF($I$28,AD296+1,"m"),IF(AD296&lt;$I$27,0,DATEDIF($I$27,AD296+1,"m")))))</f>
        <v>0</v>
      </c>
      <c r="AE297" s="419">
        <f>IF(IF(Q297+R297+S297+T297+U297+V297+W297+AC297+AD297+AB297+AA297+Z297+Y297+X297=12,0,IF(AE296&gt;$I$28,12-DATEDIF($I$28,AE296+1,"m"),IF(AE296&lt;$I$27,0,DATEDIF($I$27,AE296+1,"m"))))&lt;0,0,IF(Q297+R297+S297+T297+U297+V297+W297+AC297+AD297+AB297+AA297+Z297+Y297+X297=12,0,IF(AE296&gt;$I$28,12-DATEDIF($I$28,AE296+1,"m"),IF(AE296&lt;$I$27,0,DATEDIF($I$27,AE296+1,"m")))))</f>
        <v>0</v>
      </c>
      <c r="AF297" s="419">
        <f>IF(IF(Q297+R297+S297+T297+U297+V297+W297+X297+AD297+AE297+AC297+AB297+AA297+Z297+Y297=12,0,IF(AF296&gt;$I$28,12-DATEDIF($I$28,AF296+1,"m"),IF(AF296&lt;$I$27,0,DATEDIF($I$27,AF296+1,"m"))))&lt;0,0,IF(Q297+R297+S297+T297+U297+V297+W297+X297+AD297+AE297+AC297+AB297+AA297+Z297+Y297=12,0,IF(AF296&gt;$I$28,12-DATEDIF($I$28,AF296+1,"m"),IF(AF296&lt;$I$27,0,DATEDIF($I$27,AF296+1,"m")))))</f>
        <v>0</v>
      </c>
      <c r="AG297" s="419">
        <f>IF(IF(Q297+R297+S297+T297+U297+V297+W297+X297+Y297+AE297+AF297+AD297+AC297+AB297+AA297+Z297=12,0,IF(AG296&gt;$I$28,12-DATEDIF($I$28,AG296+1,"m"),IF(AG296&lt;$I$27,0,DATEDIF($I$27,AG296+1,"m"))))&lt;0,0,IF(Q297+R297+S297+T297+U297+V297+W297+X297+Y297+AE297+AF297+AD297+AC297+AB297+AA297+Z297=12,0,IF(AG296&gt;$I$28,12-DATEDIF($I$28,AG296+1,"m"),IF(AG296&lt;$I$27,0,DATEDIF($I$27,AG296+1,"m")))))</f>
        <v>0</v>
      </c>
      <c r="AH297" s="423">
        <f>SUM(Q297:AG297)</f>
        <v>0</v>
      </c>
      <c r="AI297" s="426">
        <f t="shared" si="142"/>
        <v>0</v>
      </c>
      <c r="AJ297" s="426">
        <f t="shared" si="142"/>
        <v>0</v>
      </c>
      <c r="AK297" s="426">
        <f t="shared" si="142"/>
        <v>0</v>
      </c>
      <c r="AL297" s="426">
        <f t="shared" si="142"/>
        <v>0</v>
      </c>
      <c r="AM297" s="426">
        <f t="shared" si="142"/>
        <v>0</v>
      </c>
      <c r="AN297" s="426">
        <f t="shared" si="142"/>
        <v>0</v>
      </c>
      <c r="AO297" s="426">
        <f t="shared" si="142"/>
        <v>0</v>
      </c>
      <c r="AP297" s="426">
        <f t="shared" si="142"/>
        <v>0</v>
      </c>
      <c r="AQ297" s="426">
        <f t="shared" si="142"/>
        <v>0</v>
      </c>
      <c r="AR297" s="426">
        <f t="shared" si="142"/>
        <v>0</v>
      </c>
      <c r="AS297" s="426">
        <f t="shared" si="143"/>
        <v>0</v>
      </c>
      <c r="AT297" s="426">
        <f t="shared" si="143"/>
        <v>0</v>
      </c>
      <c r="AU297" s="426">
        <f t="shared" si="143"/>
        <v>0</v>
      </c>
      <c r="AV297" s="426">
        <f t="shared" si="143"/>
        <v>0</v>
      </c>
      <c r="AW297" s="426">
        <f t="shared" si="143"/>
        <v>0</v>
      </c>
      <c r="AX297" s="426">
        <f t="shared" si="143"/>
        <v>0</v>
      </c>
      <c r="AY297" s="426">
        <f t="shared" si="143"/>
        <v>0</v>
      </c>
      <c r="AZ297" s="426">
        <f>SUM(AI297:AY297)</f>
        <v>0</v>
      </c>
    </row>
    <row r="298" spans="15:52" ht="12.75" hidden="1" customHeight="1">
      <c r="Q298" s="419">
        <f>IF(Q297=0,0,(IF(($B$101+$C$101+$D$101+$E$101+$F$101+$G$101+$H$101+$I$101)&lt;=25000,(($I$101/+$AH297)*Q297)*VLOOKUP('1. SUMMARY'!$C$20,rate,Sheet1!T$21,0),((IF(($F$101+$B$101+$C$101+$D$101+$E$101+$G$101+$H$101)&gt;=25000,0,(((25000-($B$101+$C$101+$D$101+$E$101+$F$101+$G$101+$H$101))/+$AH297)*Q297)*(VLOOKUP('1. SUMMARY'!$C$20,rate,Sheet1!T$21,0))))))))</f>
        <v>0</v>
      </c>
      <c r="R298" s="419">
        <f>IF(R297=0,0,(IF(($B$101+$C$101+$D$101+$E$101+$F$101+$G$101+$H$101+$I$101)&lt;=25000,(($I$101/+$AH297)*R297)*VLOOKUP('1. SUMMARY'!$C$20,rate,Sheet1!U$21,0),((IF(($F$101+$B$101+$C$101+$D$101+$E$101+$G$101+$H$101)&gt;=25000,0,(((25000-($B$101+$C$101+$D$101+$E$101+$F$101+$G$101+$H$101))/+$AH297)*R297)*(VLOOKUP('1. SUMMARY'!$C$20,rate,Sheet1!U$21,0))))))))</f>
        <v>0</v>
      </c>
      <c r="S298" s="419">
        <f>IF(S297=0,0,(IF(($B$101+$C$101+$D$101+$E$101+$F$101+$G$101+$H$101+$I$101)&lt;=25000,(($I$101/+$AH297)*S297)*VLOOKUP('1. SUMMARY'!$C$20,rate,Sheet1!V$21,0),((IF(($F$101+$B$101+$C$101+$D$101+$E$101+$G$101+$H$101)&gt;=25000,0,(((25000-($B$101+$C$101+$D$101+$E$101+$F$101+$G$101+$H$101))/+$AH297)*S297)*(VLOOKUP('1. SUMMARY'!$C$20,rate,Sheet1!V$21,0))))))))</f>
        <v>0</v>
      </c>
      <c r="T298" s="419">
        <f>IF(T297=0,0,(IF(($B$101+$C$101+$D$101+$E$101+$F$101+$G$101+$H$101+$I$101)&lt;=25000,(($I$101/+$AH297)*T297)*VLOOKUP('1. SUMMARY'!$C$20,rate,Sheet1!W$21,0),((IF(($F$101+$B$101+$C$101+$D$101+$E$101+$G$101+$H$101)&gt;=25000,0,(((25000-($B$101+$C$101+$D$101+$E$101+$F$101+$G$101+$H$101))/+$AH297)*T297)*(VLOOKUP('1. SUMMARY'!$C$20,rate,Sheet1!W$21,0))))))))</f>
        <v>0</v>
      </c>
      <c r="U298" s="419">
        <f>IF(U297=0,0,(IF(($B$101+$C$101+$D$101+$E$101+$F$101+$G$101+$H$101+$I$101)&lt;=25000,(($I$101/+$AH297)*U297)*VLOOKUP('1. SUMMARY'!$C$20,rate,Sheet1!X$21,0),((IF(($F$101+$B$101+$C$101+$D$101+$E$101+$G$101+$H$101)&gt;=25000,0,(((25000-($B$101+$C$101+$D$101+$E$101+$F$101+$G$101+$H$101))/+$AH297)*U297)*(VLOOKUP('1. SUMMARY'!$C$20,rate,Sheet1!X$21,0))))))))</f>
        <v>0</v>
      </c>
      <c r="V298" s="419">
        <f>IF(V297=0,0,(IF(($B$101+$C$101+$D$101+$E$101+$F$101+$G$101+$H$101+$I$101)&lt;=25000,(($I$101/+$AH297)*V297)*VLOOKUP('1. SUMMARY'!$C$20,rate,Sheet1!Y$21,0),((IF(($F$101+$B$101+$C$101+$D$101+$E$101+$G$101+$H$101)&gt;=25000,0,(((25000-($B$101+$C$101+$D$101+$E$101+$F$101+$G$101+$H$101))/+$AH297)*V297)*(VLOOKUP('1. SUMMARY'!$C$20,rate,Sheet1!Y$21,0))))))))</f>
        <v>0</v>
      </c>
      <c r="W298" s="419">
        <f>IF(W297=0,0,(IF(($B$101+$C$101+$D$101+$E$101+$F$101+$G$101+$H$101+$I$101)&lt;=25000,(($I$101/+$AH297)*W297)*VLOOKUP('1. SUMMARY'!$C$20,rate,Sheet1!Z$21,0),((IF(($F$101+$B$101+$C$101+$D$101+$E$101+$G$101+$H$101)&gt;=25000,0,(((25000-($B$101+$C$101+$D$101+$E$101+$F$101+$G$101+$H$101))/+$AH297)*W297)*(VLOOKUP('1. SUMMARY'!$C$20,rate,Sheet1!Z$21,0))))))))</f>
        <v>0</v>
      </c>
      <c r="X298" s="419">
        <f>IF(X297=0,0,(IF(($B$101+$C$101+$D$101+$E$101+$F$101+$G$101+$H$101+$I$101)&lt;=25000,(($I$101/+$AH297)*X297)*VLOOKUP('1. SUMMARY'!$C$20,rate,Sheet1!AA$21,0),((IF(($F$101+$B$101+$C$101+$D$101+$E$101+$G$101+$H$101)&gt;=25000,0,(((25000-($B$101+$C$101+$D$101+$E$101+$F$101+$G$101+$H$101))/+$AH297)*X297)*(VLOOKUP('1. SUMMARY'!$C$20,rate,Sheet1!AA$21,0))))))))</f>
        <v>0</v>
      </c>
      <c r="Y298" s="419">
        <f>IF(Y297=0,0,(IF(($B$101+$C$101+$D$101+$E$101+$F$101+$G$101+$H$101+$I$101)&lt;=25000,(($I$101/+$AH297)*Y297)*VLOOKUP('1. SUMMARY'!$C$20,rate,Sheet1!AB$21,0),((IF(($F$101+$B$101+$C$101+$D$101+$E$101+$G$101+$H$101)&gt;=25000,0,(((25000-($B$101+$C$101+$D$101+$E$101+$F$101+$G$101+$H$101))/+$AH297)*Y297)*(VLOOKUP('1. SUMMARY'!$C$20,rate,Sheet1!AB$21,0))))))))</f>
        <v>0</v>
      </c>
      <c r="Z298" s="419">
        <f>IF(Z297=0,0,(IF(($B$101+$C$101+$D$101+$E$101+$F$101+$G$101+$H$101+$I$101)&lt;=25000,(($I$101/+$AH297)*Z297)*VLOOKUP('1. SUMMARY'!$C$20,rate,Sheet1!AC$21,0),((IF(($F$101+$B$101+$C$101+$D$101+$E$101+$G$101+$H$101)&gt;=25000,0,(((25000-($B$101+$C$101+$D$101+$E$101+$F$101+$G$101+$H$101))/+$AH297)*Z297)*(VLOOKUP('1. SUMMARY'!$C$20,rate,Sheet1!AC$21,0))))))))</f>
        <v>0</v>
      </c>
      <c r="AA298" s="419">
        <f>IF(AA297=0,0,(IF(($B$101+$C$101+$D$101+$E$101+$F$101+$G$101+$H$101+$I$101)&lt;=25000,(($I$101/+$AH297)*AA297)*VLOOKUP('1. SUMMARY'!$C$20,rate,Sheet1!AD$21,0),((IF(($F$101+$B$101+$C$101+$D$101+$E$101+$G$101+$H$101)&gt;=25000,0,(((25000-($B$101+$C$101+$D$101+$E$101+$F$101+$G$101+$H$101))/+$AH297)*AA297)*(VLOOKUP('1. SUMMARY'!$C$20,rate,Sheet1!AD$21,0))))))))</f>
        <v>0</v>
      </c>
      <c r="AB298" s="419">
        <f>IF(AB297=0,0,(IF(($B$101+$C$101+$D$101+$E$101+$F$101+$G$101+$H$101+$I$101)&lt;=25000,(($I$101/+$AH297)*AB297)*VLOOKUP('1. SUMMARY'!$C$20,rate,Sheet1!AE$21,0),((IF(($F$101+$B$101+$C$101+$D$101+$E$101+$G$101+$H$101)&gt;=25000,0,(((25000-($B$101+$C$101+$D$101+$E$101+$F$101+$G$101+$H$101))/+$AH297)*AB297)*(VLOOKUP('1. SUMMARY'!$C$20,rate,Sheet1!AE$21,0))))))))</f>
        <v>0</v>
      </c>
      <c r="AC298" s="419">
        <f>IF(AC297=0,0,(IF(($B$101+$C$101+$D$101+$E$101+$F$101+$G$101+$H$101+$I$101)&lt;=25000,(($I$101/+$AH297)*AC297)*VLOOKUP('1. SUMMARY'!$C$20,rate,Sheet1!AF$21,0),((IF(($F$101+$B$101+$C$101+$D$101+$E$101+$G$101+$H$101)&gt;=25000,0,(((25000-($B$101+$C$101+$D$101+$E$101+$F$101+$G$101+$H$101))/+$AH297)*AC297)*(VLOOKUP('1. SUMMARY'!$C$20,rate,Sheet1!AF$21,0))))))))</f>
        <v>0</v>
      </c>
      <c r="AD298" s="419">
        <f>IF(AD297=0,0,(IF(($B$101+$C$101+$D$101+$E$101+$F$101+$G$101+$H$101+$I$101)&lt;=25000,(($I$101/+$AH297)*AD297)*VLOOKUP('1. SUMMARY'!$C$20,rate,Sheet1!AG$21,0),((IF(($F$101+$B$101+$C$101+$D$101+$E$101+$G$101+$H$101)&gt;=25000,0,(((25000-($B$101+$C$101+$D$101+$E$101+$F$101+$G$101+$H$101))/+$AH297)*AD297)*(VLOOKUP('1. SUMMARY'!$C$20,rate,Sheet1!AG$21,0))))))))</f>
        <v>0</v>
      </c>
      <c r="AE298" s="419">
        <f>IF(AE297=0,0,(IF(($B$101+$C$101+$D$101+$E$101+$F$101+$G$101+$H$101+$I$101)&lt;=25000,(($I$101/+$AH297)*AE297)*VLOOKUP('1. SUMMARY'!$C$20,rate,Sheet1!AH$21,0),((IF(($F$101+$B$101+$C$101+$D$101+$E$101+$G$101+$H$101)&gt;=25000,0,(((25000-($B$101+$C$101+$D$101+$E$101+$F$101+$G$101+$H$101))/+$AH297)*AE297)*(VLOOKUP('1. SUMMARY'!$C$20,rate,Sheet1!AH$21,0))))))))</f>
        <v>0</v>
      </c>
      <c r="AF298" s="419">
        <f>IF(AF297=0,0,(IF(($B$101+$C$101+$D$101+$E$101+$F$101+$G$101+$H$101+$I$101)&lt;=25000,(($I$101/+$AH297)*AF297)*VLOOKUP('1. SUMMARY'!$C$20,rate,Sheet1!AI$21,0),((IF(($F$101+$B$101+$C$101+$D$101+$E$101+$G$101+$H$101)&gt;=25000,0,(((25000-($B$101+$C$101+$D$101+$E$101+$F$101+$G$101+$H$101))/+$AH297)*AF297)*(VLOOKUP('1. SUMMARY'!$C$20,rate,Sheet1!AI$21,0))))))))</f>
        <v>0</v>
      </c>
      <c r="AG298" s="419">
        <f>IF(AG297=0,0,(IF(($B$101+$C$101+$D$101+$E$101+$F$101+$G$101+$H$101+$I$101)&lt;=25000,(($I$101/+$AH297)*AG297)*VLOOKUP('1. SUMMARY'!$C$20,rate,Sheet1!AJ$21,0),((IF(($F$101+$B$101+$C$101+$D$101+$E$101+$G$101+$H$101)&gt;=25000,0,(((25000-($B$101+$C$101+$D$101+$E$101+$F$101+$G$101+$H$101))/+$AH297)*AG297)*(VLOOKUP('1. SUMMARY'!$C$20,rate,Sheet1!AJ$21,0))))))))</f>
        <v>0</v>
      </c>
      <c r="AH298" s="219">
        <f>SUM(Q298:AG298)</f>
        <v>0</v>
      </c>
      <c r="AI298" s="419">
        <f>IF(AI297=0,0,((+$I101/$AZ297)*AI297)*VLOOKUP('1. SUMMARY'!$C$20,rate,Sheet1!T$21,0))</f>
        <v>0</v>
      </c>
      <c r="AJ298" s="419">
        <f>IF(AJ297=0,0,((+$I101/$AZ297)*AJ297)*VLOOKUP('1. SUMMARY'!$C$20,rate,Sheet1!U$21,0))</f>
        <v>0</v>
      </c>
      <c r="AK298" s="419">
        <f>IF(AK297=0,0,((+$I101/$AZ297)*AK297)*VLOOKUP('1. SUMMARY'!$C$20,rate,Sheet1!V$21,0))</f>
        <v>0</v>
      </c>
      <c r="AL298" s="419">
        <f>IF(AL297=0,0,((+$I101/$AZ297)*AL297)*VLOOKUP('1. SUMMARY'!$C$20,rate,Sheet1!W$21,0))</f>
        <v>0</v>
      </c>
      <c r="AM298" s="419">
        <f>IF(AM297=0,0,((+$I101/$AZ297)*AM297)*VLOOKUP('1. SUMMARY'!$C$20,rate,Sheet1!X$21,0))</f>
        <v>0</v>
      </c>
      <c r="AN298" s="419">
        <f>IF(AN297=0,0,((+$I101/$AZ297)*AN297)*VLOOKUP('1. SUMMARY'!$C$20,rate,Sheet1!Y$21,0))</f>
        <v>0</v>
      </c>
      <c r="AO298" s="419">
        <f>IF(AO297=0,0,((+$I101/$AZ297)*AO297)*VLOOKUP('1. SUMMARY'!$C$20,rate,Sheet1!Z$21,0))</f>
        <v>0</v>
      </c>
      <c r="AP298" s="419">
        <f>IF(AP297=0,0,((+$I101/$AZ297)*AP297)*VLOOKUP('1. SUMMARY'!$C$20,rate,Sheet1!AA$21,0))</f>
        <v>0</v>
      </c>
      <c r="AQ298" s="419">
        <f>IF(AQ297=0,0,((+$I101/$AZ297)*AQ297)*VLOOKUP('1. SUMMARY'!$C$20,rate,Sheet1!AB$21,0))</f>
        <v>0</v>
      </c>
      <c r="AR298" s="419">
        <f>IF(AR297=0,0,((+$I101/$AZ297)*AR297)*VLOOKUP('1. SUMMARY'!$C$20,rate,Sheet1!AC$21,0))</f>
        <v>0</v>
      </c>
      <c r="AS298" s="419">
        <f>IF(AS297=0,0,((+$I101/$AZ297)*AS297)*VLOOKUP('1. SUMMARY'!$C$20,rate,Sheet1!AD$21,0))</f>
        <v>0</v>
      </c>
      <c r="AT298" s="419">
        <f>IF(AT297=0,0,((+$I101/$AZ297)*AT297)*VLOOKUP('1. SUMMARY'!$C$20,rate,Sheet1!AE$21,0))</f>
        <v>0</v>
      </c>
      <c r="AU298" s="419">
        <f>IF(AU297=0,0,((+$I101/$AZ297)*AU297)*VLOOKUP('1. SUMMARY'!$C$20,rate,Sheet1!AF$21,0))</f>
        <v>0</v>
      </c>
      <c r="AV298" s="419">
        <f>IF(AV297=0,0,((+$I101/$AZ297)*AV297)*VLOOKUP('1. SUMMARY'!$C$20,rate,Sheet1!AG$21,0))</f>
        <v>0</v>
      </c>
      <c r="AW298" s="419">
        <f>IF(AW297=0,0,((+$I101/$AZ297)*AW297)*VLOOKUP('1. SUMMARY'!$C$20,rate,Sheet1!AH$21,0))</f>
        <v>0</v>
      </c>
      <c r="AX298" s="419">
        <f>IF(AX297=0,0,((+$I101/$AZ297)*AX297)*VLOOKUP('1. SUMMARY'!$C$20,rate,Sheet1!AI$21,0))</f>
        <v>0</v>
      </c>
      <c r="AY298" s="419">
        <f>IF(AY297=0,0,((+$I101/$AZ297)*AY297)*VLOOKUP('1. SUMMARY'!$C$20,rate,Sheet1!AJ$21,0))</f>
        <v>0</v>
      </c>
      <c r="AZ298" s="419">
        <f>SUM(AI298:AY298)</f>
        <v>0</v>
      </c>
    </row>
    <row r="299" spans="15:52" ht="12.75" hidden="1" customHeight="1">
      <c r="Q299" s="419">
        <f>+Q298/VLOOKUP('1. SUMMARY'!$C$20,rate,Sheet1!T$21,0)</f>
        <v>0</v>
      </c>
      <c r="R299" s="419">
        <f>+R298/VLOOKUP('1. SUMMARY'!$C$20,rate,Sheet1!U$21,0)</f>
        <v>0</v>
      </c>
      <c r="S299" s="419">
        <f>+S298/VLOOKUP('1. SUMMARY'!$C$20,rate,Sheet1!V$21,0)</f>
        <v>0</v>
      </c>
      <c r="T299" s="419">
        <f>+T298/VLOOKUP('1. SUMMARY'!$C$20,rate,Sheet1!W$21,0)</f>
        <v>0</v>
      </c>
      <c r="U299" s="419">
        <f>+U298/VLOOKUP('1. SUMMARY'!$C$20,rate,Sheet1!X$21,0)</f>
        <v>0</v>
      </c>
      <c r="V299" s="419">
        <f>+V298/VLOOKUP('1. SUMMARY'!$C$20,rate,Sheet1!Y$21,0)</f>
        <v>0</v>
      </c>
      <c r="W299" s="419">
        <f>+W298/VLOOKUP('1. SUMMARY'!$C$20,rate,Sheet1!Z$21,0)</f>
        <v>0</v>
      </c>
      <c r="X299" s="419">
        <f>+X298/VLOOKUP('1. SUMMARY'!$C$20,rate,Sheet1!AA$21,0)</f>
        <v>0</v>
      </c>
      <c r="Y299" s="419">
        <f>+Y298/VLOOKUP('1. SUMMARY'!$C$20,rate,Sheet1!AB$21,0)</f>
        <v>0</v>
      </c>
      <c r="Z299" s="419">
        <f>+Z298/VLOOKUP('1. SUMMARY'!$C$20,rate,Sheet1!AC$21,0)</f>
        <v>0</v>
      </c>
      <c r="AA299" s="419">
        <f>+AA298/VLOOKUP('1. SUMMARY'!$C$20,rate,Sheet1!AD$21,0)</f>
        <v>0</v>
      </c>
      <c r="AB299" s="419">
        <f>+AB298/VLOOKUP('1. SUMMARY'!$C$20,rate,Sheet1!AE$21,0)</f>
        <v>0</v>
      </c>
      <c r="AC299" s="419">
        <f>+AC298/VLOOKUP('1. SUMMARY'!$C$20,rate,Sheet1!AF$21,0)</f>
        <v>0</v>
      </c>
      <c r="AD299" s="419">
        <f>+AD298/VLOOKUP('1. SUMMARY'!$C$20,rate,Sheet1!AG$21,0)</f>
        <v>0</v>
      </c>
      <c r="AE299" s="419">
        <f>+AE298/VLOOKUP('1. SUMMARY'!$C$20,rate,Sheet1!AH$21,0)</f>
        <v>0</v>
      </c>
      <c r="AF299" s="419">
        <f>+AF298/VLOOKUP('1. SUMMARY'!$C$20,rate,Sheet1!AI$21,0)</f>
        <v>0</v>
      </c>
      <c r="AG299" s="419">
        <f>+AG298/VLOOKUP('1. SUMMARY'!$C$20,rate,Sheet1!AJ$21,0)</f>
        <v>0</v>
      </c>
      <c r="AH299" s="219"/>
      <c r="AI299" s="419"/>
      <c r="AJ299" s="419"/>
      <c r="AK299" s="419"/>
      <c r="AL299" s="419"/>
      <c r="AM299" s="419"/>
      <c r="AN299" s="419"/>
      <c r="AO299" s="419"/>
      <c r="AP299" s="419"/>
      <c r="AQ299" s="419"/>
      <c r="AR299" s="419"/>
      <c r="AS299" s="419"/>
      <c r="AT299" s="419"/>
      <c r="AU299" s="419"/>
      <c r="AV299" s="419"/>
      <c r="AW299" s="419"/>
      <c r="AX299" s="419"/>
      <c r="AY299" s="419"/>
      <c r="AZ299" s="419"/>
    </row>
    <row r="300" spans="15:52" ht="12.75" hidden="1" customHeight="1">
      <c r="Q300" s="416">
        <f>Sheet1!$T$8</f>
        <v>44105</v>
      </c>
      <c r="R300" s="416">
        <f>Sheet1!$U$8</f>
        <v>44470</v>
      </c>
      <c r="S300" s="416">
        <f>Sheet1!$V$8</f>
        <v>44835</v>
      </c>
      <c r="T300" s="416">
        <f>Sheet1!$W$8</f>
        <v>45200</v>
      </c>
      <c r="U300" s="416">
        <f>Sheet1!$X$8</f>
        <v>45566</v>
      </c>
      <c r="V300" s="416">
        <f>Sheet1!$Y$8</f>
        <v>45931</v>
      </c>
      <c r="W300" s="416">
        <f>Sheet1!$Z$8</f>
        <v>46296</v>
      </c>
      <c r="X300" s="416">
        <f>Sheet1!$AA$8</f>
        <v>46661</v>
      </c>
      <c r="Y300" s="416">
        <f>Sheet1!$AB$8</f>
        <v>47027</v>
      </c>
      <c r="Z300" s="416">
        <f>Sheet1!$AC$8</f>
        <v>47392</v>
      </c>
      <c r="AA300" s="416">
        <f>$AA$5</f>
        <v>47757</v>
      </c>
      <c r="AB300" s="416">
        <f>$AB$5</f>
        <v>48122</v>
      </c>
      <c r="AC300" s="416">
        <f>$AC$5</f>
        <v>48488</v>
      </c>
      <c r="AD300" s="416">
        <f>$AD$5</f>
        <v>48853</v>
      </c>
      <c r="AE300" s="416">
        <f>$AE$5</f>
        <v>49218</v>
      </c>
      <c r="AF300" s="416">
        <f>$AF$5</f>
        <v>49583</v>
      </c>
      <c r="AG300" s="416">
        <f>$AG$5</f>
        <v>49949</v>
      </c>
      <c r="AH300" s="219"/>
      <c r="AI300" s="416">
        <f t="shared" ref="AI300:AR302" si="144">+Q300</f>
        <v>44105</v>
      </c>
      <c r="AJ300" s="416">
        <f t="shared" si="144"/>
        <v>44470</v>
      </c>
      <c r="AK300" s="416">
        <f t="shared" si="144"/>
        <v>44835</v>
      </c>
      <c r="AL300" s="416">
        <f t="shared" si="144"/>
        <v>45200</v>
      </c>
      <c r="AM300" s="416">
        <f t="shared" si="144"/>
        <v>45566</v>
      </c>
      <c r="AN300" s="416">
        <f t="shared" si="144"/>
        <v>45931</v>
      </c>
      <c r="AO300" s="416">
        <f t="shared" si="144"/>
        <v>46296</v>
      </c>
      <c r="AP300" s="416">
        <f t="shared" si="144"/>
        <v>46661</v>
      </c>
      <c r="AQ300" s="416">
        <f t="shared" si="144"/>
        <v>47027</v>
      </c>
      <c r="AR300" s="416">
        <f t="shared" si="144"/>
        <v>47392</v>
      </c>
      <c r="AS300" s="416">
        <f t="shared" ref="AS300:AY302" si="145">+AA300</f>
        <v>47757</v>
      </c>
      <c r="AT300" s="416">
        <f t="shared" si="145"/>
        <v>48122</v>
      </c>
      <c r="AU300" s="416">
        <f t="shared" si="145"/>
        <v>48488</v>
      </c>
      <c r="AV300" s="416">
        <f t="shared" si="145"/>
        <v>48853</v>
      </c>
      <c r="AW300" s="416">
        <f t="shared" si="145"/>
        <v>49218</v>
      </c>
      <c r="AX300" s="416">
        <f t="shared" si="145"/>
        <v>49583</v>
      </c>
      <c r="AY300" s="416">
        <f t="shared" si="145"/>
        <v>49949</v>
      </c>
      <c r="AZ300" s="416"/>
    </row>
    <row r="301" spans="15:52" ht="12.75" hidden="1" customHeight="1">
      <c r="Q301" s="416">
        <f>Sheet1!$T$9</f>
        <v>44469</v>
      </c>
      <c r="R301" s="416">
        <f>Sheet1!$U$9</f>
        <v>44834</v>
      </c>
      <c r="S301" s="416">
        <f>Sheet1!$V$9</f>
        <v>45199</v>
      </c>
      <c r="T301" s="416">
        <f>Sheet1!$W$9</f>
        <v>45565</v>
      </c>
      <c r="U301" s="416">
        <f>Sheet1!$X$9</f>
        <v>45930</v>
      </c>
      <c r="V301" s="416">
        <f>Sheet1!$Y$9</f>
        <v>46295</v>
      </c>
      <c r="W301" s="416">
        <f>Sheet1!$Z$9</f>
        <v>46660</v>
      </c>
      <c r="X301" s="416">
        <f>Sheet1!$AA$9</f>
        <v>47026</v>
      </c>
      <c r="Y301" s="416">
        <f>Sheet1!$AB$9</f>
        <v>47391</v>
      </c>
      <c r="Z301" s="416">
        <f>Sheet1!$AC$9</f>
        <v>47756</v>
      </c>
      <c r="AA301" s="416">
        <f>$AA$6</f>
        <v>48121</v>
      </c>
      <c r="AB301" s="416">
        <f>$AB$6</f>
        <v>48487</v>
      </c>
      <c r="AC301" s="416">
        <f>$AC$6</f>
        <v>48852</v>
      </c>
      <c r="AD301" s="416">
        <f>$AD$6</f>
        <v>49217</v>
      </c>
      <c r="AE301" s="416">
        <f>$AE$6</f>
        <v>49582</v>
      </c>
      <c r="AF301" s="416">
        <f>$AF$6</f>
        <v>49948</v>
      </c>
      <c r="AG301" s="416">
        <f>$AG$6</f>
        <v>50313</v>
      </c>
      <c r="AH301" s="219"/>
      <c r="AI301" s="416">
        <f t="shared" si="144"/>
        <v>44469</v>
      </c>
      <c r="AJ301" s="416">
        <f t="shared" si="144"/>
        <v>44834</v>
      </c>
      <c r="AK301" s="416">
        <f t="shared" si="144"/>
        <v>45199</v>
      </c>
      <c r="AL301" s="416">
        <f t="shared" si="144"/>
        <v>45565</v>
      </c>
      <c r="AM301" s="416">
        <f t="shared" si="144"/>
        <v>45930</v>
      </c>
      <c r="AN301" s="416">
        <f t="shared" si="144"/>
        <v>46295</v>
      </c>
      <c r="AO301" s="416">
        <f t="shared" si="144"/>
        <v>46660</v>
      </c>
      <c r="AP301" s="416">
        <f t="shared" si="144"/>
        <v>47026</v>
      </c>
      <c r="AQ301" s="416">
        <f t="shared" si="144"/>
        <v>47391</v>
      </c>
      <c r="AR301" s="416">
        <f t="shared" si="144"/>
        <v>47756</v>
      </c>
      <c r="AS301" s="416">
        <f t="shared" si="145"/>
        <v>48121</v>
      </c>
      <c r="AT301" s="416">
        <f t="shared" si="145"/>
        <v>48487</v>
      </c>
      <c r="AU301" s="416">
        <f t="shared" si="145"/>
        <v>48852</v>
      </c>
      <c r="AV301" s="416">
        <f t="shared" si="145"/>
        <v>49217</v>
      </c>
      <c r="AW301" s="416">
        <f t="shared" si="145"/>
        <v>49582</v>
      </c>
      <c r="AX301" s="416">
        <f t="shared" si="145"/>
        <v>49948</v>
      </c>
      <c r="AY301" s="416">
        <f t="shared" si="145"/>
        <v>50313</v>
      </c>
      <c r="AZ301" s="416"/>
    </row>
    <row r="302" spans="15:52" ht="12.75" hidden="1" customHeight="1">
      <c r="O302" s="207" t="s">
        <v>236</v>
      </c>
      <c r="Q302" s="417">
        <f>IF(IF(Q301&lt;$J$27,0,DATEDIF($J$27,Q301+1,"m"))&lt;0,0,IF(Q301&lt;$J$27,0,DATEDIF($J$27,Q301+1,"m")))</f>
        <v>0</v>
      </c>
      <c r="R302" s="417">
        <f>IF(IF(Q302=12,0,IF(R301&gt;$J$28,12-DATEDIF($J$28,R301+1,"m"),IF(R301&lt;$J$27,0,DATEDIF($J$27,R301+1,"m"))))&lt;0,0,IF(Q302=12,0,IF(R301&gt;$J$28,12-DATEDIF($J$28,R301+1,"m"),IF(R301&lt;$J$27,0,DATEDIF($J$27,R301+1,"m")))))</f>
        <v>0</v>
      </c>
      <c r="S302" s="417">
        <f>IF(IF(Q302+R302=12,0,IF(S301&gt;$J$28,12-DATEDIF($J$28,S301+1,"m"),IF(S301&lt;$J$27,0,DATEDIF($J$27,S301+1,"m"))))&lt;0,0,IF(Q302+R302=12,0,IF(S301&gt;$J$28,12-DATEDIF($J$28,S301+1,"m"),IF(S301&lt;$J$27,0,DATEDIF($J$27,S301+1,"m")))))</f>
        <v>0</v>
      </c>
      <c r="T302" s="417">
        <f>IF(IF(R302+S302+Q302=12,0,IF(T301&gt;$J$28,12-DATEDIF($J$28,T301+1,"m"),IF(T301&lt;$J$27,0,DATEDIF($J$27,T301+1,"m"))))&lt;0,0,IF(R302+S302+Q302=12,0,IF(T301&gt;$J$28,12-DATEDIF($J$28,T301+1,"m"),IF(T301&lt;$J$27,0,DATEDIF($J$27,T301+1,"m")))))</f>
        <v>0</v>
      </c>
      <c r="U302" s="417">
        <f>IF(IF(S302+T302+R302+Q302=12,0,IF(U301&gt;$J$28,12-DATEDIF($J$28,U301+1,"m"),IF(U301&lt;$J$27,0,DATEDIF($J$27,U301+1,"m"))))&lt;0,0,IF(S302+T302+R302+Q302=12,0,IF(U301&gt;$J$28,12-DATEDIF($J$28,U301+1,"m"),IF(U301&lt;$J$27,0,DATEDIF($J$27,U301+1,"m")))))</f>
        <v>0</v>
      </c>
      <c r="V302" s="417">
        <f>IF(IF(T302+U302+S302+R302+Q302=12,0,IF(V301&gt;$J$28,12-DATEDIF($J$28,V301+1,"m"),IF(V301&lt;$J$27,0,DATEDIF($J$27,V301+1,"m"))))&lt;0,0,IF(T302+U302+S302+R302+Q302=12,0,IF(V301&gt;$J$28,12-DATEDIF($J$28,V301+1,"m"),IF(V301&lt;$J$27,0,DATEDIF($J$27,V301+1,"m")))))</f>
        <v>0</v>
      </c>
      <c r="W302" s="417">
        <f>IF(IF(U302+V302+T302+S302+R302+Q302=12,0,IF(W301&gt;$J$28,12-DATEDIF($J$28,W301+1,"m"),IF(W301&lt;$J$27,0,DATEDIF($J$27,W301+1,"m"))))&lt;0,0,IF(U302+V302+T302+S302+R302+Q302=12,0,IF(W301&gt;$J$28,12-DATEDIF($J$28,W301+1,"m"),IF(W301&lt;$J$27,0,DATEDIF($J$27,W301+1,"m")))))</f>
        <v>0</v>
      </c>
      <c r="X302" s="417">
        <f>IF(IF(V302+W302+U302+T302+S302+R302+Q302=12,0,IF(X301&gt;$J$28,12-DATEDIF($J$28,X301+1,"m"),IF(X301&lt;$J$27,0,DATEDIF($J$27,X301+1,"m"))))&lt;0,0,IF(V302+W302+U302+T302+S302+R302+Q302=12,0,IF(X301&gt;$J$28,12-DATEDIF($J$28,X301+1,"m"),IF(X301&lt;$J$27,0,DATEDIF($J$27,X301+1,"m")))))</f>
        <v>0</v>
      </c>
      <c r="Y302" s="417">
        <f>IF(IF(W302+X302+V302+U302+T302+S302+R302+Q302=12,0,IF(Y301&gt;$J$28,12-DATEDIF($J$28,Y301+1,"m"),IF(Y301&lt;$J$27,0,DATEDIF($J$27,Y301+1,"m"))))&lt;0,0,IF(W302+X302+V302+U302+T302+S302+R302+Q302=12,0,IF(Y301&gt;$J$28,12-DATEDIF($J$28,Y301+1,"m"),IF(Y301&lt;$J$27,0,DATEDIF($J$27,Y301+1,"m")))))</f>
        <v>0</v>
      </c>
      <c r="Z302" s="417">
        <f>IF(IF(X302+Y302+W302+V302+U302+T302+S302+R302+Q302=12,0,IF(Z301&gt;$J$28,12-DATEDIF($J$28,Z301+1,"m"),IF(Z301&lt;$J$27,0,DATEDIF($J$27,Z301+1,"m"))))&lt;0,0,IF(X302+Y302+W302+V302+U302+T302+S302+R302+Q302=12,0,IF(Z301&gt;$J$28,12-DATEDIF($J$28,Z301+1,"m"),IF(Z301&lt;$J$27,0,DATEDIF($J$27,Z301+1,"m")))))</f>
        <v>0</v>
      </c>
      <c r="AA302" s="417">
        <f>IF(IF(Q302+R302+S302+Y302+Z302+X302+W302+V302+U302+T302=12,0,IF(AA301&gt;$J$28,12-DATEDIF($J$28,AA301+1,"m"),IF(AA301&lt;$J$27,0,DATEDIF($J$27,AA301+1,"m"))))&lt;0,0,IF(Q302+R302+S302+Y302+Z302+X302+W302+V302+U302+T302=12,0,IF(AA301&gt;$J$28,12-DATEDIF($J$28,AA301+1,"m"),IF(AA301&lt;$J$27,0,DATEDIF($J$27,AA301+1,"m")))))</f>
        <v>0</v>
      </c>
      <c r="AB302" s="417">
        <f>IF(IF(Q302+R302+S302+T302+Z302+AA302+Y302+X302+W302+V302+U302=12,0,IF(AB301&gt;$J$28,12-DATEDIF($J$28,AB301+1,"m"),IF(AB301&lt;$J$27,0,DATEDIF($J$27,AB301+1,"m"))))&lt;0,0,IF(Q302+R302+S302+T302+Z302+AA302+Y302+X302+W302+V302+U302=12,0,IF(AB301&gt;$J$28,12-DATEDIF($J$28,AB301+1,"m"),IF(AB301&lt;$J$27,0,DATEDIF($J$27,AB301+1,"m")))))</f>
        <v>0</v>
      </c>
      <c r="AC302" s="417">
        <f>IF(IF(Q302+R302+S302+T302+U302+AA302+AB302+Z302+Y302+X302+W302+V302=12,0,IF(AC301&gt;$J$28,12-DATEDIF($J$28,AC301+1,"m"),IF(AC301&lt;$J$27,0,DATEDIF($J$27,AC301+1,"m"))))&lt;0,0,IF(Q302+R302+S302+T302+U302+AA302+AB302+Z302+Y302+X302+W302+V302=12,0,IF(AC301&gt;$J$28,12-DATEDIF($J$28,AC301+1,"m"),IF(AC301&lt;$J$27,0,DATEDIF($J$27,AC301+1,"m")))))</f>
        <v>0</v>
      </c>
      <c r="AD302" s="417">
        <f>IF(IF(Q302+R302+S302+T302+U302+V302+AB302+AC302+AA302+Z302+Y302+X302+W302=12,0,IF(AD301&gt;$J$28,12-DATEDIF($J$28,AD301+1,"m"),IF(AD301&lt;$J$27,0,DATEDIF($J$27,AD301+1,"m"))))&lt;0,0,IF(Q302+R302+S302+T302+U302+V302+AB302+AC302+AA302+Z302+Y302+X302+W302=12,0,IF(AD301&gt;$J$28,12-DATEDIF($J$28,AD301+1,"m"),IF(AD301&lt;$J$27,0,DATEDIF($J$27,AD301+1,"m")))))</f>
        <v>0</v>
      </c>
      <c r="AE302" s="417">
        <f>IF(IF(Q302+R302+S302+T302+U302+V302+W302+AC302+AD302+AB302+AA302+Z302+Y302+X302=12,0,IF(AE301&gt;$J$28,12-DATEDIF($J$28,AE301+1,"m"),IF(AE301&lt;$J$27,0,DATEDIF($J$27,AE301+1,"m"))))&lt;0,0,IF(Q302+R302+S302+T302+U302+V302+W302+AC302+AD302+AB302+AA302+Z302+Y302+X302=12,0,IF(AE301&gt;$J$28,12-DATEDIF($J$28,AE301+1,"m"),IF(AE301&lt;$J$27,0,DATEDIF($J$27,AE301+1,"m")))))</f>
        <v>0</v>
      </c>
      <c r="AF302" s="417">
        <f>IF(IF(Q302+R302+S302+T302+U302+V302+W302+X302+AD302+AE302+AC302+AB302+AA302+Z302+Y302=12,0,IF(AF301&gt;$J$28,12-DATEDIF($J$28,AF301+1,"m"),IF(AF301&lt;$J$27,0,DATEDIF($J$27,AF301+1,"m"))))&lt;0,0,IF(Q302+R302+S302+T302+U302+V302+W302+X302+AD302+AE302+AC302+AB302+AA302+Z302+Y302=12,0,IF(AF301&gt;$J$28,12-DATEDIF($J$28,AF301+1,"m"),IF(AF301&lt;$J$27,0,DATEDIF($J$27,AF301+1,"m")))))</f>
        <v>0</v>
      </c>
      <c r="AG302" s="417">
        <f>IF(IF(Q302+R302+S302+T302+U302+V302+W302+X302+Y302+AE302+AF302+AD302+AC302+AB302+AA302+Z302=12,0,IF(AG301&gt;$J$28,12-DATEDIF($J$28,AG301+1,"m"),IF(AG301&lt;$J$27,0,DATEDIF($J$27,AG301+1,"m"))))&lt;0,0,IF(Q302+R302+S302+T302+U302+V302+W302+X302+Y302+AE302+AF302+AD302+AC302+AB302+AA302+Z302=12,0,IF(AG301&gt;$J$28,12-DATEDIF($J$28,AG301+1,"m"),IF(AG301&lt;$J$27,0,DATEDIF($J$27,AG301+1,"m")))))</f>
        <v>0</v>
      </c>
      <c r="AH302" s="219">
        <f>SUM(Q302:AG302)</f>
        <v>0</v>
      </c>
      <c r="AI302" s="427">
        <f t="shared" si="144"/>
        <v>0</v>
      </c>
      <c r="AJ302" s="427">
        <f t="shared" si="144"/>
        <v>0</v>
      </c>
      <c r="AK302" s="427">
        <f t="shared" si="144"/>
        <v>0</v>
      </c>
      <c r="AL302" s="427">
        <f t="shared" si="144"/>
        <v>0</v>
      </c>
      <c r="AM302" s="427">
        <f t="shared" si="144"/>
        <v>0</v>
      </c>
      <c r="AN302" s="427">
        <f t="shared" si="144"/>
        <v>0</v>
      </c>
      <c r="AO302" s="427">
        <f t="shared" si="144"/>
        <v>0</v>
      </c>
      <c r="AP302" s="427">
        <f t="shared" si="144"/>
        <v>0</v>
      </c>
      <c r="AQ302" s="427">
        <f t="shared" si="144"/>
        <v>0</v>
      </c>
      <c r="AR302" s="427">
        <f t="shared" si="144"/>
        <v>0</v>
      </c>
      <c r="AS302" s="427">
        <f t="shared" si="145"/>
        <v>0</v>
      </c>
      <c r="AT302" s="427">
        <f t="shared" si="145"/>
        <v>0</v>
      </c>
      <c r="AU302" s="427">
        <f t="shared" si="145"/>
        <v>0</v>
      </c>
      <c r="AV302" s="427">
        <f t="shared" si="145"/>
        <v>0</v>
      </c>
      <c r="AW302" s="427">
        <f t="shared" si="145"/>
        <v>0</v>
      </c>
      <c r="AX302" s="427">
        <f t="shared" si="145"/>
        <v>0</v>
      </c>
      <c r="AY302" s="427">
        <f t="shared" si="145"/>
        <v>0</v>
      </c>
      <c r="AZ302" s="427">
        <f>SUM(AI302:AY302)</f>
        <v>0</v>
      </c>
    </row>
    <row r="303" spans="15:52" ht="12.75" hidden="1" customHeight="1">
      <c r="Q303" s="417">
        <f>IF(Q302=0,0,(IF(($B$101+$C$101+$D$101+$E$101+$F$101+$G$101+$H$101+$I$101+$J$101)&lt;=25000,(($J$101/+$AH302)*Q302)*VLOOKUP('1. SUMMARY'!$C$20,rate,Sheet1!T$21,0),((IF(($F$101+$B$101+$C$101+$D$101+$E$101+$G$101+$H$101+$I$101)&gt;=25000,0,(((25000-($B$101+$C$101+$D$101+$E$101+$F$101+$G$101+$H$101+$I$101))/+$AH302)*Q302)*(VLOOKUP('1. SUMMARY'!$C$20,rate,Sheet1!T$21,0))))))))</f>
        <v>0</v>
      </c>
      <c r="R303" s="417">
        <f>IF(R302=0,0,(IF(($B$101+$C$101+$D$101+$E$101+$F$101+$G$101+$H$101+$I$101+$J$101)&lt;=25000,(($J$101/+$AH302)*R302)*VLOOKUP('1. SUMMARY'!$C$20,rate,Sheet1!U$21,0),((IF(($F$101+$B$101+$C$101+$D$101+$E$101+$G$101+$H$101+$I$101)&gt;=25000,0,(((25000-($B$101+$C$101+$D$101+$E$101+$F$101+$G$101+$H$101+$I$101))/+$AH302)*R302)*(VLOOKUP('1. SUMMARY'!$C$20,rate,Sheet1!U$21,0))))))))</f>
        <v>0</v>
      </c>
      <c r="S303" s="417">
        <f>IF(S302=0,0,(IF(($B$101+$C$101+$D$101+$E$101+$F$101+$G$101+$H$101+$I$101+$J$101)&lt;=25000,(($J$101/+$AH302)*S302)*VLOOKUP('1. SUMMARY'!$C$20,rate,Sheet1!V$21,0),((IF(($F$101+$B$101+$C$101+$D$101+$E$101+$G$101+$H$101+$I$101)&gt;=25000,0,(((25000-($B$101+$C$101+$D$101+$E$101+$F$101+$G$101+$H$101+$I$101))/+$AH302)*S302)*(VLOOKUP('1. SUMMARY'!$C$20,rate,Sheet1!V$21,0))))))))</f>
        <v>0</v>
      </c>
      <c r="T303" s="417">
        <f>IF(T302=0,0,(IF(($B$101+$C$101+$D$101+$E$101+$F$101+$G$101+$H$101+$I$101+$J$101)&lt;=25000,(($J$101/+$AH302)*T302)*VLOOKUP('1. SUMMARY'!$C$20,rate,Sheet1!W$21,0),((IF(($F$101+$B$101+$C$101+$D$101+$E$101+$G$101+$H$101+$I$101)&gt;=25000,0,(((25000-($B$101+$C$101+$D$101+$E$101+$F$101+$G$101+$H$101+$I$101))/+$AH302)*T302)*(VLOOKUP('1. SUMMARY'!$C$20,rate,Sheet1!W$21,0))))))))</f>
        <v>0</v>
      </c>
      <c r="U303" s="417">
        <f>IF(U302=0,0,(IF(($B$101+$C$101+$D$101+$E$101+$F$101+$G$101+$H$101+$I$101+$J$101)&lt;=25000,(($J$101/+$AH302)*U302)*VLOOKUP('1. SUMMARY'!$C$20,rate,Sheet1!X$21,0),((IF(($F$101+$B$101+$C$101+$D$101+$E$101+$G$101+$H$101+$I$101)&gt;=25000,0,(((25000-($B$101+$C$101+$D$101+$E$101+$F$101+$G$101+$H$101+$I$101))/+$AH302)*U302)*(VLOOKUP('1. SUMMARY'!$C$20,rate,Sheet1!X$21,0))))))))</f>
        <v>0</v>
      </c>
      <c r="V303" s="417">
        <f>IF(V302=0,0,(IF(($B$101+$C$101+$D$101+$E$101+$F$101+$G$101+$H$101+$I$101+$J$101)&lt;=25000,(($J$101/+$AH302)*V302)*VLOOKUP('1. SUMMARY'!$C$20,rate,Sheet1!Y$21,0),((IF(($F$101+$B$101+$C$101+$D$101+$E$101+$G$101+$H$101+$I$101)&gt;=25000,0,(((25000-($B$101+$C$101+$D$101+$E$101+$F$101+$G$101+$H$101+$I$101))/+$AH302)*V302)*(VLOOKUP('1. SUMMARY'!$C$20,rate,Sheet1!Y$21,0))))))))</f>
        <v>0</v>
      </c>
      <c r="W303" s="417">
        <f>IF(W302=0,0,(IF(($B$101+$C$101+$D$101+$E$101+$F$101+$G$101+$H$101+$I$101+$J$101)&lt;=25000,(($J$101/+$AH302)*W302)*VLOOKUP('1. SUMMARY'!$C$20,rate,Sheet1!Z$21,0),((IF(($F$101+$B$101+$C$101+$D$101+$E$101+$G$101+$H$101+$I$101)&gt;=25000,0,(((25000-($B$101+$C$101+$D$101+$E$101+$F$101+$G$101+$H$101+$I$101))/+$AH302)*W302)*(VLOOKUP('1. SUMMARY'!$C$20,rate,Sheet1!Z$21,0))))))))</f>
        <v>0</v>
      </c>
      <c r="X303" s="417">
        <f>IF(X302=0,0,(IF(($B$101+$C$101+$D$101+$E$101+$F$101+$G$101+$H$101+$I$101+$J$101)&lt;=25000,(($J$101/+$AH302)*X302)*VLOOKUP('1. SUMMARY'!$C$20,rate,Sheet1!AA$21,0),((IF(($F$101+$B$101+$C$101+$D$101+$E$101+$G$101+$H$101+$I$101)&gt;=25000,0,(((25000-($B$101+$C$101+$D$101+$E$101+$F$101+$G$101+$H$101+$I$101))/+$AH302)*X302)*(VLOOKUP('1. SUMMARY'!$C$20,rate,Sheet1!AA$21,0))))))))</f>
        <v>0</v>
      </c>
      <c r="Y303" s="417">
        <f>IF(Y302=0,0,(IF(($B$101+$C$101+$D$101+$E$101+$F$101+$G$101+$H$101+$I$101+$J$101)&lt;=25000,(($J$101/+$AH302)*Y302)*VLOOKUP('1. SUMMARY'!$C$20,rate,Sheet1!AB$21,0),((IF(($F$101+$B$101+$C$101+$D$101+$E$101+$G$101+$H$101+$I$101)&gt;=25000,0,(((25000-($B$101+$C$101+$D$101+$E$101+$F$101+$G$101+$H$101+$I$101))/+$AH302)*Y302)*(VLOOKUP('1. SUMMARY'!$C$20,rate,Sheet1!AB$21,0))))))))</f>
        <v>0</v>
      </c>
      <c r="Z303" s="417">
        <f>IF(Z302=0,0,(IF(($B$101+$C$101+$D$101+$E$101+$F$101+$G$101+$H$101+$I$101+$J$101)&lt;=25000,(($J$101/+$AH302)*Z302)*VLOOKUP('1. SUMMARY'!$C$20,rate,Sheet1!AC$21,0),((IF(($F$101+$B$101+$C$101+$D$101+$E$101+$G$101+$H$101+$I$101)&gt;=25000,0,(((25000-($B$101+$C$101+$D$101+$E$101+$F$101+$G$101+$H$101+$I$101))/+$AH302)*Z302)*(VLOOKUP('1. SUMMARY'!$C$20,rate,Sheet1!AC$21,0))))))))</f>
        <v>0</v>
      </c>
      <c r="AA303" s="417">
        <f>IF(AA302=0,0,(IF(($B$101+$C$101+$D$101+$E$101+$F$101+$G$101+$H$101+$I$101+$J$101)&lt;=25000,(($J$101/+$AH302)*AA302)*VLOOKUP('1. SUMMARY'!$C$20,rate,Sheet1!AD$21,0),((IF(($F$101+$B$101+$C$101+$D$101+$E$101+$G$101+$H$101+$I$101)&gt;=25000,0,(((25000-($B$101+$C$101+$D$101+$E$101+$F$101+$G$101+$H$101+$I$101))/+$AH302)*AA302)*(VLOOKUP('1. SUMMARY'!$C$20,rate,Sheet1!AD$21,0))))))))</f>
        <v>0</v>
      </c>
      <c r="AB303" s="417">
        <f>IF(AB302=0,0,(IF(($B$101+$C$101+$D$101+$E$101+$F$101+$G$101+$H$101+$I$101+$J$101)&lt;=25000,(($J$101/+$AH302)*AB302)*VLOOKUP('1. SUMMARY'!$C$20,rate,Sheet1!AE$21,0),((IF(($F$101+$B$101+$C$101+$D$101+$E$101+$G$101+$H$101+$I$101)&gt;=25000,0,(((25000-($B$101+$C$101+$D$101+$E$101+$F$101+$G$101+$H$101+$I$101))/+$AH302)*AB302)*(VLOOKUP('1. SUMMARY'!$C$20,rate,Sheet1!AE$21,0))))))))</f>
        <v>0</v>
      </c>
      <c r="AC303" s="417">
        <f>IF(AC302=0,0,(IF(($B$101+$C$101+$D$101+$E$101+$F$101+$G$101+$H$101+$I$101+$J$101)&lt;=25000,(($J$101/+$AH302)*AC302)*VLOOKUP('1. SUMMARY'!$C$20,rate,Sheet1!AF$21,0),((IF(($F$101+$B$101+$C$101+$D$101+$E$101+$G$101+$H$101+$I$101)&gt;=25000,0,(((25000-($B$101+$C$101+$D$101+$E$101+$F$101+$G$101+$H$101+$I$101))/+$AH302)*AC302)*(VLOOKUP('1. SUMMARY'!$C$20,rate,Sheet1!AF$21,0))))))))</f>
        <v>0</v>
      </c>
      <c r="AD303" s="417">
        <f>IF(AD302=0,0,(IF(($B$101+$C$101+$D$101+$E$101+$F$101+$G$101+$H$101+$I$101+$J$101)&lt;=25000,(($J$101/+$AH302)*AD302)*VLOOKUP('1. SUMMARY'!$C$20,rate,Sheet1!AG$21,0),((IF(($F$101+$B$101+$C$101+$D$101+$E$101+$G$101+$H$101+$I$101)&gt;=25000,0,(((25000-($B$101+$C$101+$D$101+$E$101+$F$101+$G$101+$H$101+$I$101))/+$AH302)*AD302)*(VLOOKUP('1. SUMMARY'!$C$20,rate,Sheet1!AG$21,0))))))))</f>
        <v>0</v>
      </c>
      <c r="AE303" s="417">
        <f>IF(AE302=0,0,(IF(($B$101+$C$101+$D$101+$E$101+$F$101+$G$101+$H$101+$I$101+$J$101)&lt;=25000,(($J$101/+$AH302)*AE302)*VLOOKUP('1. SUMMARY'!$C$20,rate,Sheet1!AH$21,0),((IF(($F$101+$B$101+$C$101+$D$101+$E$101+$G$101+$H$101+$I$101)&gt;=25000,0,(((25000-($B$101+$C$101+$D$101+$E$101+$F$101+$G$101+$H$101+$I$101))/+$AH302)*AE302)*(VLOOKUP('1. SUMMARY'!$C$20,rate,Sheet1!AH$21,0))))))))</f>
        <v>0</v>
      </c>
      <c r="AF303" s="417">
        <f>IF(AF302=0,0,(IF(($B$101+$C$101+$D$101+$E$101+$F$101+$G$101+$H$101+$I$101+$J$101)&lt;=25000,(($J$101/+$AH302)*AF302)*VLOOKUP('1. SUMMARY'!$C$20,rate,Sheet1!AI$21,0),((IF(($F$101+$B$101+$C$101+$D$101+$E$101+$G$101+$H$101+$I$101)&gt;=25000,0,(((25000-($B$101+$C$101+$D$101+$E$101+$F$101+$G$101+$H$101+$I$101))/+$AH302)*AF302)*(VLOOKUP('1. SUMMARY'!$C$20,rate,Sheet1!AI$21,0))))))))</f>
        <v>0</v>
      </c>
      <c r="AG303" s="417">
        <f>IF(AG302=0,0,(IF(($B$101+$C$101+$D$101+$E$101+$F$101+$G$101+$H$101+$I$101+$J$101)&lt;=25000,(($J$101/+$AH302)*AG302)*VLOOKUP('1. SUMMARY'!$C$20,rate,Sheet1!AJ$21,0),((IF(($F$101+$B$101+$C$101+$D$101+$E$101+$G$101+$H$101+$I$101)&gt;=25000,0,(((25000-($B$101+$C$101+$D$101+$E$101+$F$101+$G$101+$H$101+$I$101))/+$AH302)*AG302)*(VLOOKUP('1. SUMMARY'!$C$20,rate,Sheet1!AJ$21,0))))))))</f>
        <v>0</v>
      </c>
      <c r="AH303" s="219">
        <f>SUM(Q303:AG303)</f>
        <v>0</v>
      </c>
      <c r="AI303" s="417">
        <f>IF(AI302=0,0,((+$J101/$AZ302)*AI302)*VLOOKUP('1. SUMMARY'!$C$20,rate,Sheet1!T$21,0))</f>
        <v>0</v>
      </c>
      <c r="AJ303" s="417">
        <f>IF(AJ302=0,0,((+$J101/$AZ302)*AJ302)*VLOOKUP('1. SUMMARY'!$C$20,rate,Sheet1!U$21,0))</f>
        <v>0</v>
      </c>
      <c r="AK303" s="417">
        <f>IF(AK302=0,0,((+$J101/$AZ302)*AK302)*VLOOKUP('1. SUMMARY'!$C$20,rate,Sheet1!V$21,0))</f>
        <v>0</v>
      </c>
      <c r="AL303" s="417">
        <f>IF(AL302=0,0,((+$J101/$AZ302)*AL302)*VLOOKUP('1. SUMMARY'!$C$20,rate,Sheet1!W$21,0))</f>
        <v>0</v>
      </c>
      <c r="AM303" s="417">
        <f>IF(AM302=0,0,((+$J101/$AZ302)*AM302)*VLOOKUP('1. SUMMARY'!$C$20,rate,Sheet1!X$21,0))</f>
        <v>0</v>
      </c>
      <c r="AN303" s="417">
        <f>IF(AN302=0,0,((+$J101/$AZ302)*AN302)*VLOOKUP('1. SUMMARY'!$C$20,rate,Sheet1!Y$21,0))</f>
        <v>0</v>
      </c>
      <c r="AO303" s="417">
        <f>IF(AO302=0,0,((+$J101/$AZ302)*AO302)*VLOOKUP('1. SUMMARY'!$C$20,rate,Sheet1!Z$21,0))</f>
        <v>0</v>
      </c>
      <c r="AP303" s="417">
        <f>IF(AP302=0,0,((+$J101/$AZ302)*AP302)*VLOOKUP('1. SUMMARY'!$C$20,rate,Sheet1!AA$21,0))</f>
        <v>0</v>
      </c>
      <c r="AQ303" s="417">
        <f>IF(AQ302=0,0,((+$J101/$AZ302)*AQ302)*VLOOKUP('1. SUMMARY'!$C$20,rate,Sheet1!AB$21,0))</f>
        <v>0</v>
      </c>
      <c r="AR303" s="417">
        <f>IF(AR302=0,0,((+$J101/$AZ302)*AR302)*VLOOKUP('1. SUMMARY'!$C$20,rate,Sheet1!AC$21,0))</f>
        <v>0</v>
      </c>
      <c r="AS303" s="417">
        <f>IF(AS302=0,0,((+$J101/$AZ302)*AS302)*VLOOKUP('1. SUMMARY'!$C$20,rate,Sheet1!AD$21,0))</f>
        <v>0</v>
      </c>
      <c r="AT303" s="417">
        <f>IF(AT302=0,0,((+$J101/$AZ302)*AT302)*VLOOKUP('1. SUMMARY'!$C$20,rate,Sheet1!AE$21,0))</f>
        <v>0</v>
      </c>
      <c r="AU303" s="417">
        <f>IF(AU302=0,0,((+$J101/$AZ302)*AU302)*VLOOKUP('1. SUMMARY'!$C$20,rate,Sheet1!AF$21,0))</f>
        <v>0</v>
      </c>
      <c r="AV303" s="417">
        <f>IF(AV302=0,0,((+$J101/$AZ302)*AV302)*VLOOKUP('1. SUMMARY'!$C$20,rate,Sheet1!AG$21,0))</f>
        <v>0</v>
      </c>
      <c r="AW303" s="417">
        <f>IF(AW302=0,0,((+$J101/$AZ302)*AW302)*VLOOKUP('1. SUMMARY'!$C$20,rate,Sheet1!AH$21,0))</f>
        <v>0</v>
      </c>
      <c r="AX303" s="417">
        <f>IF(AX302=0,0,((+$J101/$AZ302)*AX302)*VLOOKUP('1. SUMMARY'!$C$20,rate,Sheet1!AI$21,0))</f>
        <v>0</v>
      </c>
      <c r="AY303" s="417">
        <f>IF(AY302=0,0,((+$J101/$AZ302)*AY302)*VLOOKUP('1. SUMMARY'!$C$20,rate,Sheet1!AJ$21,0))</f>
        <v>0</v>
      </c>
      <c r="AZ303" s="417">
        <f>SUM(AI303:AY303)</f>
        <v>0</v>
      </c>
    </row>
    <row r="304" spans="15:52" ht="12.75" hidden="1" customHeight="1">
      <c r="Q304" s="417">
        <f>+Q303/VLOOKUP('1. SUMMARY'!$C$20,rate,Sheet1!T$21,0)</f>
        <v>0</v>
      </c>
      <c r="R304" s="417">
        <f>+R303/VLOOKUP('1. SUMMARY'!$C$20,rate,Sheet1!U$21,0)</f>
        <v>0</v>
      </c>
      <c r="S304" s="417">
        <f>+S303/VLOOKUP('1. SUMMARY'!$C$20,rate,Sheet1!V$21,0)</f>
        <v>0</v>
      </c>
      <c r="T304" s="417">
        <f>+T303/VLOOKUP('1. SUMMARY'!$C$20,rate,Sheet1!W$21,0)</f>
        <v>0</v>
      </c>
      <c r="U304" s="417">
        <f>+U303/VLOOKUP('1. SUMMARY'!$C$20,rate,Sheet1!X$21,0)</f>
        <v>0</v>
      </c>
      <c r="V304" s="417">
        <f>+V303/VLOOKUP('1. SUMMARY'!$C$20,rate,Sheet1!Y$21,0)</f>
        <v>0</v>
      </c>
      <c r="W304" s="417">
        <f>+W303/VLOOKUP('1. SUMMARY'!$C$20,rate,Sheet1!Z$21,0)</f>
        <v>0</v>
      </c>
      <c r="X304" s="417">
        <f>+X303/VLOOKUP('1. SUMMARY'!$C$20,rate,Sheet1!AA$21,0)</f>
        <v>0</v>
      </c>
      <c r="Y304" s="417">
        <f>+Y303/VLOOKUP('1. SUMMARY'!$C$20,rate,Sheet1!AB$21,0)</f>
        <v>0</v>
      </c>
      <c r="Z304" s="417">
        <f>+Z303/VLOOKUP('1. SUMMARY'!$C$20,rate,Sheet1!AC$21,0)</f>
        <v>0</v>
      </c>
      <c r="AA304" s="417">
        <f>+AA303/VLOOKUP('1. SUMMARY'!$C$20,rate,Sheet1!AD$21,0)</f>
        <v>0</v>
      </c>
      <c r="AB304" s="417">
        <f>+AB303/VLOOKUP('1. SUMMARY'!$C$20,rate,Sheet1!AE$21,0)</f>
        <v>0</v>
      </c>
      <c r="AC304" s="417">
        <f>+AC303/VLOOKUP('1. SUMMARY'!$C$20,rate,Sheet1!AF$21,0)</f>
        <v>0</v>
      </c>
      <c r="AD304" s="417">
        <f>+AD303/VLOOKUP('1. SUMMARY'!$C$20,rate,Sheet1!AG$21,0)</f>
        <v>0</v>
      </c>
      <c r="AE304" s="417">
        <f>+AE303/VLOOKUP('1. SUMMARY'!$C$20,rate,Sheet1!AH$21,0)</f>
        <v>0</v>
      </c>
      <c r="AF304" s="417">
        <f>+AF303/VLOOKUP('1. SUMMARY'!$C$20,rate,Sheet1!AI$21,0)</f>
        <v>0</v>
      </c>
      <c r="AG304" s="417">
        <f>+AG303/VLOOKUP('1. SUMMARY'!$C$20,rate,Sheet1!AJ$21,0)</f>
        <v>0</v>
      </c>
      <c r="AH304" s="219"/>
      <c r="AI304" s="417"/>
      <c r="AJ304" s="417"/>
      <c r="AK304" s="417"/>
      <c r="AL304" s="417"/>
      <c r="AM304" s="417"/>
      <c r="AN304" s="417"/>
      <c r="AO304" s="417"/>
      <c r="AP304" s="417"/>
      <c r="AQ304" s="417"/>
      <c r="AR304" s="417"/>
      <c r="AS304" s="417"/>
      <c r="AT304" s="417"/>
      <c r="AU304" s="417"/>
      <c r="AV304" s="417"/>
      <c r="AW304" s="417"/>
      <c r="AX304" s="417"/>
      <c r="AY304" s="417"/>
      <c r="AZ304" s="417"/>
    </row>
    <row r="305" spans="15:52" ht="12.75" hidden="1" customHeight="1">
      <c r="Q305" s="420">
        <f>Sheet1!$T$8</f>
        <v>44105</v>
      </c>
      <c r="R305" s="420">
        <f>Sheet1!$U$8</f>
        <v>44470</v>
      </c>
      <c r="S305" s="420">
        <f>Sheet1!$V$8</f>
        <v>44835</v>
      </c>
      <c r="T305" s="420">
        <f>Sheet1!$W$8</f>
        <v>45200</v>
      </c>
      <c r="U305" s="420">
        <f>Sheet1!$X$8</f>
        <v>45566</v>
      </c>
      <c r="V305" s="420">
        <f>Sheet1!$Y$8</f>
        <v>45931</v>
      </c>
      <c r="W305" s="420">
        <f>Sheet1!$Z$8</f>
        <v>46296</v>
      </c>
      <c r="X305" s="420">
        <f>Sheet1!$AA$8</f>
        <v>46661</v>
      </c>
      <c r="Y305" s="420">
        <f>Sheet1!$AB$8</f>
        <v>47027</v>
      </c>
      <c r="Z305" s="420">
        <f>Sheet1!$AC$8</f>
        <v>47392</v>
      </c>
      <c r="AA305" s="420">
        <f>$AA$5</f>
        <v>47757</v>
      </c>
      <c r="AB305" s="420">
        <f>$AB$5</f>
        <v>48122</v>
      </c>
      <c r="AC305" s="420">
        <f>$AC$5</f>
        <v>48488</v>
      </c>
      <c r="AD305" s="420">
        <f>$AD$5</f>
        <v>48853</v>
      </c>
      <c r="AE305" s="420">
        <f>$AE$5</f>
        <v>49218</v>
      </c>
      <c r="AF305" s="420">
        <f>$AF$5</f>
        <v>49583</v>
      </c>
      <c r="AG305" s="420">
        <f>$AG$5</f>
        <v>49949</v>
      </c>
      <c r="AH305" s="219"/>
      <c r="AI305" s="420">
        <f t="shared" ref="AI305:AR307" si="146">+Q305</f>
        <v>44105</v>
      </c>
      <c r="AJ305" s="420">
        <f t="shared" si="146"/>
        <v>44470</v>
      </c>
      <c r="AK305" s="420">
        <f t="shared" si="146"/>
        <v>44835</v>
      </c>
      <c r="AL305" s="420">
        <f t="shared" si="146"/>
        <v>45200</v>
      </c>
      <c r="AM305" s="420">
        <f t="shared" si="146"/>
        <v>45566</v>
      </c>
      <c r="AN305" s="420">
        <f t="shared" si="146"/>
        <v>45931</v>
      </c>
      <c r="AO305" s="420">
        <f t="shared" si="146"/>
        <v>46296</v>
      </c>
      <c r="AP305" s="420">
        <f t="shared" si="146"/>
        <v>46661</v>
      </c>
      <c r="AQ305" s="420">
        <f t="shared" si="146"/>
        <v>47027</v>
      </c>
      <c r="AR305" s="420">
        <f t="shared" si="146"/>
        <v>47392</v>
      </c>
      <c r="AS305" s="420">
        <f t="shared" ref="AS305:AY307" si="147">+AA305</f>
        <v>47757</v>
      </c>
      <c r="AT305" s="420">
        <f t="shared" si="147"/>
        <v>48122</v>
      </c>
      <c r="AU305" s="420">
        <f t="shared" si="147"/>
        <v>48488</v>
      </c>
      <c r="AV305" s="420">
        <f t="shared" si="147"/>
        <v>48853</v>
      </c>
      <c r="AW305" s="420">
        <f t="shared" si="147"/>
        <v>49218</v>
      </c>
      <c r="AX305" s="420">
        <f t="shared" si="147"/>
        <v>49583</v>
      </c>
      <c r="AY305" s="420">
        <f t="shared" si="147"/>
        <v>49949</v>
      </c>
      <c r="AZ305" s="420"/>
    </row>
    <row r="306" spans="15:52" ht="12.75" hidden="1" customHeight="1">
      <c r="O306" s="207" t="s">
        <v>237</v>
      </c>
      <c r="Q306" s="420">
        <f>Sheet1!$T$9</f>
        <v>44469</v>
      </c>
      <c r="R306" s="420">
        <f>Sheet1!$U$9</f>
        <v>44834</v>
      </c>
      <c r="S306" s="420">
        <f>Sheet1!$V$9</f>
        <v>45199</v>
      </c>
      <c r="T306" s="420">
        <f>Sheet1!$W$9</f>
        <v>45565</v>
      </c>
      <c r="U306" s="420">
        <f>Sheet1!$X$9</f>
        <v>45930</v>
      </c>
      <c r="V306" s="420">
        <f>Sheet1!$Y$9</f>
        <v>46295</v>
      </c>
      <c r="W306" s="420">
        <f>Sheet1!$Z$9</f>
        <v>46660</v>
      </c>
      <c r="X306" s="420">
        <f>Sheet1!$AA$9</f>
        <v>47026</v>
      </c>
      <c r="Y306" s="420">
        <f>Sheet1!$AB$9</f>
        <v>47391</v>
      </c>
      <c r="Z306" s="420">
        <f>Sheet1!$AC$9</f>
        <v>47756</v>
      </c>
      <c r="AA306" s="420">
        <f>$AA$6</f>
        <v>48121</v>
      </c>
      <c r="AB306" s="420">
        <f>$AB$6</f>
        <v>48487</v>
      </c>
      <c r="AC306" s="420">
        <f>$AC$6</f>
        <v>48852</v>
      </c>
      <c r="AD306" s="420">
        <f>$AD$6</f>
        <v>49217</v>
      </c>
      <c r="AE306" s="420">
        <f>$AE$6</f>
        <v>49582</v>
      </c>
      <c r="AF306" s="420">
        <f>$AF$6</f>
        <v>49948</v>
      </c>
      <c r="AG306" s="420">
        <f>$AG$6</f>
        <v>50313</v>
      </c>
      <c r="AH306" s="219"/>
      <c r="AI306" s="420">
        <f t="shared" si="146"/>
        <v>44469</v>
      </c>
      <c r="AJ306" s="420">
        <f t="shared" si="146"/>
        <v>44834</v>
      </c>
      <c r="AK306" s="420">
        <f t="shared" si="146"/>
        <v>45199</v>
      </c>
      <c r="AL306" s="420">
        <f t="shared" si="146"/>
        <v>45565</v>
      </c>
      <c r="AM306" s="420">
        <f t="shared" si="146"/>
        <v>45930</v>
      </c>
      <c r="AN306" s="420">
        <f t="shared" si="146"/>
        <v>46295</v>
      </c>
      <c r="AO306" s="420">
        <f t="shared" si="146"/>
        <v>46660</v>
      </c>
      <c r="AP306" s="420">
        <f t="shared" si="146"/>
        <v>47026</v>
      </c>
      <c r="AQ306" s="420">
        <f t="shared" si="146"/>
        <v>47391</v>
      </c>
      <c r="AR306" s="420">
        <f t="shared" si="146"/>
        <v>47756</v>
      </c>
      <c r="AS306" s="420">
        <f t="shared" si="147"/>
        <v>48121</v>
      </c>
      <c r="AT306" s="420">
        <f t="shared" si="147"/>
        <v>48487</v>
      </c>
      <c r="AU306" s="420">
        <f t="shared" si="147"/>
        <v>48852</v>
      </c>
      <c r="AV306" s="420">
        <f t="shared" si="147"/>
        <v>49217</v>
      </c>
      <c r="AW306" s="420">
        <f t="shared" si="147"/>
        <v>49582</v>
      </c>
      <c r="AX306" s="420">
        <f t="shared" si="147"/>
        <v>49948</v>
      </c>
      <c r="AY306" s="420">
        <f t="shared" si="147"/>
        <v>50313</v>
      </c>
      <c r="AZ306" s="420"/>
    </row>
    <row r="307" spans="15:52" ht="12.75" hidden="1" customHeight="1">
      <c r="Q307" s="421">
        <f>IF(IF(Q306&lt;$K$27,0,DATEDIF($K$27,Q306+1,"m"))&lt;0,0,IF(Q306&lt;$K$27,0,DATEDIF($K$27,Q306+1,"m")))</f>
        <v>0</v>
      </c>
      <c r="R307" s="421">
        <f>IF(IF(Q307=12,0,IF(R306&gt;$K$28,12-DATEDIF($K$28,R306+1,"m"),IF(R306&lt;$K$27,0,DATEDIF($K$27,R306+1,"m"))))&lt;0,0,IF(Q307=12,0,IF(R306&gt;$K$28,12-DATEDIF($K$28,R306+1,"m"),IF(R306&lt;$K$27,0,DATEDIF($K$27,R306+1,"m")))))</f>
        <v>0</v>
      </c>
      <c r="S307" s="421">
        <f>IF(IF(Q307+R307=12,0,IF(S306&gt;$K$28,12-DATEDIF($K$28,S306+1,"m"),IF(S306&lt;$K$27,0,DATEDIF($K$27,S306+1,"m"))))&lt;0,0,IF(Q307+R307=12,0,IF(S306&gt;$K$28,12-DATEDIF($K$28,S306+1,"m"),IF(S306&lt;$K$27,0,DATEDIF($K$27,S306+1,"m")))))</f>
        <v>0</v>
      </c>
      <c r="T307" s="421">
        <f>IF(IF(R307+S307+Q307=12,0,IF(T306&gt;$K$28,12-DATEDIF($K$28,T306+1,"m"),IF(T306&lt;$K$27,0,DATEDIF($K$27,T306+1,"m"))))&lt;0,0,IF(R307+S307+Q307=12,0,IF(T306&gt;$K$28,12-DATEDIF($K$28,T306+1,"m"),IF(T306&lt;$K$27,0,DATEDIF($K$27,T306+1,"m")))))</f>
        <v>0</v>
      </c>
      <c r="U307" s="421">
        <f>IF(IF(S307+T307+R307+Q307=12,0,IF(U306&gt;$K$28,12-DATEDIF($K$28,U306+1,"m"),IF(U306&lt;$K$27,0,DATEDIF($K$27,U306+1,"m"))))&lt;0,0,IF(S307+T307+R307+Q307=12,0,IF(U306&gt;$K$28,12-DATEDIF($K$28,U306+1,"m"),IF(U306&lt;$K$27,0,DATEDIF($K$27,U306+1,"m")))))</f>
        <v>0</v>
      </c>
      <c r="V307" s="421">
        <f>IF(IF(T307+U307+S307+R307+Q307=12,0,IF(V306&gt;$K$28,12-DATEDIF($K$28,V306+1,"m"),IF(V306&lt;$K$27,0,DATEDIF($K$27,V306+1,"m"))))&lt;0,0,IF(T307+U307+S307+R307+Q307=12,0,IF(V306&gt;$K$28,12-DATEDIF($K$28,V306+1,"m"),IF(V306&lt;$K$27,0,DATEDIF($K$27,V306+1,"m")))))</f>
        <v>0</v>
      </c>
      <c r="W307" s="421">
        <f>IF(IF(U307+V307+T307+S307+R307+Q307=12,0,IF(W306&gt;$K$28,12-DATEDIF($K$28,W306+1,"m"),IF(W306&lt;$K$27,0,DATEDIF($K$27,W306+1,"m"))))&lt;0,0,IF(U307+V307+T307+S307+R307+Q307=12,0,IF(W306&gt;$K$28,12-DATEDIF($K$28,W306+1,"m"),IF(W306&lt;$K$27,0,DATEDIF($K$27,W306+1,"m")))))</f>
        <v>0</v>
      </c>
      <c r="X307" s="421">
        <f>IF(IF(V307+W307+U307+T307+S307+R307+Q307=12,0,IF(X306&gt;$K$28,12-DATEDIF($K$28,X306+1,"m"),IF(X306&lt;$K$27,0,DATEDIF($K$27,X306+1,"m"))))&lt;0,0,IF(V307+W307+U307+T307+S307+R307+Q307=12,0,IF(X306&gt;$K$28,12-DATEDIF($K$28,X306+1,"m"),IF(X306&lt;$K$27,0,DATEDIF($K$27,X306+1,"m")))))</f>
        <v>0</v>
      </c>
      <c r="Y307" s="421">
        <f>IF(IF(W307+X307+V307+U307+T307+S307+R307+Q307=12,0,IF(Y306&gt;$K$28,12-DATEDIF($K$28,Y306+1,"m"),IF(Y306&lt;$K$27,0,DATEDIF($K$27,Y306+1,"m"))))&lt;0,0,IF(W307+X307+V307+U307+T307+S307+R307+Q307=12,0,IF(Y306&gt;$K$28,12-DATEDIF($K$28,Y306+1,"m"),IF(Y306&lt;$K$27,0,DATEDIF($K$27,Y306+1,"m")))))</f>
        <v>0</v>
      </c>
      <c r="Z307" s="421">
        <f>IF(IF(X307+Y307+W307+V307+U307+T307+S307+R307+Q307=12,0,IF(Z306&gt;$K$28,12-DATEDIF($K$28,Z306+1,"m"),IF(Z306&lt;$K$27,0,DATEDIF($K$27,Z306+1,"m"))))&lt;0,0,IF(X307+Y307+W307+V307+U307+T307+S307+R307+Q307=12,0,IF(Z306&gt;$K$28,12-DATEDIF($K$28,Z306+1,"m"),IF(Z306&lt;$K$27,0,DATEDIF($K$27,Z306+1,"m")))))</f>
        <v>0</v>
      </c>
      <c r="AA307" s="421">
        <f>IF(IF(Q307+R307+S307+Y307+Z307+X307+W307+V307+U307+T307=12,0,IF(AA306&gt;$K$28,12-DATEDIF($K$28,AA306+1,"m"),IF(AA306&lt;$K$27,0,DATEDIF($K$27,AA306+1,"m"))))&lt;0,0,IF(Q307+R307+S307+Y307+Z307+X307+W307+V307+U307+T307=12,0,IF(AA306&gt;$K$28,12-DATEDIF($K$28,AA306+1,"m"),IF(AA306&lt;$K$27,0,DATEDIF($K$27,AA306+1,"m")))))</f>
        <v>0</v>
      </c>
      <c r="AB307" s="421">
        <f>IF(IF(Q307+R307+S307+T307+Z307+AA307+Y307+X307+W307+V307+U307=12,0,IF(AB306&gt;$K$28,12-DATEDIF($K$28,AB306+1,"m"),IF(AB306&lt;$K$27,0,DATEDIF($K$27,AB306+1,"m"))))&lt;0,0,IF(Q307+R307+S307+T307+Z307+AA307+Y307+X307+W307+V307+U307=12,0,IF(AB306&gt;$K$28,12-DATEDIF($K$28,AB306+1,"m"),IF(AB306&lt;$K$27,0,DATEDIF($K$27,AB306+1,"m")))))</f>
        <v>0</v>
      </c>
      <c r="AC307" s="421">
        <f>IF(IF(Q307+R307+S307+T307+U307+AA307+AB307+Z307+Y307+X307+W307+V307=12,0,IF(AC306&gt;$K$28,12-DATEDIF($K$28,AC306+1,"m"),IF(AC306&lt;$K$27,0,DATEDIF($K$27,AC306+1,"m"))))&lt;0,0,IF(Q307+R307+S307+T307+U307+AA307+AB307+Z307+Y307+X307+W307+V307=12,0,IF(AC306&gt;$K$28,12-DATEDIF($K$28,AC306+1,"m"),IF(AC306&lt;$K$27,0,DATEDIF($K$27,AC306+1,"m")))))</f>
        <v>0</v>
      </c>
      <c r="AD307" s="421">
        <f>IF(IF(Q307+R307+S307+T307+U307+V307+AB307+AC307+AA307+Z307+Y307+X307+W307=12,0,IF(AD306&gt;$K$28,12-DATEDIF($K$28,AD306+1,"m"),IF(AD306&lt;$K$27,0,DATEDIF($K$27,AD306+1,"m"))))&lt;0,0,IF(Q307+R307+S307+T307+U307+V307+AB307+AC307+AA307+Z307+Y307+X307+W307=12,0,IF(AD306&gt;$K$28,12-DATEDIF($K$28,AD306+1,"m"),IF(AD306&lt;$K$27,0,DATEDIF($K$27,AD306+1,"m")))))</f>
        <v>0</v>
      </c>
      <c r="AE307" s="421">
        <f>IF(IF(Q307+R307+S307+T307+U307+V307+W307+AC307+AD307+AB307+AA307+Z307+Y307+X307=12,0,IF(AE306&gt;$K$28,12-DATEDIF($K$28,AE306+1,"m"),IF(AE306&lt;$K$27,0,DATEDIF($K$27,AE306+1,"m"))))&lt;0,0,IF(Q307+R307+S307+T307+U307+V307+W307+AC307+AD307+AB307+AA307+Z307+Y307+X307=12,0,IF(AE306&gt;$K$28,12-DATEDIF($K$28,AE306+1,"m"),IF(AE306&lt;$K$27,0,DATEDIF($K$27,AE306+1,"m")))))</f>
        <v>0</v>
      </c>
      <c r="AF307" s="421">
        <f>IF(IF(Q307+R307+S307+T307+U307+V307+W307+X307+AD307+AE307+AC307+AB307+AA307+Z307+Y307=12,0,IF(AF306&gt;$K$28,12-DATEDIF($K$28,AF306+1,"m"),IF(AF306&lt;$K$27,0,DATEDIF($K$27,AF306+1,"m"))))&lt;0,0,IF(Q307+R307+S307+T307+U307+V307+W307+X307+AD307+AE307+AC307+AB307+AA307+Z307+Y307=12,0,IF(AF306&gt;$K$28,12-DATEDIF($K$28,AF306+1,"m"),IF(AF306&lt;$K$27,0,DATEDIF($K$27,AF306+1,"m")))))</f>
        <v>0</v>
      </c>
      <c r="AG307" s="421">
        <f>IF(IF(Q307+R307+S307+T307+U307+V307+W307+X307+Y307+AE307+AF307+AD307+AC307+AB307+AA307+Z307=12,0,IF(AG306&gt;$K$28,12-DATEDIF($K$28,AG306+1,"m"),IF(AG306&lt;$K$27,0,DATEDIF($K$27,AG306+1,"m"))))&lt;0,0,IF(Q307+R307+S307+T307+U307+V307+W307+X307+Y307+AE307+AF307+AD307+AC307+AB307+AA307+Z307=12,0,IF(AG306&gt;$K$28,12-DATEDIF($K$28,AG306+1,"m"),IF(AG306&lt;$K$27,0,DATEDIF($K$27,AG306+1,"m")))))</f>
        <v>0</v>
      </c>
      <c r="AH307" s="423">
        <f>SUM(Q307:AG307)</f>
        <v>0</v>
      </c>
      <c r="AI307" s="428">
        <f t="shared" si="146"/>
        <v>0</v>
      </c>
      <c r="AJ307" s="428">
        <f t="shared" si="146"/>
        <v>0</v>
      </c>
      <c r="AK307" s="428">
        <f t="shared" si="146"/>
        <v>0</v>
      </c>
      <c r="AL307" s="428">
        <f t="shared" si="146"/>
        <v>0</v>
      </c>
      <c r="AM307" s="428">
        <f t="shared" si="146"/>
        <v>0</v>
      </c>
      <c r="AN307" s="428">
        <f t="shared" si="146"/>
        <v>0</v>
      </c>
      <c r="AO307" s="428">
        <f t="shared" si="146"/>
        <v>0</v>
      </c>
      <c r="AP307" s="428">
        <f t="shared" si="146"/>
        <v>0</v>
      </c>
      <c r="AQ307" s="428">
        <f t="shared" si="146"/>
        <v>0</v>
      </c>
      <c r="AR307" s="428">
        <f t="shared" si="146"/>
        <v>0</v>
      </c>
      <c r="AS307" s="428">
        <f t="shared" si="147"/>
        <v>0</v>
      </c>
      <c r="AT307" s="428">
        <f t="shared" si="147"/>
        <v>0</v>
      </c>
      <c r="AU307" s="428">
        <f t="shared" si="147"/>
        <v>0</v>
      </c>
      <c r="AV307" s="428">
        <f t="shared" si="147"/>
        <v>0</v>
      </c>
      <c r="AW307" s="428">
        <f t="shared" si="147"/>
        <v>0</v>
      </c>
      <c r="AX307" s="428">
        <f t="shared" si="147"/>
        <v>0</v>
      </c>
      <c r="AY307" s="428">
        <f t="shared" si="147"/>
        <v>0</v>
      </c>
      <c r="AZ307" s="428">
        <f>SUM(AI307:AY307)</f>
        <v>0</v>
      </c>
    </row>
    <row r="308" spans="15:52" ht="12.75" hidden="1" customHeight="1">
      <c r="Q308" s="421">
        <f>IF(Q307=0,0,(IF(($B$101+$C$101+$D$101+$E$101+$F$101+$G$101+$H$101+$I$101+$J$101+$K$101)&lt;=25000,(($K$101/+$AH307)*Q307)*VLOOKUP('1. SUMMARY'!$C$20,rate,Sheet1!T$21,0),((IF(($F$101+$B$101+$C$101+$D$101+$E$101+$G$101+$H$101+$I$101+$J$101)&gt;=25000,0,(((25000-($B$101+$C$101+$D$101+$E$101+$F$101+$G$101+$H$101+$I$101+$J$101))/+$AH307)*Q307)*(VLOOKUP('1. SUMMARY'!$C$20,rate,Sheet1!T$21,0))))))))</f>
        <v>0</v>
      </c>
      <c r="R308" s="421">
        <f>IF(R307=0,0,(IF(($B$101+$C$101+$D$101+$E$101+$F$101+$G$101+$H$101+$I$101+$J$101+$K$101)&lt;=25000,(($K$101/+$AH307)*R307)*VLOOKUP('1. SUMMARY'!$C$20,rate,Sheet1!U$21,0),((IF(($F$101+$B$101+$C$101+$D$101+$E$101+$G$101+$H$101+$I$101+$J$101)&gt;=25000,0,(((25000-($B$101+$C$101+$D$101+$E$101+$F$101+$G$101+$H$101+$I$101+$J$101))/+$AH307)*R307)*(VLOOKUP('1. SUMMARY'!$C$20,rate,Sheet1!U$21,0))))))))</f>
        <v>0</v>
      </c>
      <c r="S308" s="421">
        <f>IF(S307=0,0,(IF(($B$101+$C$101+$D$101+$E$101+$F$101+$G$101+$H$101+$I$101+$J$101+$K$101)&lt;=25000,(($K$101/+$AH307)*S307)*VLOOKUP('1. SUMMARY'!$C$20,rate,Sheet1!V$21,0),((IF(($F$101+$B$101+$C$101+$D$101+$E$101+$G$101+$H$101+$I$101+$J$101)&gt;=25000,0,(((25000-($B$101+$C$101+$D$101+$E$101+$F$101+$G$101+$H$101+$I$101+$J$101))/+$AH307)*S307)*(VLOOKUP('1. SUMMARY'!$C$20,rate,Sheet1!V$21,0))))))))</f>
        <v>0</v>
      </c>
      <c r="T308" s="421">
        <f>IF(T307=0,0,(IF(($B$101+$C$101+$D$101+$E$101+$F$101+$G$101+$H$101+$I$101+$J$101+$K$101)&lt;=25000,(($K$101/+$AH307)*T307)*VLOOKUP('1. SUMMARY'!$C$20,rate,Sheet1!W$21,0),((IF(($F$101+$B$101+$C$101+$D$101+$E$101+$G$101+$H$101+$I$101+$J$101)&gt;=25000,0,(((25000-($B$101+$C$101+$D$101+$E$101+$F$101+$G$101+$H$101+$I$101+$J$101))/+$AH307)*T307)*(VLOOKUP('1. SUMMARY'!$C$20,rate,Sheet1!W$21,0))))))))</f>
        <v>0</v>
      </c>
      <c r="U308" s="421">
        <f>IF(U307=0,0,(IF(($B$101+$C$101+$D$101+$E$101+$F$101+$G$101+$H$101+$I$101+$J$101+$K$101)&lt;=25000,(($K$101/+$AH307)*U307)*VLOOKUP('1. SUMMARY'!$C$20,rate,Sheet1!X$21,0),((IF(($F$101+$B$101+$C$101+$D$101+$E$101+$G$101+$H$101+$I$101+$J$101)&gt;=25000,0,(((25000-($B$101+$C$101+$D$101+$E$101+$F$101+$G$101+$H$101+$I$101+$J$101))/+$AH307)*U307)*(VLOOKUP('1. SUMMARY'!$C$20,rate,Sheet1!X$21,0))))))))</f>
        <v>0</v>
      </c>
      <c r="V308" s="421">
        <f>IF(V307=0,0,(IF(($B$101+$C$101+$D$101+$E$101+$F$101+$G$101+$H$101+$I$101+$J$101+$K$101)&lt;=25000,(($K$101/+$AH307)*V307)*VLOOKUP('1. SUMMARY'!$C$20,rate,Sheet1!Y$21,0),((IF(($F$101+$B$101+$C$101+$D$101+$E$101+$G$101+$H$101+$I$101+$J$101)&gt;=25000,0,(((25000-($B$101+$C$101+$D$101+$E$101+$F$101+$G$101+$H$101+$I$101+$J$101))/+$AH307)*V307)*(VLOOKUP('1. SUMMARY'!$C$20,rate,Sheet1!Y$21,0))))))))</f>
        <v>0</v>
      </c>
      <c r="W308" s="421">
        <f>IF(W307=0,0,(IF(($B$101+$C$101+$D$101+$E$101+$F$101+$G$101+$H$101+$I$101+$J$101+$K$101)&lt;=25000,(($K$101/+$AH307)*W307)*VLOOKUP('1. SUMMARY'!$C$20,rate,Sheet1!Z$21,0),((IF(($F$101+$B$101+$C$101+$D$101+$E$101+$G$101+$H$101+$I$101+$J$101)&gt;=25000,0,(((25000-($B$101+$C$101+$D$101+$E$101+$F$101+$G$101+$H$101+$I$101+$J$101))/+$AH307)*W307)*(VLOOKUP('1. SUMMARY'!$C$20,rate,Sheet1!Z$21,0))))))))</f>
        <v>0</v>
      </c>
      <c r="X308" s="421">
        <f>IF(X307=0,0,(IF(($B$101+$C$101+$D$101+$E$101+$F$101+$G$101+$H$101+$I$101+$J$101+$K$101)&lt;=25000,(($K$101/+$AH307)*X307)*VLOOKUP('1. SUMMARY'!$C$20,rate,Sheet1!AA$21,0),((IF(($F$101+$B$101+$C$101+$D$101+$E$101+$G$101+$H$101+$I$101+$J$101)&gt;=25000,0,(((25000-($B$101+$C$101+$D$101+$E$101+$F$101+$G$101+$H$101+$I$101+$J$101))/+$AH307)*X307)*(VLOOKUP('1. SUMMARY'!$C$20,rate,Sheet1!AA$21,0))))))))</f>
        <v>0</v>
      </c>
      <c r="Y308" s="421">
        <f>IF(Y307=0,0,(IF(($B$101+$C$101+$D$101+$E$101+$F$101+$G$101+$H$101+$I$101+$J$101+$K$101)&lt;=25000,(($K$101/+$AH307)*Y307)*VLOOKUP('1. SUMMARY'!$C$20,rate,Sheet1!AB$21,0),((IF(($F$101+$B$101+$C$101+$D$101+$E$101+$G$101+$H$101+$I$101+$J$101)&gt;=25000,0,(((25000-($B$101+$C$101+$D$101+$E$101+$F$101+$G$101+$H$101+$I$101+$J$101))/+$AH307)*Y307)*(VLOOKUP('1. SUMMARY'!$C$20,rate,Sheet1!AB$21,0))))))))</f>
        <v>0</v>
      </c>
      <c r="Z308" s="421">
        <f>IF(Z307=0,0,(IF(($B$101+$C$101+$D$101+$E$101+$F$101+$G$101+$H$101+$I$101+$J$101+$K$101)&lt;=25000,(($K$101/+$AH307)*Z307)*VLOOKUP('1. SUMMARY'!$C$20,rate,Sheet1!AC$21,0),((IF(($F$101+$B$101+$C$101+$D$101+$E$101+$G$101+$H$101+$I$101+$J$101)&gt;=25000,0,(((25000-($B$101+$C$101+$D$101+$E$101+$F$101+$G$101+$H$101+$I$101+$J$101))/+$AH307)*Z307)*(VLOOKUP('1. SUMMARY'!$C$20,rate,Sheet1!AC$21,0))))))))</f>
        <v>0</v>
      </c>
      <c r="AA308" s="421">
        <f>IF(AA307=0,0,(IF(($B$101+$C$101+$D$101+$E$101+$F$101+$G$101+$H$101+$I$101+$J$101+$K$101)&lt;=25000,(($K$101/+$AH307)*AA307)*VLOOKUP('1. SUMMARY'!$C$20,rate,Sheet1!AD$21,0),((IF(($F$101+$B$101+$C$101+$D$101+$E$101+$G$101+$H$101+$I$101+$J$101)&gt;=25000,0,(((25000-($B$101+$C$101+$D$101+$E$101+$F$101+$G$101+$H$101+$I$101+$J$101))/+$AH307)*AA307)*(VLOOKUP('1. SUMMARY'!$C$20,rate,Sheet1!AD$21,0))))))))</f>
        <v>0</v>
      </c>
      <c r="AB308" s="421">
        <f>IF(AB307=0,0,(IF(($B$101+$C$101+$D$101+$E$101+$F$101+$G$101+$H$101+$I$101+$J$101+$K$101)&lt;=25000,(($K$101/+$AH307)*AB307)*VLOOKUP('1. SUMMARY'!$C$20,rate,Sheet1!AE$21,0),((IF(($F$101+$B$101+$C$101+$D$101+$E$101+$G$101+$H$101+$I$101+$J$101)&gt;=25000,0,(((25000-($B$101+$C$101+$D$101+$E$101+$F$101+$G$101+$H$101+$I$101+$J$101))/+$AH307)*AB307)*(VLOOKUP('1. SUMMARY'!$C$20,rate,Sheet1!AE$21,0))))))))</f>
        <v>0</v>
      </c>
      <c r="AC308" s="421">
        <f>IF(AC307=0,0,(IF(($B$101+$C$101+$D$101+$E$101+$F$101+$G$101+$H$101+$I$101+$J$101+$K$101)&lt;=25000,(($K$101/+$AH307)*AC307)*VLOOKUP('1. SUMMARY'!$C$20,rate,Sheet1!AF$21,0),((IF(($F$101+$B$101+$C$101+$D$101+$E$101+$G$101+$H$101+$I$101+$J$101)&gt;=25000,0,(((25000-($B$101+$C$101+$D$101+$E$101+$F$101+$G$101+$H$101+$I$101+$J$101))/+$AH307)*AC307)*(VLOOKUP('1. SUMMARY'!$C$20,rate,Sheet1!AF$21,0))))))))</f>
        <v>0</v>
      </c>
      <c r="AD308" s="421">
        <f>IF(AD307=0,0,(IF(($B$101+$C$101+$D$101+$E$101+$F$101+$G$101+$H$101+$I$101+$J$101+$K$101)&lt;=25000,(($K$101/+$AH307)*AD307)*VLOOKUP('1. SUMMARY'!$C$20,rate,Sheet1!AG$21,0),((IF(($F$101+$B$101+$C$101+$D$101+$E$101+$G$101+$H$101+$I$101+$J$101)&gt;=25000,0,(((25000-($B$101+$C$101+$D$101+$E$101+$F$101+$G$101+$H$101+$I$101+$J$101))/+$AH307)*AD307)*(VLOOKUP('1. SUMMARY'!$C$20,rate,Sheet1!AG$21,0))))))))</f>
        <v>0</v>
      </c>
      <c r="AE308" s="421">
        <f>IF(AE307=0,0,(IF(($B$101+$C$101+$D$101+$E$101+$F$101+$G$101+$H$101+$I$101+$J$101+$K$101)&lt;=25000,(($K$101/+$AH307)*AE307)*VLOOKUP('1. SUMMARY'!$C$20,rate,Sheet1!AH$21,0),((IF(($F$101+$B$101+$C$101+$D$101+$E$101+$G$101+$H$101+$I$101+$J$101)&gt;=25000,0,(((25000-($B$101+$C$101+$D$101+$E$101+$F$101+$G$101+$H$101+$I$101+$J$101))/+$AH307)*AE307)*(VLOOKUP('1. SUMMARY'!$C$20,rate,Sheet1!AH$21,0))))))))</f>
        <v>0</v>
      </c>
      <c r="AF308" s="421">
        <f>IF(AF307=0,0,(IF(($B$101+$C$101+$D$101+$E$101+$F$101+$G$101+$H$101+$I$101+$J$101+$K$101)&lt;=25000,(($K$101/+$AH307)*AF307)*VLOOKUP('1. SUMMARY'!$C$20,rate,Sheet1!AI$21,0),((IF(($F$101+$B$101+$C$101+$D$101+$E$101+$G$101+$H$101+$I$101+$J$101)&gt;=25000,0,(((25000-($B$101+$C$101+$D$101+$E$101+$F$101+$G$101+$H$101+$I$101+$J$101))/+$AH307)*AF307)*(VLOOKUP('1. SUMMARY'!$C$20,rate,Sheet1!AI$21,0))))))))</f>
        <v>0</v>
      </c>
      <c r="AG308" s="421">
        <f>IF(AG307=0,0,(IF(($B$101+$C$101+$D$101+$E$101+$F$101+$G$101+$H$101+$I$101+$J$101+$K$101)&lt;=25000,(($K$101/+$AH307)*AG307)*VLOOKUP('1. SUMMARY'!$C$20,rate,Sheet1!AJ$21,0),((IF(($F$101+$B$101+$C$101+$D$101+$E$101+$G$101+$H$101+$I$101+$J$101)&gt;=25000,0,(((25000-($B$101+$C$101+$D$101+$E$101+$F$101+$G$101+$H$101+$I$101+$J$101))/+$AH307)*AG307)*(VLOOKUP('1. SUMMARY'!$C$20,rate,Sheet1!AJ$21,0))))))))</f>
        <v>0</v>
      </c>
      <c r="AH308" s="423">
        <f>SUM(Q308:AG308)</f>
        <v>0</v>
      </c>
      <c r="AI308" s="421">
        <f>IF(AI307=0,0,((+$K101/$AZ307)*AI307)*VLOOKUP('1. SUMMARY'!$C$20,rate,Sheet1!T$21,0))</f>
        <v>0</v>
      </c>
      <c r="AJ308" s="421">
        <f>IF(AJ307=0,0,((+$K101/$AZ307)*AJ307)*VLOOKUP('1. SUMMARY'!$C$20,rate,Sheet1!U$21,0))</f>
        <v>0</v>
      </c>
      <c r="AK308" s="421">
        <f>IF(AK307=0,0,((+$K101/$AZ307)*AK307)*VLOOKUP('1. SUMMARY'!$C$20,rate,Sheet1!V$21,0))</f>
        <v>0</v>
      </c>
      <c r="AL308" s="421">
        <f>IF(AL307=0,0,((+$K101/$AZ307)*AL307)*VLOOKUP('1. SUMMARY'!$C$20,rate,Sheet1!W$21,0))</f>
        <v>0</v>
      </c>
      <c r="AM308" s="421">
        <f>IF(AM307=0,0,((+$K101/$AZ307)*AM307)*VLOOKUP('1. SUMMARY'!$C$20,rate,Sheet1!X$21,0))</f>
        <v>0</v>
      </c>
      <c r="AN308" s="421">
        <f>IF(AN307=0,0,((+$K101/$AZ307)*AN307)*VLOOKUP('1. SUMMARY'!$C$20,rate,Sheet1!Y$21,0))</f>
        <v>0</v>
      </c>
      <c r="AO308" s="421">
        <f>IF(AO307=0,0,((+$K101/$AZ307)*AO307)*VLOOKUP('1. SUMMARY'!$C$20,rate,Sheet1!Z$21,0))</f>
        <v>0</v>
      </c>
      <c r="AP308" s="421">
        <f>IF(AP307=0,0,((+$K101/$AZ307)*AP307)*VLOOKUP('1. SUMMARY'!$C$20,rate,Sheet1!AA$21,0))</f>
        <v>0</v>
      </c>
      <c r="AQ308" s="421">
        <f>IF(AQ307=0,0,((+$K101/$AZ307)*AQ307)*VLOOKUP('1. SUMMARY'!$C$20,rate,Sheet1!AB$21,0))</f>
        <v>0</v>
      </c>
      <c r="AR308" s="421">
        <f>IF(AR307=0,0,((+$K101/$AZ307)*AR307)*VLOOKUP('1. SUMMARY'!$C$20,rate,Sheet1!AC$21,0))</f>
        <v>0</v>
      </c>
      <c r="AS308" s="421">
        <f>IF(AS307=0,0,((+$K101/$AZ307)*AS307)*VLOOKUP('1. SUMMARY'!$C$20,rate,Sheet1!AD$21,0))</f>
        <v>0</v>
      </c>
      <c r="AT308" s="421">
        <f>IF(AT307=0,0,((+$K101/$AZ307)*AT307)*VLOOKUP('1. SUMMARY'!$C$20,rate,Sheet1!AE$21,0))</f>
        <v>0</v>
      </c>
      <c r="AU308" s="421">
        <f>IF(AU307=0,0,((+$K101/$AZ307)*AU307)*VLOOKUP('1. SUMMARY'!$C$20,rate,Sheet1!AF$21,0))</f>
        <v>0</v>
      </c>
      <c r="AV308" s="421">
        <f>IF(AV307=0,0,((+$K101/$AZ307)*AV307)*VLOOKUP('1. SUMMARY'!$C$20,rate,Sheet1!AG$21,0))</f>
        <v>0</v>
      </c>
      <c r="AW308" s="421">
        <f>IF(AW307=0,0,((+$K101/$AZ307)*AW307)*VLOOKUP('1. SUMMARY'!$C$20,rate,Sheet1!AH$21,0))</f>
        <v>0</v>
      </c>
      <c r="AX308" s="421">
        <f>IF(AX307=0,0,((+$K101/$AZ307)*AX307)*VLOOKUP('1. SUMMARY'!$C$20,rate,Sheet1!AI$21,0))</f>
        <v>0</v>
      </c>
      <c r="AY308" s="421">
        <f>IF(AY307=0,0,((+$K101/$AZ307)*AY307)*VLOOKUP('1. SUMMARY'!$C$20,rate,Sheet1!AJ$21,0))</f>
        <v>0</v>
      </c>
      <c r="AZ308" s="421">
        <f>SUM(AI308:AY308)</f>
        <v>0</v>
      </c>
    </row>
    <row r="309" spans="15:52" ht="12.75" hidden="1" customHeight="1">
      <c r="Q309" s="421">
        <f>+Q308/VLOOKUP('1. SUMMARY'!$C$20,rate,Sheet1!T$21,0)</f>
        <v>0</v>
      </c>
      <c r="R309" s="421">
        <f>+R308/VLOOKUP('1. SUMMARY'!$C$20,rate,Sheet1!U$21,0)</f>
        <v>0</v>
      </c>
      <c r="S309" s="421">
        <f>+S308/VLOOKUP('1. SUMMARY'!$C$20,rate,Sheet1!V$21,0)</f>
        <v>0</v>
      </c>
      <c r="T309" s="421">
        <f>+T308/VLOOKUP('1. SUMMARY'!$C$20,rate,Sheet1!W$21,0)</f>
        <v>0</v>
      </c>
      <c r="U309" s="421">
        <f>+U308/VLOOKUP('1. SUMMARY'!$C$20,rate,Sheet1!X$21,0)</f>
        <v>0</v>
      </c>
      <c r="V309" s="421">
        <f>+V308/VLOOKUP('1. SUMMARY'!$C$20,rate,Sheet1!Y$21,0)</f>
        <v>0</v>
      </c>
      <c r="W309" s="421">
        <f>+W308/VLOOKUP('1. SUMMARY'!$C$20,rate,Sheet1!Z$21,0)</f>
        <v>0</v>
      </c>
      <c r="X309" s="421">
        <f>+X308/VLOOKUP('1. SUMMARY'!$C$20,rate,Sheet1!AA$21,0)</f>
        <v>0</v>
      </c>
      <c r="Y309" s="421">
        <f>+Y308/VLOOKUP('1. SUMMARY'!$C$20,rate,Sheet1!AB$21,0)</f>
        <v>0</v>
      </c>
      <c r="Z309" s="421">
        <f>+Z308/VLOOKUP('1. SUMMARY'!$C$20,rate,Sheet1!AC$21,0)</f>
        <v>0</v>
      </c>
      <c r="AA309" s="421">
        <f>+AA308/VLOOKUP('1. SUMMARY'!$C$20,rate,Sheet1!AD$21,0)</f>
        <v>0</v>
      </c>
      <c r="AB309" s="421">
        <f>+AB308/VLOOKUP('1. SUMMARY'!$C$20,rate,Sheet1!AE$21,0)</f>
        <v>0</v>
      </c>
      <c r="AC309" s="421">
        <f>+AC308/VLOOKUP('1. SUMMARY'!$C$20,rate,Sheet1!AF$21,0)</f>
        <v>0</v>
      </c>
      <c r="AD309" s="421">
        <f>+AD308/VLOOKUP('1. SUMMARY'!$C$20,rate,Sheet1!AG$21,0)</f>
        <v>0</v>
      </c>
      <c r="AE309" s="421">
        <f>+AE308/VLOOKUP('1. SUMMARY'!$C$20,rate,Sheet1!AH$21,0)</f>
        <v>0</v>
      </c>
      <c r="AF309" s="421">
        <f>+AF308/VLOOKUP('1. SUMMARY'!$C$20,rate,Sheet1!AI$21,0)</f>
        <v>0</v>
      </c>
      <c r="AG309" s="421">
        <f>+AG308/VLOOKUP('1. SUMMARY'!$C$20,rate,Sheet1!AJ$21,0)</f>
        <v>0</v>
      </c>
      <c r="AH309" s="219"/>
      <c r="AI309" s="421"/>
      <c r="AJ309" s="421"/>
      <c r="AK309" s="421"/>
      <c r="AL309" s="421"/>
      <c r="AM309" s="421"/>
      <c r="AN309" s="421"/>
      <c r="AO309" s="421"/>
      <c r="AP309" s="421"/>
      <c r="AQ309" s="421"/>
      <c r="AR309" s="421"/>
      <c r="AS309" s="421"/>
      <c r="AT309" s="421"/>
      <c r="AU309" s="421"/>
      <c r="AV309" s="421"/>
      <c r="AW309" s="421"/>
      <c r="AX309" s="421"/>
      <c r="AY309" s="421"/>
      <c r="AZ309" s="421"/>
    </row>
    <row r="310" spans="15:52" ht="12.75" hidden="1" customHeight="1">
      <c r="P310" s="207">
        <f>IF(Q435=39356,(+P284+1),P284)</f>
        <v>1</v>
      </c>
      <c r="Q310" s="396">
        <f>Sheet1!$T$8</f>
        <v>44105</v>
      </c>
      <c r="R310" s="396">
        <f>Sheet1!$U$8</f>
        <v>44470</v>
      </c>
      <c r="S310" s="396">
        <f>Sheet1!$V$8</f>
        <v>44835</v>
      </c>
      <c r="T310" s="396">
        <f>Sheet1!$W$8</f>
        <v>45200</v>
      </c>
      <c r="U310" s="396">
        <f>Sheet1!$X$8</f>
        <v>45566</v>
      </c>
      <c r="V310" s="396">
        <f>Sheet1!$Y$8</f>
        <v>45931</v>
      </c>
      <c r="W310" s="396">
        <f>Sheet1!$Z$8</f>
        <v>46296</v>
      </c>
      <c r="X310" s="396">
        <f>Sheet1!$AA$8</f>
        <v>46661</v>
      </c>
      <c r="Y310" s="396">
        <f>Sheet1!$AB$8</f>
        <v>47027</v>
      </c>
      <c r="Z310" s="396">
        <f>Sheet1!$AC$8</f>
        <v>47392</v>
      </c>
      <c r="AA310" s="396">
        <f>$AA$5</f>
        <v>47757</v>
      </c>
      <c r="AB310" s="396">
        <f>$AB$5</f>
        <v>48122</v>
      </c>
      <c r="AC310" s="396">
        <f>$AC$5</f>
        <v>48488</v>
      </c>
      <c r="AD310" s="396">
        <f>$AD$5</f>
        <v>48853</v>
      </c>
      <c r="AE310" s="396">
        <f>$AE$5</f>
        <v>49218</v>
      </c>
      <c r="AF310" s="396">
        <f>$AF$5</f>
        <v>49583</v>
      </c>
      <c r="AG310" s="396">
        <f>$AG$5</f>
        <v>49949</v>
      </c>
      <c r="AH310" s="211"/>
      <c r="AI310" s="396">
        <f t="shared" ref="AI310:AR312" si="148">+Q310</f>
        <v>44105</v>
      </c>
      <c r="AJ310" s="396">
        <f t="shared" si="148"/>
        <v>44470</v>
      </c>
      <c r="AK310" s="396">
        <f t="shared" si="148"/>
        <v>44835</v>
      </c>
      <c r="AL310" s="396">
        <f t="shared" si="148"/>
        <v>45200</v>
      </c>
      <c r="AM310" s="396">
        <f t="shared" si="148"/>
        <v>45566</v>
      </c>
      <c r="AN310" s="396">
        <f t="shared" si="148"/>
        <v>45931</v>
      </c>
      <c r="AO310" s="396">
        <f t="shared" si="148"/>
        <v>46296</v>
      </c>
      <c r="AP310" s="396">
        <f t="shared" si="148"/>
        <v>46661</v>
      </c>
      <c r="AQ310" s="396">
        <f t="shared" si="148"/>
        <v>47027</v>
      </c>
      <c r="AR310" s="396">
        <f t="shared" si="148"/>
        <v>47392</v>
      </c>
      <c r="AS310" s="396">
        <f t="shared" ref="AS310:AY312" si="149">+AA310</f>
        <v>47757</v>
      </c>
      <c r="AT310" s="396">
        <f t="shared" si="149"/>
        <v>48122</v>
      </c>
      <c r="AU310" s="396">
        <f t="shared" si="149"/>
        <v>48488</v>
      </c>
      <c r="AV310" s="396">
        <f t="shared" si="149"/>
        <v>48853</v>
      </c>
      <c r="AW310" s="396">
        <f t="shared" si="149"/>
        <v>49218</v>
      </c>
      <c r="AX310" s="396">
        <f t="shared" si="149"/>
        <v>49583</v>
      </c>
      <c r="AY310" s="396">
        <f t="shared" si="149"/>
        <v>49949</v>
      </c>
      <c r="AZ310" s="396"/>
    </row>
    <row r="311" spans="15:52" ht="12.75" hidden="1" customHeight="1">
      <c r="P311" s="207">
        <f t="shared" ref="P311:P319" si="150">IF(Q436=39356,(+P310+1),P310)</f>
        <v>1</v>
      </c>
      <c r="Q311" s="396">
        <f>Sheet1!$T$9</f>
        <v>44469</v>
      </c>
      <c r="R311" s="396">
        <f>Sheet1!$U$9</f>
        <v>44834</v>
      </c>
      <c r="S311" s="396">
        <f>Sheet1!$V$9</f>
        <v>45199</v>
      </c>
      <c r="T311" s="396">
        <f>Sheet1!$W$9</f>
        <v>45565</v>
      </c>
      <c r="U311" s="396">
        <f>Sheet1!$X$9</f>
        <v>45930</v>
      </c>
      <c r="V311" s="396">
        <f>Sheet1!$Y$9</f>
        <v>46295</v>
      </c>
      <c r="W311" s="396">
        <f>Sheet1!$Z$9</f>
        <v>46660</v>
      </c>
      <c r="X311" s="396">
        <f>Sheet1!$AA$9</f>
        <v>47026</v>
      </c>
      <c r="Y311" s="396">
        <f>Sheet1!$AB$9</f>
        <v>47391</v>
      </c>
      <c r="Z311" s="396">
        <f>Sheet1!$AC$9</f>
        <v>47756</v>
      </c>
      <c r="AA311" s="396">
        <f>$AA$6</f>
        <v>48121</v>
      </c>
      <c r="AB311" s="396">
        <f>$AB$6</f>
        <v>48487</v>
      </c>
      <c r="AC311" s="396">
        <f>$AC$6</f>
        <v>48852</v>
      </c>
      <c r="AD311" s="396">
        <f>$AD$6</f>
        <v>49217</v>
      </c>
      <c r="AE311" s="396">
        <f>$AE$6</f>
        <v>49582</v>
      </c>
      <c r="AF311" s="396">
        <f>$AF$6</f>
        <v>49948</v>
      </c>
      <c r="AG311" s="396">
        <f>$AG$6</f>
        <v>50313</v>
      </c>
      <c r="AH311" s="211"/>
      <c r="AI311" s="396">
        <f t="shared" si="148"/>
        <v>44469</v>
      </c>
      <c r="AJ311" s="396">
        <f t="shared" si="148"/>
        <v>44834</v>
      </c>
      <c r="AK311" s="396">
        <f t="shared" si="148"/>
        <v>45199</v>
      </c>
      <c r="AL311" s="396">
        <f t="shared" si="148"/>
        <v>45565</v>
      </c>
      <c r="AM311" s="396">
        <f t="shared" si="148"/>
        <v>45930</v>
      </c>
      <c r="AN311" s="396">
        <f t="shared" si="148"/>
        <v>46295</v>
      </c>
      <c r="AO311" s="396">
        <f t="shared" si="148"/>
        <v>46660</v>
      </c>
      <c r="AP311" s="396">
        <f t="shared" si="148"/>
        <v>47026</v>
      </c>
      <c r="AQ311" s="396">
        <f t="shared" si="148"/>
        <v>47391</v>
      </c>
      <c r="AR311" s="396">
        <f t="shared" si="148"/>
        <v>47756</v>
      </c>
      <c r="AS311" s="396">
        <f t="shared" si="149"/>
        <v>48121</v>
      </c>
      <c r="AT311" s="396">
        <f t="shared" si="149"/>
        <v>48487</v>
      </c>
      <c r="AU311" s="396">
        <f t="shared" si="149"/>
        <v>48852</v>
      </c>
      <c r="AV311" s="396">
        <f t="shared" si="149"/>
        <v>49217</v>
      </c>
      <c r="AW311" s="396">
        <f t="shared" si="149"/>
        <v>49582</v>
      </c>
      <c r="AX311" s="396">
        <f t="shared" si="149"/>
        <v>49948</v>
      </c>
      <c r="AY311" s="396">
        <f t="shared" si="149"/>
        <v>50313</v>
      </c>
      <c r="AZ311" s="396"/>
    </row>
    <row r="312" spans="15:52" ht="12.75" hidden="1" customHeight="1">
      <c r="O312" s="207" t="s">
        <v>238</v>
      </c>
      <c r="P312" s="207">
        <f t="shared" si="150"/>
        <v>1</v>
      </c>
      <c r="Q312" s="397">
        <f>IF(IF(Q311&lt;$B$27,0,DATEDIF($B$27,Q311+1,"m"))&lt;0,0,IF(Q311&lt;$B$27,0,DATEDIF($B$27,Q311+1,"m")))</f>
        <v>1461</v>
      </c>
      <c r="R312" s="397">
        <f>IF(IF(Q312=12,0,IF(R311&gt;$B$28,12-DATEDIF($B$28,R311+1,"m"),IF(R311&lt;$B$27,0,DATEDIF($B$27,R311+1,"m"))))&lt;0,0,IF(Q312=12,0,IF(R311&gt;$B$28,12-DATEDIF($B$28,R311+1,"m"),IF(R311&lt;$B$27,0,DATEDIF($B$27,R311+1,"m")))))</f>
        <v>0</v>
      </c>
      <c r="S312" s="397">
        <f>IF(IF(Q312+R312=12,0,IF(S311&gt;$B$28,12-DATEDIF($B$28,S311+1,"m"),IF(S311&lt;$B$27,0,DATEDIF($B$27,S311+1,"m"))))&lt;0,0,IF(Q312+R312=12,0,IF(S311&gt;$B$28,12-DATEDIF($B$28,S311+1,"m"),IF(S311&lt;$B$27,0,DATEDIF($B$27,S311+1,"m")))))</f>
        <v>0</v>
      </c>
      <c r="T312" s="397">
        <f>IF(IF(R312+S312+Q312=12,0,IF(T311&gt;$B$28,12-DATEDIF($B$28,T311+1,"m"),IF(T311&lt;$B$27,0,DATEDIF($B$27,T311+1,"m"))))&lt;0,0,IF(R312+S312+Q312=12,0,IF(T311&gt;$B$28,12-DATEDIF($B$28,T311+1,"m"),IF(T311&lt;$B$27,0,DATEDIF($B$27,T311+1,"m")))))</f>
        <v>0</v>
      </c>
      <c r="U312" s="397">
        <f>IF(IF(S312+T312+R312+Q312=12,0,IF(U311&gt;$B$28,12-DATEDIF($B$28,U311+1,"m"),IF(U311&lt;$B$27,0,DATEDIF($B$27,U311+1,"m"))))&lt;0,0,IF(S312+T312+R312+Q312=12,0,IF(U311&gt;$B$28,12-DATEDIF($B$28,U311+1,"m"),IF(U311&lt;$B$27,0,DATEDIF($B$27,U311+1,"m")))))</f>
        <v>0</v>
      </c>
      <c r="V312" s="397">
        <f>IF(IF(T312+U312+S312+R312+Q312=12,0,IF(V311&gt;$B$28,12-DATEDIF($B$28,V311+1,"m"),IF(V311&lt;$B$27,0,DATEDIF($B$27,V311+1,"m"))))&lt;0,0,IF(T312+U312+S312+R312+Q312=12,0,IF(V311&gt;$B$28,12-DATEDIF($B$28,V311+1,"m"),IF(V311&lt;$B$27,0,DATEDIF($B$27,V311+1,"m")))))</f>
        <v>0</v>
      </c>
      <c r="W312" s="397">
        <f>IF(IF(U312+V312+T312+S312+R312+Q312=12,0,IF(W311&gt;$B$28,12-DATEDIF($B$28,W311+1,"m"),IF(W311&lt;$B$27,0,DATEDIF($B$27,W311+1,"m"))))&lt;0,0,IF(U312+V312+T312+S312+R312+Q312=12,0,IF(W311&gt;$B$28,12-DATEDIF($B$28,W311+1,"m"),IF(W311&lt;$B$27,0,DATEDIF($B$27,W311+1,"m")))))</f>
        <v>0</v>
      </c>
      <c r="X312" s="397">
        <f>IF(IF(V312+W312+U312+T312+S312+R312+Q312=12,0,IF(X311&gt;$B$28,12-DATEDIF($B$28,X311+1,"m"),IF(X311&lt;$B$27,0,DATEDIF($B$27,X311+1,"m"))))&lt;0,0,IF(V312+W312+U312+T312+S312+R312+Q312=12,0,IF(X311&gt;$B$28,12-DATEDIF($B$28,X311+1,"m"),IF(X311&lt;$B$27,0,DATEDIF($B$27,X311+1,"m")))))</f>
        <v>0</v>
      </c>
      <c r="Y312" s="397">
        <f>IF(IF(W312+X312+V312+U312+T312+S312+R312=12,0,IF(Y311&gt;$B$28,12-DATEDIF($B$28,Y311+1,"m"),IF(Y311&lt;$B$27,0,DATEDIF($B$27,Y311+1,"m"))))&lt;0,0,IF(W312+X312+V312+U312+T312+S312+R312=12,0,IF(Y311&gt;$B$28,12-DATEDIF($B$28,Y311+1,"m"),IF(Y311&lt;$B$27,0,DATEDIF($B$27,Y311+1,"m")))))</f>
        <v>0</v>
      </c>
      <c r="Z312" s="397">
        <f>IF(IF(X312+Y312+W312+V312+U312+T312+S312=12,0,IF(Z311&gt;$B$28,12-DATEDIF($B$28,Z311+1,"m"),IF(Z311&lt;$B$27,0,DATEDIF($B$27,Z311+1,"m"))))&lt;0,0,IF(X312+Y312+W312+V312+U312+T312+S312=12,0,IF(Z311&gt;$B$28,12-DATEDIF($B$28,Z311+1,"m"),IF(Z311&lt;$B$27,0,DATEDIF($B$27,Z311+1,"m")))))</f>
        <v>0</v>
      </c>
      <c r="AA312" s="397"/>
      <c r="AB312" s="397"/>
      <c r="AC312" s="397"/>
      <c r="AD312" s="397"/>
      <c r="AE312" s="397"/>
      <c r="AF312" s="397"/>
      <c r="AG312" s="397"/>
      <c r="AH312" s="423">
        <f>SUM(Q312:AG312)</f>
        <v>1461</v>
      </c>
      <c r="AI312" s="397">
        <f t="shared" si="148"/>
        <v>1461</v>
      </c>
      <c r="AJ312" s="397">
        <f t="shared" si="148"/>
        <v>0</v>
      </c>
      <c r="AK312" s="397">
        <f t="shared" si="148"/>
        <v>0</v>
      </c>
      <c r="AL312" s="397">
        <f t="shared" si="148"/>
        <v>0</v>
      </c>
      <c r="AM312" s="397">
        <f t="shared" si="148"/>
        <v>0</v>
      </c>
      <c r="AN312" s="397">
        <f t="shared" si="148"/>
        <v>0</v>
      </c>
      <c r="AO312" s="397">
        <f t="shared" si="148"/>
        <v>0</v>
      </c>
      <c r="AP312" s="397">
        <f t="shared" si="148"/>
        <v>0</v>
      </c>
      <c r="AQ312" s="397">
        <f t="shared" si="148"/>
        <v>0</v>
      </c>
      <c r="AR312" s="397">
        <f t="shared" si="148"/>
        <v>0</v>
      </c>
      <c r="AS312" s="397">
        <f t="shared" si="149"/>
        <v>0</v>
      </c>
      <c r="AT312" s="397">
        <f t="shared" si="149"/>
        <v>0</v>
      </c>
      <c r="AU312" s="397">
        <f t="shared" si="149"/>
        <v>0</v>
      </c>
      <c r="AV312" s="397">
        <f t="shared" si="149"/>
        <v>0</v>
      </c>
      <c r="AW312" s="397">
        <f t="shared" si="149"/>
        <v>0</v>
      </c>
      <c r="AX312" s="397">
        <f t="shared" si="149"/>
        <v>0</v>
      </c>
      <c r="AY312" s="397">
        <f t="shared" si="149"/>
        <v>0</v>
      </c>
      <c r="AZ312" s="397">
        <f>SUM(AI312:AY312)</f>
        <v>1461</v>
      </c>
    </row>
    <row r="313" spans="15:52" ht="12.75" hidden="1" customHeight="1">
      <c r="P313" s="207">
        <f t="shared" si="150"/>
        <v>1</v>
      </c>
      <c r="Q313" s="398">
        <f>IF(Q312=0,0,(IF($B$118&gt;25000,((25000/+$AH312)*Q312)*VLOOKUP('1. SUMMARY'!$C$20,rate,Sheet1!T$21,0),(($B$118/+$AH312)*Q312)*VLOOKUP('1. SUMMARY'!$C$20,rate,Sheet1!T$21,0))))</f>
        <v>0</v>
      </c>
      <c r="R313" s="398">
        <f>IF(R312=0,0,(IF($B$118&gt;25000,((25000/+$AH312)*R312)*VLOOKUP('1. SUMMARY'!$C$20,rate,Sheet1!U$21,0),(($B$118/+$AH312)*R312)*VLOOKUP('1. SUMMARY'!$C$20,rate,Sheet1!U$21,0))))</f>
        <v>0</v>
      </c>
      <c r="S313" s="398">
        <f>IF(S312=0,0,(IF($B$118&gt;25000,((25000/+$AH312)*S312)*VLOOKUP('1. SUMMARY'!$C$20,rate,Sheet1!V$21,0),(($B$118/+$AH312)*S312)*VLOOKUP('1. SUMMARY'!$C$20,rate,Sheet1!V$21,0))))</f>
        <v>0</v>
      </c>
      <c r="T313" s="398">
        <f>IF(T312=0,0,(IF($B$118&gt;25000,((25000/+$AH312)*T312)*VLOOKUP('1. SUMMARY'!$C$20,rate,Sheet1!W$21,0),(($B$118/+$AH312)*T312)*VLOOKUP('1. SUMMARY'!$C$20,rate,Sheet1!W$21,0))))</f>
        <v>0</v>
      </c>
      <c r="U313" s="398">
        <f>IF(U312=0,0,(IF($B$118&gt;25000,((25000/+$AH312)*U312)*VLOOKUP('1. SUMMARY'!$C$20,rate,Sheet1!X$21,0),(($B$118/+$AH312)*U312)*VLOOKUP('1. SUMMARY'!$C$20,rate,Sheet1!X$21,0))))</f>
        <v>0</v>
      </c>
      <c r="V313" s="398">
        <f>IF(V312=0,0,(IF($B$118&gt;25000,((25000/+$AH312)*V312)*VLOOKUP('1. SUMMARY'!$C$20,rate,Sheet1!Y$21,0),(($B$118/+$AH312)*V312)*VLOOKUP('1. SUMMARY'!$C$20,rate,Sheet1!Y$21,0))))</f>
        <v>0</v>
      </c>
      <c r="W313" s="398">
        <f>IF(W312=0,0,(IF($B$118&gt;25000,((25000/+$AH312)*W312)*VLOOKUP('1. SUMMARY'!$C$20,rate,Sheet1!Z$21,0),(($B$118/+$AH312)*W312)*VLOOKUP('1. SUMMARY'!$C$20,rate,Sheet1!Z$21,0))))</f>
        <v>0</v>
      </c>
      <c r="X313" s="398">
        <f>IF(X312=0,0,(IF($B$118&gt;25000,((25000/+$AH312)*X312)*VLOOKUP('1. SUMMARY'!$C$20,rate,Sheet1!AA$21,0),(($B$118/+$AH312)*X312)*VLOOKUP('1. SUMMARY'!$C$20,rate,Sheet1!AA$21,0))))</f>
        <v>0</v>
      </c>
      <c r="Y313" s="398">
        <f>IF(Y312=0,0,(IF($B$118&gt;25000,((25000/+$AH312)*Y312)*VLOOKUP('1. SUMMARY'!$C$20,rate,Sheet1!AB$21,0),(($B$118/+$AH312)*Y312)*VLOOKUP('1. SUMMARY'!$C$20,rate,Sheet1!AB$21,0))))</f>
        <v>0</v>
      </c>
      <c r="Z313" s="398">
        <f>IF(Z312=0,0,(IF($B$118&gt;25000,((25000/+$AH312)*Z312)*VLOOKUP('1. SUMMARY'!$C$20,rate,Sheet1!AC$21,0),(($B$118/+$AH312)*Z312)*VLOOKUP('1. SUMMARY'!$C$20,rate,Sheet1!AC$21,0))))</f>
        <v>0</v>
      </c>
      <c r="AA313" s="398">
        <f>IF(AA312=0,0,(IF($B$118&gt;25000,((25000/+$AH312)*AA312)*VLOOKUP('1. SUMMARY'!$C$20,rate,Sheet1!AD$21,0),(($B$118/+$AH312)*AA312)*VLOOKUP('1. SUMMARY'!$C$20,rate,Sheet1!AD$21,0))))</f>
        <v>0</v>
      </c>
      <c r="AB313" s="398">
        <f>IF(AB312=0,0,(IF($B$118&gt;25000,((25000/+$AH312)*AB312)*VLOOKUP('1. SUMMARY'!$C$20,rate,Sheet1!AE$21,0),(($B$118/+$AH312)*AB312)*VLOOKUP('1. SUMMARY'!$C$20,rate,Sheet1!AE$21,0))))</f>
        <v>0</v>
      </c>
      <c r="AC313" s="398">
        <f>IF(AC312=0,0,(IF($B$118&gt;25000,((25000/+$AH312)*AC312)*VLOOKUP('1. SUMMARY'!$C$20,rate,Sheet1!AF$21,0),(($B$118/+$AH312)*AC312)*VLOOKUP('1. SUMMARY'!$C$20,rate,Sheet1!AF$21,0))))</f>
        <v>0</v>
      </c>
      <c r="AD313" s="398">
        <f>IF(AD312=0,0,(IF($B$118&gt;25000,((25000/+$AH312)*AD312)*VLOOKUP('1. SUMMARY'!$C$20,rate,Sheet1!AG$21,0),(($B$118/+$AH312)*AD312)*VLOOKUP('1. SUMMARY'!$C$20,rate,Sheet1!AG$21,0))))</f>
        <v>0</v>
      </c>
      <c r="AE313" s="398">
        <f>IF(AE312=0,0,(IF($B$118&gt;25000,((25000/+$AH312)*AE312)*VLOOKUP('1. SUMMARY'!$C$20,rate,Sheet1!AH$21,0),(($B$118/+$AH312)*AE312)*VLOOKUP('1. SUMMARY'!$C$20,rate,Sheet1!AH$21,0))))</f>
        <v>0</v>
      </c>
      <c r="AF313" s="398">
        <f>IF(AF312=0,0,(IF($B$118&gt;25000,((25000/+$AH312)*AF312)*VLOOKUP('1. SUMMARY'!$C$20,rate,Sheet1!AI$21,0),(($B$118/+$AH312)*AF312)*VLOOKUP('1. SUMMARY'!$C$20,rate,Sheet1!AI$21,0))))</f>
        <v>0</v>
      </c>
      <c r="AG313" s="398">
        <f>IF(AG312=0,0,(IF($B$118&gt;25000,((25000/+$AH312)*AG312)*VLOOKUP('1. SUMMARY'!$C$20,rate,Sheet1!AJ$21,0),(($B$118/+$AH312)*AG312)*VLOOKUP('1. SUMMARY'!$C$20,rate,Sheet1!AJ$21,0))))</f>
        <v>0</v>
      </c>
      <c r="AH313" s="219">
        <f>SUM(Q313:AG313)</f>
        <v>0</v>
      </c>
      <c r="AI313" s="398">
        <f>IF(Q312=0,0,((+$B118/$AZ312)*AI312)*VLOOKUP('1. SUMMARY'!$C$20,rate,Sheet1!T$21,0))</f>
        <v>0</v>
      </c>
      <c r="AJ313" s="398">
        <f>IF(R312=0,0,((+$B118/$AZ312)*AJ312)*VLOOKUP('1. SUMMARY'!$C$20,rate,Sheet1!U$21,0))</f>
        <v>0</v>
      </c>
      <c r="AK313" s="398">
        <f>IF(S312=0,0,((+$B118/$AZ312)*AK312)*VLOOKUP('1. SUMMARY'!$C$20,rate,Sheet1!V$21,0))</f>
        <v>0</v>
      </c>
      <c r="AL313" s="398">
        <f>IF(T312=0,0,((+$B118/$AZ312)*AL312)*VLOOKUP('1. SUMMARY'!$C$20,rate,Sheet1!W$21,0))</f>
        <v>0</v>
      </c>
      <c r="AM313" s="398">
        <f>IF(U312=0,0,((+$B118/$AZ312)*AM312)*VLOOKUP('1. SUMMARY'!$C$20,rate,Sheet1!X$21,0))</f>
        <v>0</v>
      </c>
      <c r="AN313" s="398">
        <f>IF(V312=0,0,((+$B118/$AZ312)*AN312)*VLOOKUP('1. SUMMARY'!$C$20,rate,Sheet1!Y$21,0))</f>
        <v>0</v>
      </c>
      <c r="AO313" s="398">
        <f>IF(W312=0,0,((+$B118/$AZ312)*AO312)*VLOOKUP('1. SUMMARY'!$C$20,rate,Sheet1!Z$21,0))</f>
        <v>0</v>
      </c>
      <c r="AP313" s="398">
        <f>IF(X312=0,0,((+$B118/$AZ312)*AP312)*VLOOKUP('1. SUMMARY'!$C$20,rate,Sheet1!AA$21,0))</f>
        <v>0</v>
      </c>
      <c r="AQ313" s="398">
        <f>IF(Y312=0,0,((+$B118/$AZ312)*AQ312)*VLOOKUP('1. SUMMARY'!$C$20,rate,Sheet1!AB$21,0))</f>
        <v>0</v>
      </c>
      <c r="AR313" s="398">
        <f>IF(Z312=0,0,((+$B118/$AZ312)*AR312)*VLOOKUP('1. SUMMARY'!$C$20,rate,Sheet1!AC$21,0))</f>
        <v>0</v>
      </c>
      <c r="AS313" s="398">
        <f>IF(AA312=0,0,((+$B118/$AZ312)*AS312)*VLOOKUP('1. SUMMARY'!$C$20,rate,Sheet1!AD$21,0))</f>
        <v>0</v>
      </c>
      <c r="AT313" s="398">
        <f>IF(AB312=0,0,((+$B118/$AZ312)*AT312)*VLOOKUP('1. SUMMARY'!$C$20,rate,Sheet1!AE$21,0))</f>
        <v>0</v>
      </c>
      <c r="AU313" s="398">
        <f>IF(AC312=0,0,((+$B118/$AZ312)*AU312)*VLOOKUP('1. SUMMARY'!$C$20,rate,Sheet1!AF$21,0))</f>
        <v>0</v>
      </c>
      <c r="AV313" s="398">
        <f>IF(AD312=0,0,((+$B118/$AZ312)*AV312)*VLOOKUP('1. SUMMARY'!$C$20,rate,Sheet1!AG$21,0))</f>
        <v>0</v>
      </c>
      <c r="AW313" s="398">
        <f>IF(AE312=0,0,((+$B118/$AZ312)*AW312)*VLOOKUP('1. SUMMARY'!$C$20,rate,Sheet1!AH$21,0))</f>
        <v>0</v>
      </c>
      <c r="AX313" s="398">
        <f>IF(AF312=0,0,((+$B118/$AZ312)*AX312)*VLOOKUP('1. SUMMARY'!$C$20,rate,Sheet1!AI$21,0))</f>
        <v>0</v>
      </c>
      <c r="AY313" s="398">
        <f>IF(AG312=0,0,((+$B118/$AZ312)*AY312)*VLOOKUP('1. SUMMARY'!$C$20,rate,Sheet1!AJ$21,0))</f>
        <v>0</v>
      </c>
      <c r="AZ313" s="398">
        <f>SUM(AI313:AY313)</f>
        <v>0</v>
      </c>
    </row>
    <row r="314" spans="15:52" ht="12.75" hidden="1" customHeight="1">
      <c r="P314" s="207">
        <f t="shared" si="150"/>
        <v>1</v>
      </c>
      <c r="Q314" s="398">
        <f>+Q313/VLOOKUP('1. SUMMARY'!$C$20,rate,Sheet1!T$21,0)</f>
        <v>0</v>
      </c>
      <c r="R314" s="398">
        <f>+R313/VLOOKUP('1. SUMMARY'!$C$20,rate,Sheet1!U$21,0)</f>
        <v>0</v>
      </c>
      <c r="S314" s="398">
        <f>+S313/VLOOKUP('1. SUMMARY'!$C$20,rate,Sheet1!V$21,0)</f>
        <v>0</v>
      </c>
      <c r="T314" s="398">
        <f>+T313/VLOOKUP('1. SUMMARY'!$C$20,rate,Sheet1!W$21,0)</f>
        <v>0</v>
      </c>
      <c r="U314" s="398">
        <f>+U313/VLOOKUP('1. SUMMARY'!$C$20,rate,Sheet1!X$21,0)</f>
        <v>0</v>
      </c>
      <c r="V314" s="398">
        <f>+V313/VLOOKUP('1. SUMMARY'!$C$20,rate,Sheet1!Y$21,0)</f>
        <v>0</v>
      </c>
      <c r="W314" s="398">
        <f>+W313/VLOOKUP('1. SUMMARY'!$C$20,rate,Sheet1!Z$21,0)</f>
        <v>0</v>
      </c>
      <c r="X314" s="398">
        <f>+X313/VLOOKUP('1. SUMMARY'!$C$20,rate,Sheet1!AA$21,0)</f>
        <v>0</v>
      </c>
      <c r="Y314" s="398">
        <f>+Y313/VLOOKUP('1. SUMMARY'!$C$20,rate,Sheet1!AB$21,0)</f>
        <v>0</v>
      </c>
      <c r="Z314" s="398">
        <f>+Z313/VLOOKUP('1. SUMMARY'!$C$20,rate,Sheet1!AC$21,0)</f>
        <v>0</v>
      </c>
      <c r="AA314" s="398">
        <f>+AA313/VLOOKUP('1. SUMMARY'!$C$20,rate,Sheet1!AD$21,0)</f>
        <v>0</v>
      </c>
      <c r="AB314" s="398">
        <f>+AB313/VLOOKUP('1. SUMMARY'!$C$20,rate,Sheet1!AE$21,0)</f>
        <v>0</v>
      </c>
      <c r="AC314" s="398">
        <f>+AC313/VLOOKUP('1. SUMMARY'!$C$20,rate,Sheet1!AF$21,0)</f>
        <v>0</v>
      </c>
      <c r="AD314" s="398">
        <f>+AD313/VLOOKUP('1. SUMMARY'!$C$20,rate,Sheet1!AG$21,0)</f>
        <v>0</v>
      </c>
      <c r="AE314" s="398">
        <f>+AE313/VLOOKUP('1. SUMMARY'!$C$20,rate,Sheet1!AH$21,0)</f>
        <v>0</v>
      </c>
      <c r="AF314" s="398">
        <f>+AF313/VLOOKUP('1. SUMMARY'!$C$20,rate,Sheet1!AI$21,0)</f>
        <v>0</v>
      </c>
      <c r="AG314" s="398">
        <f>+AG313/VLOOKUP('1. SUMMARY'!$C$20,rate,Sheet1!AJ$21,0)</f>
        <v>0</v>
      </c>
      <c r="AH314" s="219"/>
      <c r="AI314" s="398">
        <v>0</v>
      </c>
      <c r="AJ314" s="398">
        <v>0</v>
      </c>
      <c r="AK314" s="398">
        <v>0</v>
      </c>
      <c r="AL314" s="398">
        <v>0</v>
      </c>
      <c r="AM314" s="398">
        <v>0</v>
      </c>
      <c r="AN314" s="398">
        <v>0</v>
      </c>
      <c r="AO314" s="398">
        <v>0</v>
      </c>
      <c r="AP314" s="398">
        <v>0</v>
      </c>
      <c r="AQ314" s="398"/>
      <c r="AR314" s="398"/>
      <c r="AS314" s="398"/>
      <c r="AT314" s="398"/>
      <c r="AU314" s="398"/>
      <c r="AV314" s="398"/>
      <c r="AW314" s="398"/>
      <c r="AX314" s="398"/>
      <c r="AY314" s="398"/>
      <c r="AZ314" s="398"/>
    </row>
    <row r="315" spans="15:52" ht="12.75" hidden="1" customHeight="1">
      <c r="P315" s="207">
        <f t="shared" si="150"/>
        <v>1</v>
      </c>
      <c r="Q315" s="402">
        <f>Sheet1!$T$8</f>
        <v>44105</v>
      </c>
      <c r="R315" s="402">
        <f>Sheet1!$U$8</f>
        <v>44470</v>
      </c>
      <c r="S315" s="402">
        <f>Sheet1!$V$8</f>
        <v>44835</v>
      </c>
      <c r="T315" s="402">
        <f>Sheet1!$W$8</f>
        <v>45200</v>
      </c>
      <c r="U315" s="402">
        <f>Sheet1!$X$8</f>
        <v>45566</v>
      </c>
      <c r="V315" s="402">
        <f>Sheet1!$Y$8</f>
        <v>45931</v>
      </c>
      <c r="W315" s="402">
        <f>Sheet1!$Z$8</f>
        <v>46296</v>
      </c>
      <c r="X315" s="402">
        <f>Sheet1!$AA$8</f>
        <v>46661</v>
      </c>
      <c r="Y315" s="402">
        <f>Sheet1!$AB$8</f>
        <v>47027</v>
      </c>
      <c r="Z315" s="402">
        <f>Sheet1!$AC$8</f>
        <v>47392</v>
      </c>
      <c r="AA315" s="402">
        <f>$AA$5</f>
        <v>47757</v>
      </c>
      <c r="AB315" s="402">
        <f>$AB$5</f>
        <v>48122</v>
      </c>
      <c r="AC315" s="402">
        <f>$AC$5</f>
        <v>48488</v>
      </c>
      <c r="AD315" s="402">
        <f>$AD$5</f>
        <v>48853</v>
      </c>
      <c r="AE315" s="402">
        <f>$AE$5</f>
        <v>49218</v>
      </c>
      <c r="AF315" s="402">
        <f>$AF$5</f>
        <v>49583</v>
      </c>
      <c r="AG315" s="402">
        <f>$AG$5</f>
        <v>49949</v>
      </c>
      <c r="AH315" s="211"/>
      <c r="AI315" s="402">
        <f t="shared" ref="AI315:AR317" si="151">+Q315</f>
        <v>44105</v>
      </c>
      <c r="AJ315" s="402">
        <f t="shared" si="151"/>
        <v>44470</v>
      </c>
      <c r="AK315" s="402">
        <f t="shared" si="151"/>
        <v>44835</v>
      </c>
      <c r="AL315" s="402">
        <f t="shared" si="151"/>
        <v>45200</v>
      </c>
      <c r="AM315" s="402">
        <f t="shared" si="151"/>
        <v>45566</v>
      </c>
      <c r="AN315" s="402">
        <f t="shared" si="151"/>
        <v>45931</v>
      </c>
      <c r="AO315" s="402">
        <f t="shared" si="151"/>
        <v>46296</v>
      </c>
      <c r="AP315" s="402">
        <f t="shared" si="151"/>
        <v>46661</v>
      </c>
      <c r="AQ315" s="402">
        <f t="shared" si="151"/>
        <v>47027</v>
      </c>
      <c r="AR315" s="402">
        <f t="shared" si="151"/>
        <v>47392</v>
      </c>
      <c r="AS315" s="402">
        <f t="shared" ref="AS315:AY317" si="152">+AA315</f>
        <v>47757</v>
      </c>
      <c r="AT315" s="402">
        <f t="shared" si="152"/>
        <v>48122</v>
      </c>
      <c r="AU315" s="402">
        <f t="shared" si="152"/>
        <v>48488</v>
      </c>
      <c r="AV315" s="402">
        <f t="shared" si="152"/>
        <v>48853</v>
      </c>
      <c r="AW315" s="402">
        <f t="shared" si="152"/>
        <v>49218</v>
      </c>
      <c r="AX315" s="402">
        <f t="shared" si="152"/>
        <v>49583</v>
      </c>
      <c r="AY315" s="402">
        <f t="shared" si="152"/>
        <v>49949</v>
      </c>
      <c r="AZ315" s="402"/>
    </row>
    <row r="316" spans="15:52" ht="12.75" hidden="1" customHeight="1">
      <c r="P316" s="207">
        <f t="shared" si="150"/>
        <v>1</v>
      </c>
      <c r="Q316" s="402">
        <f>Sheet1!$T$9</f>
        <v>44469</v>
      </c>
      <c r="R316" s="402">
        <f>Sheet1!$U$9</f>
        <v>44834</v>
      </c>
      <c r="S316" s="402">
        <f>Sheet1!$V$9</f>
        <v>45199</v>
      </c>
      <c r="T316" s="402">
        <f>Sheet1!$W$9</f>
        <v>45565</v>
      </c>
      <c r="U316" s="402">
        <f>Sheet1!$X$9</f>
        <v>45930</v>
      </c>
      <c r="V316" s="402">
        <f>Sheet1!$Y$9</f>
        <v>46295</v>
      </c>
      <c r="W316" s="402">
        <f>Sheet1!$Z$9</f>
        <v>46660</v>
      </c>
      <c r="X316" s="402">
        <f>Sheet1!$AA$9</f>
        <v>47026</v>
      </c>
      <c r="Y316" s="402">
        <f>Sheet1!$AB$9</f>
        <v>47391</v>
      </c>
      <c r="Z316" s="402">
        <f>Sheet1!$AC$9</f>
        <v>47756</v>
      </c>
      <c r="AA316" s="402">
        <f>$AA$6</f>
        <v>48121</v>
      </c>
      <c r="AB316" s="402">
        <f>$AB$6</f>
        <v>48487</v>
      </c>
      <c r="AC316" s="402">
        <f>$AC$6</f>
        <v>48852</v>
      </c>
      <c r="AD316" s="402">
        <f>$AD$6</f>
        <v>49217</v>
      </c>
      <c r="AE316" s="402">
        <f>$AE$6</f>
        <v>49582</v>
      </c>
      <c r="AF316" s="402">
        <f>$AF$6</f>
        <v>49948</v>
      </c>
      <c r="AG316" s="402">
        <f>$AG$6</f>
        <v>50313</v>
      </c>
      <c r="AH316" s="211"/>
      <c r="AI316" s="402">
        <f t="shared" si="151"/>
        <v>44469</v>
      </c>
      <c r="AJ316" s="402">
        <f t="shared" si="151"/>
        <v>44834</v>
      </c>
      <c r="AK316" s="402">
        <f t="shared" si="151"/>
        <v>45199</v>
      </c>
      <c r="AL316" s="402">
        <f t="shared" si="151"/>
        <v>45565</v>
      </c>
      <c r="AM316" s="402">
        <f t="shared" si="151"/>
        <v>45930</v>
      </c>
      <c r="AN316" s="402">
        <f t="shared" si="151"/>
        <v>46295</v>
      </c>
      <c r="AO316" s="402">
        <f t="shared" si="151"/>
        <v>46660</v>
      </c>
      <c r="AP316" s="402">
        <f t="shared" si="151"/>
        <v>47026</v>
      </c>
      <c r="AQ316" s="402">
        <f t="shared" si="151"/>
        <v>47391</v>
      </c>
      <c r="AR316" s="402">
        <f t="shared" si="151"/>
        <v>47756</v>
      </c>
      <c r="AS316" s="402">
        <f t="shared" si="152"/>
        <v>48121</v>
      </c>
      <c r="AT316" s="402">
        <f t="shared" si="152"/>
        <v>48487</v>
      </c>
      <c r="AU316" s="402">
        <f t="shared" si="152"/>
        <v>48852</v>
      </c>
      <c r="AV316" s="402">
        <f t="shared" si="152"/>
        <v>49217</v>
      </c>
      <c r="AW316" s="402">
        <f t="shared" si="152"/>
        <v>49582</v>
      </c>
      <c r="AX316" s="402">
        <f t="shared" si="152"/>
        <v>49948</v>
      </c>
      <c r="AY316" s="402">
        <f t="shared" si="152"/>
        <v>50313</v>
      </c>
      <c r="AZ316" s="402"/>
    </row>
    <row r="317" spans="15:52" ht="12.75" hidden="1" customHeight="1">
      <c r="O317" s="207" t="s">
        <v>239</v>
      </c>
      <c r="P317" s="207">
        <f t="shared" si="150"/>
        <v>1</v>
      </c>
      <c r="Q317" s="403">
        <f>IF(IF(Q316&lt;$C$27,0,DATEDIF($C$27,Q316+1,"m"))&lt;0,0,IF(Q316&lt;$C$27,0,DATEDIF($C$27,Q316+1,"m")))</f>
        <v>0</v>
      </c>
      <c r="R317" s="403">
        <f>IF(IF(Q317=12,0,IF(R316&gt;$C$28,12-DATEDIF($C$28,R316+1,"m"),IF(R316&lt;$C$27,0,DATEDIF($C$27,R316+1,"m"))))&lt;0,0,IF(Q317=12,0,IF(R316&gt;$C$28,12-DATEDIF($C$28,R316+1,"m"),IF(R316&lt;$C$27,0,DATEDIF($C$27,R316+1,"m")))))</f>
        <v>0</v>
      </c>
      <c r="S317" s="403">
        <f>IF(IF(Q317+R317=12,0,IF(S316&gt;$C$28,12-DATEDIF($C$28,S316+1,"m"),IF(S316&lt;$C$27,0,DATEDIF($C$27,S316+1,"m"))))&lt;0,0,IF(Q317+R317=12,0,IF(S316&gt;$C$28,12-DATEDIF($C$28,S316+1,"m"),IF(S316&lt;$C$27,0,DATEDIF($C$27,S316+1,"m")))))</f>
        <v>0</v>
      </c>
      <c r="T317" s="403">
        <f>IF(IF(R317+S317+Q317=12,0,IF(T316&gt;$C$28,12-DATEDIF($C$28,T316+1,"m"),IF(T316&lt;$C$27,0,DATEDIF($C$27,T316+1,"m"))))&lt;0,0,IF(R317+S317+Q317=12,0,IF(T316&gt;$C$28,12-DATEDIF($C$28,T316+1,"m"),IF(T316&lt;$C$27,0,DATEDIF($C$27,T316+1,"m")))))</f>
        <v>0</v>
      </c>
      <c r="U317" s="403">
        <f>IF(IF(S317+T317+R317+Q317=12,0,IF(U316&gt;$C$28,12-DATEDIF($C$28,U316+1,"m"),IF(U316&lt;$C$27,0,DATEDIF($C$27,U316+1,"m"))))&lt;0,0,IF(S317+T317+R317+Q317=12,0,IF(U316&gt;$C$28,12-DATEDIF($C$28,U316+1,"m"),IF(U316&lt;$C$27,0,DATEDIF($C$27,U316+1,"m")))))</f>
        <v>0</v>
      </c>
      <c r="V317" s="403">
        <f>IF(IF(T317+U317+S317+R317+Q317=12,0,IF(V316&gt;$C$28,12-DATEDIF($C$28,V316+1,"m"),IF(V316&lt;$C$27,0,DATEDIF($C$27,V316+1,"m"))))&lt;0,0,IF(T317+U317+S317+R317+Q317=12,0,IF(V316&gt;$C$28,12-DATEDIF($C$28,V316+1,"m"),IF(V316&lt;$C$27,0,DATEDIF($C$27,V316+1,"m")))))</f>
        <v>0</v>
      </c>
      <c r="W317" s="403">
        <f>IF(IF(U317+V317+T317+S317+R317+Q317=12,0,IF(W316&gt;$C$28,12-DATEDIF($C$28,W316+1,"m"),IF(W316&lt;$C$27,0,DATEDIF($C$27,W316+1,"m"))))&lt;0,0,IF(U317+V317+T317+S317+R317+Q317=12,0,IF(W316&gt;$C$28,12-DATEDIF($C$28,W316+1,"m"),IF(W316&lt;$C$27,0,DATEDIF($C$27,W316+1,"m")))))</f>
        <v>0</v>
      </c>
      <c r="X317" s="403">
        <f>IF(IF(V317+W317+U317+T317+S317+R317+Q317=12,0,IF(X316&gt;$C$28,12-DATEDIF($C$28,X316+1,"m"),IF(X316&lt;$C$27,0,DATEDIF($C$27,X316+1,"m"))))&lt;0,0,IF(V317+W317+U317+T317+S317+R317+Q317=12,0,IF(X316&gt;$C$28,12-DATEDIF($C$28,X316+1,"m"),IF(X316&lt;$C$27,0,DATEDIF($C$27,X316+1,"m")))))</f>
        <v>0</v>
      </c>
      <c r="Y317" s="403">
        <f>IF(IF(Q317+W317+X317+V317+U317+T317+S317+R317=12,0,IF(Y316&gt;$C$28,12-DATEDIF($C$28,Y316+1,"m"),IF(Y316&lt;$C$27,0,DATEDIF($C$27,Y316+1,"m"))))&lt;0,0,IF(Q317+W317+X317+V317+U317+T317+S317+R317=12,0,IF(Y316&gt;$C$28,12-DATEDIF($C$28,Y316+1,"m"),IF(Y316&lt;$C$27,0,DATEDIF($C$27,Y316+1,"m")))))</f>
        <v>0</v>
      </c>
      <c r="Z317" s="403">
        <f>IF(IF(Q317+R317+X317+Y317+W317+V317+U317+T317+S317=12,0,IF(Z316&gt;$C$28,12-DATEDIF($C$28,Z316+1,"m"),IF(Z316&lt;$C$27,0,DATEDIF($C$27,Z316+1,"m"))))&lt;0,0,IF(+Q317+R317+X317+Y317+W317+V317+U317+T317+S317=12,0,IF(Z316&gt;$C$28,12-DATEDIF($C$28,Z316+1,"m"),IF(Z316&lt;$C$27,0,DATEDIF($C$27,Z316+1,"m")))))</f>
        <v>0</v>
      </c>
      <c r="AA317" s="403"/>
      <c r="AB317" s="403"/>
      <c r="AC317" s="403"/>
      <c r="AD317" s="403"/>
      <c r="AE317" s="403"/>
      <c r="AF317" s="403"/>
      <c r="AG317" s="403"/>
      <c r="AH317" s="423">
        <f>SUM(Q317:AG317)</f>
        <v>0</v>
      </c>
      <c r="AI317" s="403">
        <f t="shared" si="151"/>
        <v>0</v>
      </c>
      <c r="AJ317" s="403">
        <f t="shared" si="151"/>
        <v>0</v>
      </c>
      <c r="AK317" s="403">
        <f t="shared" si="151"/>
        <v>0</v>
      </c>
      <c r="AL317" s="403">
        <f t="shared" si="151"/>
        <v>0</v>
      </c>
      <c r="AM317" s="403">
        <f t="shared" si="151"/>
        <v>0</v>
      </c>
      <c r="AN317" s="403">
        <f t="shared" si="151"/>
        <v>0</v>
      </c>
      <c r="AO317" s="403">
        <f t="shared" si="151"/>
        <v>0</v>
      </c>
      <c r="AP317" s="403">
        <f t="shared" si="151"/>
        <v>0</v>
      </c>
      <c r="AQ317" s="403">
        <f t="shared" si="151"/>
        <v>0</v>
      </c>
      <c r="AR317" s="403">
        <f t="shared" si="151"/>
        <v>0</v>
      </c>
      <c r="AS317" s="403">
        <f t="shared" si="152"/>
        <v>0</v>
      </c>
      <c r="AT317" s="403">
        <f t="shared" si="152"/>
        <v>0</v>
      </c>
      <c r="AU317" s="403">
        <f t="shared" si="152"/>
        <v>0</v>
      </c>
      <c r="AV317" s="403">
        <f t="shared" si="152"/>
        <v>0</v>
      </c>
      <c r="AW317" s="403">
        <f t="shared" si="152"/>
        <v>0</v>
      </c>
      <c r="AX317" s="403">
        <f t="shared" si="152"/>
        <v>0</v>
      </c>
      <c r="AY317" s="403">
        <f t="shared" si="152"/>
        <v>0</v>
      </c>
      <c r="AZ317" s="403">
        <f>SUM(AI317:AY317)</f>
        <v>0</v>
      </c>
    </row>
    <row r="318" spans="15:52" ht="12.75" hidden="1" customHeight="1">
      <c r="P318" s="207">
        <f t="shared" si="150"/>
        <v>1</v>
      </c>
      <c r="Q318" s="404">
        <f>IF(Q317=0,0,(IF(($C$118+$B$118)&lt;=25000,(($C$118/+$AH317)*Q317)*VLOOKUP('1. SUMMARY'!$C$20,rate,Sheet1!T$21,0),((IF($B$118&gt;=25000,0,((25000-$B$118)/+$AH317)*Q317)*VLOOKUP('1. SUMMARY'!$C$20,rate,Sheet1!T$21,0))))))</f>
        <v>0</v>
      </c>
      <c r="R318" s="404">
        <f>IF(R317=0,0,(IF(($C$118+$B$118)&lt;=25000,(($C$118/+$AH317)*R317)*VLOOKUP('1. SUMMARY'!$C$20,rate,Sheet1!U$21,0),((IF($B$118&gt;=25000,0,((25000-$B$118)/+$AH317)*R317)*VLOOKUP('1. SUMMARY'!$C$20,rate,Sheet1!U$21,0))))))</f>
        <v>0</v>
      </c>
      <c r="S318" s="404">
        <f>IF(S317=0,0,(IF(($C$118+$B$118)&lt;=25000,(($C$118/+$AH317)*S317)*VLOOKUP('1. SUMMARY'!$C$20,rate,Sheet1!V$21,0),((IF($B$118&gt;=25000,0,((25000-$B$118)/+$AH317)*S317)*VLOOKUP('1. SUMMARY'!$C$20,rate,Sheet1!V$21,0))))))</f>
        <v>0</v>
      </c>
      <c r="T318" s="404">
        <f>IF(T317=0,0,(IF(($C$118+$B$118)&lt;=25000,(($C$118/+$AH317)*T317)*VLOOKUP('1. SUMMARY'!$C$20,rate,Sheet1!W$21,0),((IF($B$118&gt;=25000,0,((25000-$B$118)/+$AH317)*T317)*VLOOKUP('1. SUMMARY'!$C$20,rate,Sheet1!W$21,0))))))</f>
        <v>0</v>
      </c>
      <c r="U318" s="404">
        <f>IF(U317=0,0,(IF(($C$118+$B$118)&lt;=25000,(($C$118/+$AH317)*U317)*VLOOKUP('1. SUMMARY'!$C$20,rate,Sheet1!X$21,0),((IF($B$118&gt;=25000,0,((25000-$B$118)/+$AH317)*U317)*VLOOKUP('1. SUMMARY'!$C$20,rate,Sheet1!X$21,0))))))</f>
        <v>0</v>
      </c>
      <c r="V318" s="404">
        <f>IF(V317=0,0,(IF(($C$118+$B$118)&lt;=25000,(($C$118/+$AH317)*V317)*VLOOKUP('1. SUMMARY'!$C$20,rate,Sheet1!Y$21,0),((IF($B$118&gt;=25000,0,((25000-$B$118)/+$AH317)*V317)*VLOOKUP('1. SUMMARY'!$C$20,rate,Sheet1!Y$21,0))))))</f>
        <v>0</v>
      </c>
      <c r="W318" s="404">
        <f>IF(W317=0,0,(IF(($C$118+$B$118)&lt;=25000,(($C$118/+$AH317)*W317)*VLOOKUP('1. SUMMARY'!$C$20,rate,Sheet1!Z$21,0),((IF($B$118&gt;=25000,0,((25000-$B$118)/+$AH317)*W317)*VLOOKUP('1. SUMMARY'!$C$20,rate,Sheet1!Z$21,0))))))</f>
        <v>0</v>
      </c>
      <c r="X318" s="404">
        <f>IF(X317=0,0,(IF(($C$118+$B$118)&lt;=25000,(($C$118/+$AH317)*X317)*VLOOKUP('1. SUMMARY'!$C$20,rate,Sheet1!AA$21,0),((IF($B$118&gt;=25000,0,((25000-$B$118)/+$AH317)*X317)*VLOOKUP('1. SUMMARY'!$C$20,rate,Sheet1!AA$21,0))))))</f>
        <v>0</v>
      </c>
      <c r="Y318" s="404">
        <f>IF(Y317=0,0,(IF(($C$118+$B$118)&lt;=25000,(($C$118/+$AH317)*Y317)*VLOOKUP('1. SUMMARY'!$C$20,rate,Sheet1!AB$21,0),((IF($B$118&gt;=25000,0,((25000-$B$118)/+$AH317)*Y317)*VLOOKUP('1. SUMMARY'!$C$20,rate,Sheet1!AB$21,0))))))</f>
        <v>0</v>
      </c>
      <c r="Z318" s="404">
        <f>IF(Z317=0,0,(IF(($C$118+$B$118)&lt;=25000,(($C$118/+$AH317)*Z317)*VLOOKUP('1. SUMMARY'!$C$20,rate,Sheet1!AC$21,0),((IF($B$118&gt;=25000,0,((25000-$B$118)/+$AH317)*Z317)*VLOOKUP('1. SUMMARY'!$C$20,rate,Sheet1!AC$21,0))))))</f>
        <v>0</v>
      </c>
      <c r="AA318" s="404">
        <f>IF(AA317=0,0,(IF(($C$118+$B$118)&lt;=25000,(($C$118/+$AH317)*AA317)*VLOOKUP('1. SUMMARY'!$C$20,rate,Sheet1!AD$21,0),((IF($B$118&gt;=25000,0,((25000-$B$118)/+$AH317)*AA317)*VLOOKUP('1. SUMMARY'!$C$20,rate,Sheet1!AD$21,0))))))</f>
        <v>0</v>
      </c>
      <c r="AB318" s="404">
        <f>IF(AB317=0,0,(IF(($C$118+$B$118)&lt;=25000,(($C$118/+$AH317)*AB317)*VLOOKUP('1. SUMMARY'!$C$20,rate,Sheet1!AE$21,0),((IF($B$118&gt;=25000,0,((25000-$B$118)/+$AH317)*AB317)*VLOOKUP('1. SUMMARY'!$C$20,rate,Sheet1!AE$21,0))))))</f>
        <v>0</v>
      </c>
      <c r="AC318" s="404">
        <f>IF(AC317=0,0,(IF(($C$118+$B$118)&lt;=25000,(($C$118/+$AH317)*AC317)*VLOOKUP('1. SUMMARY'!$C$20,rate,Sheet1!AF$21,0),((IF($B$118&gt;=25000,0,((25000-$B$118)/+$AH317)*AC317)*VLOOKUP('1. SUMMARY'!$C$20,rate,Sheet1!AF$21,0))))))</f>
        <v>0</v>
      </c>
      <c r="AD318" s="404">
        <f>IF(AD317=0,0,(IF(($C$118+$B$118)&lt;=25000,(($C$118/+$AH317)*AD317)*VLOOKUP('1. SUMMARY'!$C$20,rate,Sheet1!AG$21,0),((IF($B$118&gt;=25000,0,((25000-$B$118)/+$AH317)*AD317)*VLOOKUP('1. SUMMARY'!$C$20,rate,Sheet1!AG$21,0))))))</f>
        <v>0</v>
      </c>
      <c r="AE318" s="404">
        <f>IF(AE317=0,0,(IF(($C$118+$B$118)&lt;=25000,(($C$118/+$AH317)*AE317)*VLOOKUP('1. SUMMARY'!$C$20,rate,Sheet1!AH$21,0),((IF($B$118&gt;=25000,0,((25000-$B$118)/+$AH317)*AE317)*VLOOKUP('1. SUMMARY'!$C$20,rate,Sheet1!AH$21,0))))))</f>
        <v>0</v>
      </c>
      <c r="AF318" s="404">
        <f>IF(AF317=0,0,(IF(($C$118+$B$118)&lt;=25000,(($C$118/+$AH317)*AF317)*VLOOKUP('1. SUMMARY'!$C$20,rate,Sheet1!AI$21,0),((IF($B$118&gt;=25000,0,((25000-$B$118)/+$AH317)*AF317)*VLOOKUP('1. SUMMARY'!$C$20,rate,Sheet1!AI$21,0))))))</f>
        <v>0</v>
      </c>
      <c r="AG318" s="404">
        <f>IF(AG317=0,0,(IF(($C$118+$B$118)&lt;=25000,(($C$118/+$AH317)*AG317)*VLOOKUP('1. SUMMARY'!$C$20,rate,Sheet1!AJ$21,0),((IF($B$118&gt;=25000,0,((25000-$B$118)/+$AH317)*AG317)*VLOOKUP('1. SUMMARY'!$C$20,rate,Sheet1!AJ$21,0))))))</f>
        <v>0</v>
      </c>
      <c r="AH318" s="219">
        <f>SUM(Q318:AG318)</f>
        <v>0</v>
      </c>
      <c r="AI318" s="404">
        <f>IF(AI317=0,0,((+$C118/$AZ317)*AI317)*VLOOKUP('1. SUMMARY'!$C$20,rate,Sheet1!T$21,0))</f>
        <v>0</v>
      </c>
      <c r="AJ318" s="404">
        <f>IF(AJ317=0,0,((+$C118/$AZ317)*AJ317)*VLOOKUP('1. SUMMARY'!$C$20,rate,Sheet1!U$21,0))</f>
        <v>0</v>
      </c>
      <c r="AK318" s="404">
        <f>IF(AK317=0,0,((+$C118/$AZ317)*AK317)*VLOOKUP('1. SUMMARY'!$C$20,rate,Sheet1!V$21,0))</f>
        <v>0</v>
      </c>
      <c r="AL318" s="404">
        <f>IF(AL317=0,0,((+$C118/$AZ317)*AL317)*VLOOKUP('1. SUMMARY'!$C$20,rate,Sheet1!W$21,0))</f>
        <v>0</v>
      </c>
      <c r="AM318" s="404">
        <f>IF(AM317=0,0,((+$C118/$AZ317)*AM317)*VLOOKUP('1. SUMMARY'!$C$20,rate,Sheet1!X$21,0))</f>
        <v>0</v>
      </c>
      <c r="AN318" s="404">
        <f>IF(AN317=0,0,((+$C118/$AZ317)*AN317)*VLOOKUP('1. SUMMARY'!$C$20,rate,Sheet1!Y$21,0))</f>
        <v>0</v>
      </c>
      <c r="AO318" s="404">
        <f>IF(AO317=0,0,((+$C118/$AZ317)*AO317)*VLOOKUP('1. SUMMARY'!$C$20,rate,Sheet1!Z$21,0))</f>
        <v>0</v>
      </c>
      <c r="AP318" s="404">
        <f>IF(AP317=0,0,((+$C118/$AZ317)*AP317)*VLOOKUP('1. SUMMARY'!$C$20,rate,Sheet1!AA$21,0))</f>
        <v>0</v>
      </c>
      <c r="AQ318" s="404">
        <f>IF(AQ317=0,0,((+$C118/$AZ317)*AQ317)*VLOOKUP('1. SUMMARY'!$C$20,rate,Sheet1!AB$21,0))</f>
        <v>0</v>
      </c>
      <c r="AR318" s="404">
        <f>IF(AR317=0,0,((+$C118/$AZ317)*AR317)*VLOOKUP('1. SUMMARY'!$C$20,rate,Sheet1!AC$21,0))</f>
        <v>0</v>
      </c>
      <c r="AS318" s="404">
        <f>IF(AS317=0,0,((+$C118/$AZ317)*AS317)*VLOOKUP('1. SUMMARY'!$C$20,rate,Sheet1!AD$21,0))</f>
        <v>0</v>
      </c>
      <c r="AT318" s="404">
        <f>IF(AT317=0,0,((+$C118/$AZ317)*AT317)*VLOOKUP('1. SUMMARY'!$C$20,rate,Sheet1!AE$21,0))</f>
        <v>0</v>
      </c>
      <c r="AU318" s="404">
        <f>IF(AU317=0,0,((+$C118/$AZ317)*AU317)*VLOOKUP('1. SUMMARY'!$C$20,rate,Sheet1!AF$21,0))</f>
        <v>0</v>
      </c>
      <c r="AV318" s="404">
        <f>IF(AV317=0,0,((+$C118/$AZ317)*AV317)*VLOOKUP('1. SUMMARY'!$C$20,rate,Sheet1!AG$21,0))</f>
        <v>0</v>
      </c>
      <c r="AW318" s="404">
        <f>IF(AW317=0,0,((+$C118/$AZ317)*AW317)*VLOOKUP('1. SUMMARY'!$C$20,rate,Sheet1!AH$21,0))</f>
        <v>0</v>
      </c>
      <c r="AX318" s="404">
        <f>IF(AX317=0,0,((+$C118/$AZ317)*AX317)*VLOOKUP('1. SUMMARY'!$C$20,rate,Sheet1!AI$21,0))</f>
        <v>0</v>
      </c>
      <c r="AY318" s="404">
        <f>IF(AY317=0,0,((+$C118/$AZ317)*AY317)*VLOOKUP('1. SUMMARY'!$C$20,rate,Sheet1!AJ$21,0))</f>
        <v>0</v>
      </c>
      <c r="AZ318" s="404">
        <f>SUM(AI318:AY318)</f>
        <v>0</v>
      </c>
    </row>
    <row r="319" spans="15:52" ht="12.75" hidden="1" customHeight="1">
      <c r="P319" s="207">
        <f t="shared" si="150"/>
        <v>1</v>
      </c>
      <c r="Q319" s="404">
        <f>+Q318/VLOOKUP('1. SUMMARY'!$C$20,rate,Sheet1!T$21,0)</f>
        <v>0</v>
      </c>
      <c r="R319" s="404">
        <f>+R318/VLOOKUP('1. SUMMARY'!$C$20,rate,Sheet1!U$21,0)</f>
        <v>0</v>
      </c>
      <c r="S319" s="404">
        <f>+S318/VLOOKUP('1. SUMMARY'!$C$20,rate,Sheet1!V$21,0)</f>
        <v>0</v>
      </c>
      <c r="T319" s="404">
        <f>+T318/VLOOKUP('1. SUMMARY'!$C$20,rate,Sheet1!W$21,0)</f>
        <v>0</v>
      </c>
      <c r="U319" s="404">
        <f>+U318/VLOOKUP('1. SUMMARY'!$C$20,rate,Sheet1!X$21,0)</f>
        <v>0</v>
      </c>
      <c r="V319" s="404">
        <f>+V318/VLOOKUP('1. SUMMARY'!$C$20,rate,Sheet1!Y$21,0)</f>
        <v>0</v>
      </c>
      <c r="W319" s="404">
        <f>+W318/VLOOKUP('1. SUMMARY'!$C$20,rate,Sheet1!Z$21,0)</f>
        <v>0</v>
      </c>
      <c r="X319" s="404">
        <f>+X318/VLOOKUP('1. SUMMARY'!$C$20,rate,Sheet1!AA$21,0)</f>
        <v>0</v>
      </c>
      <c r="Y319" s="404">
        <f>+Y318/VLOOKUP('1. SUMMARY'!$C$20,rate,Sheet1!AB$21,0)</f>
        <v>0</v>
      </c>
      <c r="Z319" s="404">
        <f>+Z318/VLOOKUP('1. SUMMARY'!$C$20,rate,Sheet1!AC$21,0)</f>
        <v>0</v>
      </c>
      <c r="AA319" s="404">
        <f>+AA318/VLOOKUP('1. SUMMARY'!$C$20,rate,Sheet1!AD$21,0)</f>
        <v>0</v>
      </c>
      <c r="AB319" s="404">
        <f>+AB318/VLOOKUP('1. SUMMARY'!$C$20,rate,Sheet1!AE$21,0)</f>
        <v>0</v>
      </c>
      <c r="AC319" s="404">
        <f>+AC318/VLOOKUP('1. SUMMARY'!$C$20,rate,Sheet1!AF$21,0)</f>
        <v>0</v>
      </c>
      <c r="AD319" s="404">
        <f>+AD318/VLOOKUP('1. SUMMARY'!$C$20,rate,Sheet1!AG$21,0)</f>
        <v>0</v>
      </c>
      <c r="AE319" s="404">
        <f>+AE318/VLOOKUP('1. SUMMARY'!$C$20,rate,Sheet1!AH$21,0)</f>
        <v>0</v>
      </c>
      <c r="AF319" s="404">
        <f>+AF318/VLOOKUP('1. SUMMARY'!$C$20,rate,Sheet1!AI$21,0)</f>
        <v>0</v>
      </c>
      <c r="AG319" s="404">
        <f>+AG318/VLOOKUP('1. SUMMARY'!$C$20,rate,Sheet1!AJ$21,0)</f>
        <v>0</v>
      </c>
      <c r="AH319" s="219"/>
      <c r="AI319" s="404">
        <v>0</v>
      </c>
      <c r="AJ319" s="404">
        <v>0</v>
      </c>
      <c r="AK319" s="404">
        <v>0</v>
      </c>
      <c r="AL319" s="404">
        <v>0</v>
      </c>
      <c r="AM319" s="404">
        <v>0</v>
      </c>
      <c r="AN319" s="404">
        <v>0</v>
      </c>
      <c r="AO319" s="404">
        <v>0</v>
      </c>
      <c r="AP319" s="404">
        <v>0</v>
      </c>
      <c r="AQ319" s="404"/>
      <c r="AR319" s="404"/>
      <c r="AS319" s="404"/>
      <c r="AT319" s="404"/>
      <c r="AU319" s="404"/>
      <c r="AV319" s="404"/>
      <c r="AW319" s="404"/>
      <c r="AX319" s="404"/>
      <c r="AY319" s="404"/>
      <c r="AZ319" s="404"/>
    </row>
    <row r="320" spans="15:52" ht="12.75" hidden="1" customHeight="1">
      <c r="P320" s="207">
        <f t="shared" ref="P320:P334" si="153">IF(Q470=39356,(+P319+1),P319)</f>
        <v>1</v>
      </c>
      <c r="Q320" s="399">
        <f>Sheet1!$T$8</f>
        <v>44105</v>
      </c>
      <c r="R320" s="399">
        <f>Sheet1!$U$8</f>
        <v>44470</v>
      </c>
      <c r="S320" s="399">
        <f>Sheet1!$V$8</f>
        <v>44835</v>
      </c>
      <c r="T320" s="399">
        <f>Sheet1!$W$8</f>
        <v>45200</v>
      </c>
      <c r="U320" s="399">
        <f>Sheet1!$X$8</f>
        <v>45566</v>
      </c>
      <c r="V320" s="399">
        <f>Sheet1!$Y$8</f>
        <v>45931</v>
      </c>
      <c r="W320" s="399">
        <f>Sheet1!$Z$8</f>
        <v>46296</v>
      </c>
      <c r="X320" s="399">
        <f>Sheet1!$AA$8</f>
        <v>46661</v>
      </c>
      <c r="Y320" s="399">
        <f>Sheet1!$AB$8</f>
        <v>47027</v>
      </c>
      <c r="Z320" s="399">
        <f>Sheet1!$AC$8</f>
        <v>47392</v>
      </c>
      <c r="AA320" s="399">
        <f>$AA$5</f>
        <v>47757</v>
      </c>
      <c r="AB320" s="399">
        <f>$AB$5</f>
        <v>48122</v>
      </c>
      <c r="AC320" s="399">
        <f>$AC$5</f>
        <v>48488</v>
      </c>
      <c r="AD320" s="399">
        <f>$AD$5</f>
        <v>48853</v>
      </c>
      <c r="AE320" s="399">
        <f>$AE$5</f>
        <v>49218</v>
      </c>
      <c r="AF320" s="399">
        <f>$AF$5</f>
        <v>49583</v>
      </c>
      <c r="AG320" s="399">
        <f>$AG$5</f>
        <v>49949</v>
      </c>
      <c r="AH320" s="211"/>
      <c r="AI320" s="399">
        <f t="shared" ref="AI320:AR322" si="154">+Q320</f>
        <v>44105</v>
      </c>
      <c r="AJ320" s="399">
        <f t="shared" si="154"/>
        <v>44470</v>
      </c>
      <c r="AK320" s="399">
        <f t="shared" si="154"/>
        <v>44835</v>
      </c>
      <c r="AL320" s="399">
        <f t="shared" si="154"/>
        <v>45200</v>
      </c>
      <c r="AM320" s="399">
        <f t="shared" si="154"/>
        <v>45566</v>
      </c>
      <c r="AN320" s="399">
        <f t="shared" si="154"/>
        <v>45931</v>
      </c>
      <c r="AO320" s="399">
        <f t="shared" si="154"/>
        <v>46296</v>
      </c>
      <c r="AP320" s="399">
        <f t="shared" si="154"/>
        <v>46661</v>
      </c>
      <c r="AQ320" s="399">
        <f t="shared" si="154"/>
        <v>47027</v>
      </c>
      <c r="AR320" s="399">
        <f t="shared" si="154"/>
        <v>47392</v>
      </c>
      <c r="AS320" s="399">
        <f t="shared" ref="AS320:AY322" si="155">+AA320</f>
        <v>47757</v>
      </c>
      <c r="AT320" s="399">
        <f t="shared" si="155"/>
        <v>48122</v>
      </c>
      <c r="AU320" s="399">
        <f t="shared" si="155"/>
        <v>48488</v>
      </c>
      <c r="AV320" s="399">
        <f t="shared" si="155"/>
        <v>48853</v>
      </c>
      <c r="AW320" s="399">
        <f t="shared" si="155"/>
        <v>49218</v>
      </c>
      <c r="AX320" s="399">
        <f t="shared" si="155"/>
        <v>49583</v>
      </c>
      <c r="AY320" s="399">
        <f t="shared" si="155"/>
        <v>49949</v>
      </c>
      <c r="AZ320" s="399"/>
    </row>
    <row r="321" spans="15:52" ht="12.75" hidden="1" customHeight="1">
      <c r="P321" s="207">
        <f t="shared" si="153"/>
        <v>1</v>
      </c>
      <c r="Q321" s="399">
        <f>Sheet1!$T$9</f>
        <v>44469</v>
      </c>
      <c r="R321" s="399">
        <f>Sheet1!$U$9</f>
        <v>44834</v>
      </c>
      <c r="S321" s="399">
        <f>Sheet1!$V$9</f>
        <v>45199</v>
      </c>
      <c r="T321" s="399">
        <f>Sheet1!$W$9</f>
        <v>45565</v>
      </c>
      <c r="U321" s="399">
        <f>Sheet1!$X$9</f>
        <v>45930</v>
      </c>
      <c r="V321" s="399">
        <f>Sheet1!$Y$9</f>
        <v>46295</v>
      </c>
      <c r="W321" s="399">
        <f>Sheet1!$Z$9</f>
        <v>46660</v>
      </c>
      <c r="X321" s="399">
        <f>Sheet1!$AA$9</f>
        <v>47026</v>
      </c>
      <c r="Y321" s="399">
        <f>Sheet1!$AB$9</f>
        <v>47391</v>
      </c>
      <c r="Z321" s="399">
        <f>Sheet1!$AC$9</f>
        <v>47756</v>
      </c>
      <c r="AA321" s="399">
        <f>$AA$6</f>
        <v>48121</v>
      </c>
      <c r="AB321" s="399">
        <f>$AB$6</f>
        <v>48487</v>
      </c>
      <c r="AC321" s="399">
        <f>$AC$6</f>
        <v>48852</v>
      </c>
      <c r="AD321" s="399">
        <f>$AD$6</f>
        <v>49217</v>
      </c>
      <c r="AE321" s="399">
        <f>$AE$6</f>
        <v>49582</v>
      </c>
      <c r="AF321" s="399">
        <f>$AF$6</f>
        <v>49948</v>
      </c>
      <c r="AG321" s="399">
        <f>$AG$6</f>
        <v>50313</v>
      </c>
      <c r="AH321" s="211"/>
      <c r="AI321" s="399">
        <f t="shared" si="154"/>
        <v>44469</v>
      </c>
      <c r="AJ321" s="399">
        <f t="shared" si="154"/>
        <v>44834</v>
      </c>
      <c r="AK321" s="399">
        <f t="shared" si="154"/>
        <v>45199</v>
      </c>
      <c r="AL321" s="399">
        <f t="shared" si="154"/>
        <v>45565</v>
      </c>
      <c r="AM321" s="399">
        <f t="shared" si="154"/>
        <v>45930</v>
      </c>
      <c r="AN321" s="399">
        <f t="shared" si="154"/>
        <v>46295</v>
      </c>
      <c r="AO321" s="399">
        <f t="shared" si="154"/>
        <v>46660</v>
      </c>
      <c r="AP321" s="399">
        <f t="shared" si="154"/>
        <v>47026</v>
      </c>
      <c r="AQ321" s="399">
        <f t="shared" si="154"/>
        <v>47391</v>
      </c>
      <c r="AR321" s="399">
        <f t="shared" si="154"/>
        <v>47756</v>
      </c>
      <c r="AS321" s="399">
        <f t="shared" si="155"/>
        <v>48121</v>
      </c>
      <c r="AT321" s="399">
        <f t="shared" si="155"/>
        <v>48487</v>
      </c>
      <c r="AU321" s="399">
        <f t="shared" si="155"/>
        <v>48852</v>
      </c>
      <c r="AV321" s="399">
        <f t="shared" si="155"/>
        <v>49217</v>
      </c>
      <c r="AW321" s="399">
        <f t="shared" si="155"/>
        <v>49582</v>
      </c>
      <c r="AX321" s="399">
        <f t="shared" si="155"/>
        <v>49948</v>
      </c>
      <c r="AY321" s="399">
        <f t="shared" si="155"/>
        <v>50313</v>
      </c>
      <c r="AZ321" s="399"/>
    </row>
    <row r="322" spans="15:52" ht="12.75" hidden="1" customHeight="1">
      <c r="O322" s="207" t="s">
        <v>240</v>
      </c>
      <c r="P322" s="207">
        <f t="shared" si="153"/>
        <v>1</v>
      </c>
      <c r="Q322" s="400">
        <f>IF(IF(Q321&lt;$D$27,0,DATEDIF($D$27,Q321+1,"m"))&lt;0,0,IF(Q321&lt;$D$27,0,DATEDIF($D$27,Q321+1,"m")))</f>
        <v>0</v>
      </c>
      <c r="R322" s="400">
        <f>IF(IF(Q322=12,0,IF(R321&gt;$D$28,12-DATEDIF($D$28,R321+1,"m"),IF(R321&lt;$D$27,0,DATEDIF($D$27,R321+1,"m"))))&lt;0,0,IF(Q322=12,0,IF(R321&gt;$D$28,12-DATEDIF($D$28,R321+1,"m"),IF(R321&lt;$D$27,0,DATEDIF($D$27,R321+1,"m")))))</f>
        <v>0</v>
      </c>
      <c r="S322" s="400">
        <f>IF(IF(Q322+R322=12,0,IF(S321&gt;$D$28,12-DATEDIF($D$28,S321+1,"m"),IF(S321&lt;$D$27,0,DATEDIF($D$27,S321+1,"m"))))&lt;0,0,IF(Q322+R322=12,0,IF(S321&gt;$D$28,12-DATEDIF($D$28,S321+1,"m"),IF(S321&lt;$D$27,0,DATEDIF($D$27,S321+1,"m")))))</f>
        <v>0</v>
      </c>
      <c r="T322" s="400">
        <f>IF(IF(R322+S322+Q322=12,0,IF(T321&gt;$D$28,12-DATEDIF($D$28,T321+1,"m"),IF(T321&lt;$D$27,0,DATEDIF($D$27,T321+1,"m"))))&lt;0,0,IF(R322+S322+Q322=12,0,IF(T321&gt;$D$28,12-DATEDIF($D$28,T321+1,"m"),IF(T321&lt;$D$27,0,DATEDIF($D$27,T321+1,"m")))))</f>
        <v>0</v>
      </c>
      <c r="U322" s="400">
        <f>IF(IF(S322+T322+R322+Q322=12,0,IF(U321&gt;$D$28,12-DATEDIF($D$28,U321+1,"m"),IF(U321&lt;$D$27,0,DATEDIF($D$27,U321+1,"m"))))&lt;0,0,IF(S322+T322+R322+Q322=12,0,IF(U321&gt;$D$28,12-DATEDIF($D$28,U321+1,"m"),IF(U321&lt;$D$27,0,DATEDIF($D$27,U321+1,"m")))))</f>
        <v>0</v>
      </c>
      <c r="V322" s="400">
        <f>IF(IF(T322+U322+S322+R322+Q322=12,0,IF(V321&gt;$D$28,12-DATEDIF($D$28,V321+1,"m"),IF(V321&lt;$D$27,0,DATEDIF($D$27,V321+1,"m"))))&lt;0,0,IF(T322+U322+S322+R322+Q322=12,0,IF(V321&gt;$D$28,12-DATEDIF($D$28,V321+1,"m"),IF(V321&lt;$D$27,0,DATEDIF($D$27,V321+1,"m")))))</f>
        <v>0</v>
      </c>
      <c r="W322" s="400">
        <f>IF(IF(U322+V322+T322+S322+R322+Q322=12,0,IF(W321&gt;$D$28,12-DATEDIF($D$28,W321+1,"m"),IF(W321&lt;$D$27,0,DATEDIF($D$27,W321+1,"m"))))&lt;0,0,IF(U322+V322+T322+S322+R322+Q322=12,0,IF(W321&gt;$D$28,12-DATEDIF($D$28,W321+1,"m"),IF(W321&lt;$D$27,0,DATEDIF($D$27,W321+1,"m")))))</f>
        <v>0</v>
      </c>
      <c r="X322" s="400">
        <f>IF(IF(V322+W322+U322+T322+S322+R322+Q322=12,0,IF(X321&gt;$D$28,12-DATEDIF($D$28,X321+1,"m"),IF(X321&lt;$D$27,0,DATEDIF($D$27,X321+1,"m"))))&lt;0,0,IF(V322+W322+U322+T322+S322+R322+Q322=12,0,IF(X321&gt;$D$28,1-DATEDIF($D$28,X321+1,"m"),IF(X321&lt;$D$27,0,DATEDIF($D$27,X321+1,"m")))))</f>
        <v>0</v>
      </c>
      <c r="Y322" s="400">
        <f>IF(IF(Q322+W322+X322+V322+U322+T322+S322+R322=12,0,IF(Y321&gt;E146,12-DATEDIF(E146,Y321+1,"m"),IF(Y321&lt;E145,0,DATEDIF(E145,Y321+1,"m"))))&lt;0,0,IF(Q322+W322+X322+V322+U322+T322+S322+R322=12,0,IF(Y321&gt;E146,12-DATEDIF(E146,Y321+1,"m"),IF(Y321&lt;E145,0,DATEDIF(E145,Y321+1,"m")))))</f>
        <v>0</v>
      </c>
      <c r="Z322" s="400">
        <f>IF(IF(Q322+R322+X322+Y322+W322+V322+U322+T322+S322=12,0,IF(Z321&gt;F146,12-DATEDIF(F146,Z321+1,"m"),IF(Z321&lt;F145,0,DATEDIF(F145,Z321+1,"m"))))&lt;0,0,IF(Q322+R322+X322+Y322+W322+V322+U322+T322+S322=12,0,IF(Z321&gt;F146,12-DATEDIF(F146,Z321+1,"m"),IF(Z321&lt;F145,0,DATEDIF(F145,Z321+1,"m")))))</f>
        <v>0</v>
      </c>
      <c r="AA322" s="400"/>
      <c r="AB322" s="400"/>
      <c r="AC322" s="400"/>
      <c r="AD322" s="400"/>
      <c r="AE322" s="400"/>
      <c r="AF322" s="400"/>
      <c r="AG322" s="400"/>
      <c r="AH322" s="423">
        <f>SUM(Q322:AG322)</f>
        <v>0</v>
      </c>
      <c r="AI322" s="400">
        <f t="shared" si="154"/>
        <v>0</v>
      </c>
      <c r="AJ322" s="400">
        <f t="shared" si="154"/>
        <v>0</v>
      </c>
      <c r="AK322" s="400">
        <f t="shared" si="154"/>
        <v>0</v>
      </c>
      <c r="AL322" s="400">
        <f t="shared" si="154"/>
        <v>0</v>
      </c>
      <c r="AM322" s="400">
        <f t="shared" si="154"/>
        <v>0</v>
      </c>
      <c r="AN322" s="400">
        <f t="shared" si="154"/>
        <v>0</v>
      </c>
      <c r="AO322" s="400">
        <f t="shared" si="154"/>
        <v>0</v>
      </c>
      <c r="AP322" s="400">
        <f t="shared" si="154"/>
        <v>0</v>
      </c>
      <c r="AQ322" s="400">
        <f t="shared" si="154"/>
        <v>0</v>
      </c>
      <c r="AR322" s="400">
        <f t="shared" si="154"/>
        <v>0</v>
      </c>
      <c r="AS322" s="400">
        <f t="shared" si="155"/>
        <v>0</v>
      </c>
      <c r="AT322" s="400">
        <f t="shared" si="155"/>
        <v>0</v>
      </c>
      <c r="AU322" s="400">
        <f t="shared" si="155"/>
        <v>0</v>
      </c>
      <c r="AV322" s="400">
        <f t="shared" si="155"/>
        <v>0</v>
      </c>
      <c r="AW322" s="400">
        <f t="shared" si="155"/>
        <v>0</v>
      </c>
      <c r="AX322" s="400">
        <f t="shared" si="155"/>
        <v>0</v>
      </c>
      <c r="AY322" s="400">
        <f t="shared" si="155"/>
        <v>0</v>
      </c>
      <c r="AZ322" s="400">
        <f>SUM(AI322:AY322)</f>
        <v>0</v>
      </c>
    </row>
    <row r="323" spans="15:52" ht="12.75" hidden="1" customHeight="1">
      <c r="P323" s="207">
        <f t="shared" si="153"/>
        <v>1</v>
      </c>
      <c r="Q323" s="401">
        <f>IF(Q322=0,0,(IF(($C$118+$B$118+$D$118)&lt;=25000,(($D$118/+$AH322)*Q322)*VLOOKUP('1. SUMMARY'!$C$20,rate,Sheet1!T$21,0),((IF(($B$118+$C$118)&gt;=25000,0,(((25000-($B$118+$C$118))/+$AH322)*Q322)*VLOOKUP('1. SUMMARY'!$C$20,rate,Sheet1!T$21,0)))))))</f>
        <v>0</v>
      </c>
      <c r="R323" s="401">
        <f>IF(R322=0,0,(IF(($C$118+$B$118+$D$118)&lt;=25000,(($D$118/+$AH322)*R322)*VLOOKUP('1. SUMMARY'!$C$20,rate,Sheet1!U$21,0),((IF(($B$118+$C$118)&gt;=25000,0,(((25000-($B$118+$C$118))/+$AH322)*R322)*VLOOKUP('1. SUMMARY'!$C$20,rate,Sheet1!U$21,0)))))))</f>
        <v>0</v>
      </c>
      <c r="S323" s="401">
        <f>IF(S322=0,0,(IF(($C$118+$B$118+$D$118)&lt;=25000,(($D$118/+$AH322)*S322)*VLOOKUP('1. SUMMARY'!$C$20,rate,Sheet1!V$21,0),((IF(($B$118+$C$118)&gt;=25000,0,(((25000-($B$118+$C$118))/+$AH322)*S322)*VLOOKUP('1. SUMMARY'!$C$20,rate,Sheet1!V$21,0)))))))</f>
        <v>0</v>
      </c>
      <c r="T323" s="401">
        <f>IF(T322=0,0,(IF(($C$118+$B$118+$D$118)&lt;=25000,(($D$118/+$AH322)*T322)*VLOOKUP('1. SUMMARY'!$C$20,rate,Sheet1!W$21,0),((IF(($B$118+$C$118)&gt;=25000,0,(((25000-($B$118+$C$118))/+$AH322)*T322)*VLOOKUP('1. SUMMARY'!$C$20,rate,Sheet1!W$21,0)))))))</f>
        <v>0</v>
      </c>
      <c r="U323" s="401">
        <f>IF(U322=0,0,(IF(($C$118+$B$118+$D$118)&lt;=25000,(($D$118/+$AH322)*U322)*VLOOKUP('1. SUMMARY'!$C$20,rate,Sheet1!X$21,0),((IF(($B$118+$C$118)&gt;=25000,0,(((25000-($B$118+$C$118))/+$AH322)*U322)*VLOOKUP('1. SUMMARY'!$C$20,rate,Sheet1!X$21,0)))))))</f>
        <v>0</v>
      </c>
      <c r="V323" s="401">
        <f>IF(V322=0,0,(IF(($C$118+$B$118+$D$118)&lt;=25000,(($D$118/+$AH322)*V322)*VLOOKUP('1. SUMMARY'!$C$20,rate,Sheet1!Y$21,0),((IF(($B$118+$C$118)&gt;=25000,0,(((25000-($B$118+$C$118))/+$AH322)*V322)*VLOOKUP('1. SUMMARY'!$C$20,rate,Sheet1!Y$21,0)))))))</f>
        <v>0</v>
      </c>
      <c r="W323" s="401">
        <f>IF(W322=0,0,(IF(($C$118+$B$118+$D$118)&lt;=25000,(($D$118/+$AH322)*W322)*VLOOKUP('1. SUMMARY'!$C$20,rate,Sheet1!Z$21,0),((IF(($B$118+$C$118)&gt;=25000,0,(((25000-($B$118+$C$118))/+$AH322)*W322)*VLOOKUP('1. SUMMARY'!$C$20,rate,Sheet1!Z$21,0)))))))</f>
        <v>0</v>
      </c>
      <c r="X323" s="401">
        <f>IF(X322=0,0,(IF(($C$118+$B$118+$D$118)&lt;=25000,(($D$118/+$AH322)*X322)*VLOOKUP('1. SUMMARY'!$C$20,rate,Sheet1!AA$21,0),((IF(($B$118+$C$118)&gt;=25000,0,(((25000-($B$118+$C$118))/+$AH322)*X322)*VLOOKUP('1. SUMMARY'!$C$20,rate,Sheet1!AA$21,0)))))))</f>
        <v>0</v>
      </c>
      <c r="Y323" s="401">
        <f>IF(Y322=0,0,(IF(($C$118+$B$118+$D$118)&lt;=25000,(($D$118/+$AH322)*Y322)*VLOOKUP('1. SUMMARY'!$C$20,rate,Sheet1!AB$21,0),((IF(($B$118+$C$118)&gt;=25000,0,(((25000-($B$118+$C$118))/+$AH322)*Y322)*VLOOKUP('1. SUMMARY'!$C$20,rate,Sheet1!AB$21,0)))))))</f>
        <v>0</v>
      </c>
      <c r="Z323" s="401">
        <f>IF(Z322=0,0,(IF(($C$118+$B$118+$D$118)&lt;=25000,(($D$118/+$AH322)*Z322)*VLOOKUP('1. SUMMARY'!$C$20,rate,Sheet1!AC$21,0),((IF(($B$118+$C$118)&gt;=25000,0,(((25000-($B$118+$C$118))/+$AH322)*Z322)*VLOOKUP('1. SUMMARY'!$C$20,rate,Sheet1!AC$21,0)))))))</f>
        <v>0</v>
      </c>
      <c r="AA323" s="401">
        <f>IF(AA322=0,0,(IF(($C$118+$B$118+$D$118)&lt;=25000,(($D$118/+$AH322)*AA322)*VLOOKUP('1. SUMMARY'!$C$20,rate,Sheet1!AD$21,0),((IF(($B$118+$C$118)&gt;=25000,0,(((25000-($B$118+$C$118))/+$AH322)*AA322)*VLOOKUP('1. SUMMARY'!$C$20,rate,Sheet1!AD$21,0)))))))</f>
        <v>0</v>
      </c>
      <c r="AB323" s="401">
        <f>IF(AB322=0,0,(IF(($C$118+$B$118+$D$118)&lt;=25000,(($D$118/+$AH322)*AB322)*VLOOKUP('1. SUMMARY'!$C$20,rate,Sheet1!AE$21,0),((IF(($B$118+$C$118)&gt;=25000,0,(((25000-($B$118+$C$118))/+$AH322)*AB322)*VLOOKUP('1. SUMMARY'!$C$20,rate,Sheet1!AE$21,0)))))))</f>
        <v>0</v>
      </c>
      <c r="AC323" s="401">
        <f>IF(AC322=0,0,(IF(($C$118+$B$118+$D$118)&lt;=25000,(($D$118/+$AH322)*AC322)*VLOOKUP('1. SUMMARY'!$C$20,rate,Sheet1!AF$21,0),((IF(($B$118+$C$118)&gt;=25000,0,(((25000-($B$118+$C$118))/+$AH322)*AC322)*VLOOKUP('1. SUMMARY'!$C$20,rate,Sheet1!AF$21,0)))))))</f>
        <v>0</v>
      </c>
      <c r="AD323" s="401">
        <f>IF(AD322=0,0,(IF(($C$118+$B$118+$D$118)&lt;=25000,(($D$118/+$AH322)*AD322)*VLOOKUP('1. SUMMARY'!$C$20,rate,Sheet1!AG$21,0),((IF(($B$118+$C$118)&gt;=25000,0,(((25000-($B$118+$C$118))/+$AH322)*AD322)*VLOOKUP('1. SUMMARY'!$C$20,rate,Sheet1!AG$21,0)))))))</f>
        <v>0</v>
      </c>
      <c r="AE323" s="401">
        <f>IF(AE322=0,0,(IF(($C$118+$B$118+$D$118)&lt;=25000,(($D$118/+$AH322)*AE322)*VLOOKUP('1. SUMMARY'!$C$20,rate,Sheet1!AH$21,0),((IF(($B$118+$C$118)&gt;=25000,0,(((25000-($B$118+$C$118))/+$AH322)*AE322)*VLOOKUP('1. SUMMARY'!$C$20,rate,Sheet1!AH$21,0)))))))</f>
        <v>0</v>
      </c>
      <c r="AF323" s="401">
        <f>IF(AF322=0,0,(IF(($C$118+$B$118+$D$118)&lt;=25000,(($D$118/+$AH322)*AF322)*VLOOKUP('1. SUMMARY'!$C$20,rate,Sheet1!AI$21,0),((IF(($B$118+$C$118)&gt;=25000,0,(((25000-($B$118+$C$118))/+$AH322)*AF322)*VLOOKUP('1. SUMMARY'!$C$20,rate,Sheet1!AI$21,0)))))))</f>
        <v>0</v>
      </c>
      <c r="AG323" s="401">
        <f>IF(AG322=0,0,(IF(($C$118+$B$118+$D$118)&lt;=25000,(($D$118/+$AH322)*AG322)*VLOOKUP('1. SUMMARY'!$C$20,rate,Sheet1!AJ$21,0),((IF(($B$118+$C$118)&gt;=25000,0,(((25000-($B$118+$C$118))/+$AH322)*AG322)*VLOOKUP('1. SUMMARY'!$C$20,rate,Sheet1!AJ$21,0)))))))</f>
        <v>0</v>
      </c>
      <c r="AH323" s="219">
        <f>SUM(Q323:AG323)</f>
        <v>0</v>
      </c>
      <c r="AI323" s="401">
        <f>IF(Q322=0,0,((+$D118/$AZ$17)*AI322)*VLOOKUP('1. SUMMARY'!$C$20,rate,Sheet1!T$21,0))</f>
        <v>0</v>
      </c>
      <c r="AJ323" s="401">
        <f>IF(R322=0,0,((+$D118/$AZ$17)*AJ322)*VLOOKUP('1. SUMMARY'!$C$20,rate,Sheet1!U$21,0))</f>
        <v>0</v>
      </c>
      <c r="AK323" s="401">
        <f>IF(S322=0,0,((+$D118/$AZ$17)*AK322)*VLOOKUP('1. SUMMARY'!$C$20,rate,Sheet1!V$21,0))</f>
        <v>0</v>
      </c>
      <c r="AL323" s="401">
        <f>IF(T322=0,0,((+$D118/$AZ$17)*AL322)*VLOOKUP('1. SUMMARY'!$C$20,rate,Sheet1!W$21,0))</f>
        <v>0</v>
      </c>
      <c r="AM323" s="401">
        <f>IF(U322=0,0,((+$D118/$AZ$17)*AM322)*VLOOKUP('1. SUMMARY'!$C$20,rate,Sheet1!X$21,0))</f>
        <v>0</v>
      </c>
      <c r="AN323" s="401">
        <f>IF(V322=0,0,((+$D118/$AZ$17)*AN322)*VLOOKUP('1. SUMMARY'!$C$20,rate,Sheet1!Y$21,0))</f>
        <v>0</v>
      </c>
      <c r="AO323" s="401">
        <f>IF(W322=0,0,((+$D118/$AZ$17)*AO322)*VLOOKUP('1. SUMMARY'!$C$20,rate,Sheet1!Z$21,0))</f>
        <v>0</v>
      </c>
      <c r="AP323" s="401">
        <f>IF(X322=0,0,((+$D118/$AZ$17)*AP322)*VLOOKUP('1. SUMMARY'!$C$20,rate,Sheet1!AA$21,0))</f>
        <v>0</v>
      </c>
      <c r="AQ323" s="401">
        <f>IF(Y322=0,0,((+$D118/$AZ$17)*AQ322)*VLOOKUP('1. SUMMARY'!$C$20,rate,Sheet1!AB$21,0))</f>
        <v>0</v>
      </c>
      <c r="AR323" s="401">
        <f>IF(Z322=0,0,((+$D118/$AZ$17)*AR322)*VLOOKUP('1. SUMMARY'!$C$20,rate,Sheet1!AC$21,0))</f>
        <v>0</v>
      </c>
      <c r="AS323" s="401">
        <f>IF(AA322=0,0,((+$D118/$AZ$17)*AS322)*VLOOKUP('1. SUMMARY'!$C$20,rate,Sheet1!AD$21,0))</f>
        <v>0</v>
      </c>
      <c r="AT323" s="401">
        <f>IF(AB322=0,0,((+$D118/$AZ$17)*AT322)*VLOOKUP('1. SUMMARY'!$C$20,rate,Sheet1!AE$21,0))</f>
        <v>0</v>
      </c>
      <c r="AU323" s="401">
        <f>IF(AC322=0,0,((+$D118/$AZ$17)*AU322)*VLOOKUP('1. SUMMARY'!$C$20,rate,Sheet1!AF$21,0))</f>
        <v>0</v>
      </c>
      <c r="AV323" s="401">
        <f>IF(AD322=0,0,((+$D118/$AZ$17)*AV322)*VLOOKUP('1. SUMMARY'!$C$20,rate,Sheet1!AG$21,0))</f>
        <v>0</v>
      </c>
      <c r="AW323" s="401">
        <f>IF(AE322=0,0,((+$D118/$AZ$17)*AW322)*VLOOKUP('1. SUMMARY'!$C$20,rate,Sheet1!AH$21,0))</f>
        <v>0</v>
      </c>
      <c r="AX323" s="401">
        <f>IF(AF322=0,0,((+$D118/$AZ$17)*AX322)*VLOOKUP('1. SUMMARY'!$C$20,rate,Sheet1!AI$21,0))</f>
        <v>0</v>
      </c>
      <c r="AY323" s="401">
        <f>IF(AG322=0,0,((+$D118/$AZ$17)*AY322)*VLOOKUP('1. SUMMARY'!$C$20,rate,Sheet1!AJ$21,0))</f>
        <v>0</v>
      </c>
      <c r="AZ323" s="401">
        <f>SUM(AI323:AY323)</f>
        <v>0</v>
      </c>
    </row>
    <row r="324" spans="15:52" ht="12.75" hidden="1" customHeight="1">
      <c r="P324" s="207">
        <f t="shared" si="153"/>
        <v>1</v>
      </c>
      <c r="Q324" s="401">
        <f>+Q323/VLOOKUP('1. SUMMARY'!$C$20,rate,Sheet1!T$21,0)</f>
        <v>0</v>
      </c>
      <c r="R324" s="401">
        <f>+R323/VLOOKUP('1. SUMMARY'!$C$20,rate,Sheet1!U$21,0)</f>
        <v>0</v>
      </c>
      <c r="S324" s="401">
        <f>+S323/VLOOKUP('1. SUMMARY'!$C$20,rate,Sheet1!V$21,0)</f>
        <v>0</v>
      </c>
      <c r="T324" s="401">
        <f>+T323/VLOOKUP('1. SUMMARY'!$C$20,rate,Sheet1!W$21,0)</f>
        <v>0</v>
      </c>
      <c r="U324" s="401">
        <f>+U323/VLOOKUP('1. SUMMARY'!$C$20,rate,Sheet1!X$21,0)</f>
        <v>0</v>
      </c>
      <c r="V324" s="401">
        <f>+V323/VLOOKUP('1. SUMMARY'!$C$20,rate,Sheet1!Y$21,0)</f>
        <v>0</v>
      </c>
      <c r="W324" s="401">
        <f>+W323/VLOOKUP('1. SUMMARY'!$C$20,rate,Sheet1!Z$21,0)</f>
        <v>0</v>
      </c>
      <c r="X324" s="401">
        <f>+X323/VLOOKUP('1. SUMMARY'!$C$20,rate,Sheet1!AA$21,0)</f>
        <v>0</v>
      </c>
      <c r="Y324" s="401">
        <f>+Y323/VLOOKUP('1. SUMMARY'!$C$20,rate,Sheet1!AB$21,0)</f>
        <v>0</v>
      </c>
      <c r="Z324" s="401">
        <f>+Z323/VLOOKUP('1. SUMMARY'!$C$20,rate,Sheet1!AC$21,0)</f>
        <v>0</v>
      </c>
      <c r="AA324" s="401">
        <f>+AA323/VLOOKUP('1. SUMMARY'!$C$20,rate,Sheet1!AD$21,0)</f>
        <v>0</v>
      </c>
      <c r="AB324" s="401">
        <f>+AB323/VLOOKUP('1. SUMMARY'!$C$20,rate,Sheet1!AE$21,0)</f>
        <v>0</v>
      </c>
      <c r="AC324" s="401">
        <f>+AC323/VLOOKUP('1. SUMMARY'!$C$20,rate,Sheet1!AF$21,0)</f>
        <v>0</v>
      </c>
      <c r="AD324" s="401">
        <f>+AD323/VLOOKUP('1. SUMMARY'!$C$20,rate,Sheet1!AG$21,0)</f>
        <v>0</v>
      </c>
      <c r="AE324" s="401">
        <f>+AE323/VLOOKUP('1. SUMMARY'!$C$20,rate,Sheet1!AH$21,0)</f>
        <v>0</v>
      </c>
      <c r="AF324" s="401">
        <f>+AF323/VLOOKUP('1. SUMMARY'!$C$20,rate,Sheet1!AI$21,0)</f>
        <v>0</v>
      </c>
      <c r="AG324" s="401">
        <f>+AG323/VLOOKUP('1. SUMMARY'!$C$20,rate,Sheet1!AJ$21,0)</f>
        <v>0</v>
      </c>
      <c r="AH324" s="219"/>
      <c r="AI324" s="401">
        <v>0</v>
      </c>
      <c r="AJ324" s="401">
        <v>0</v>
      </c>
      <c r="AK324" s="401">
        <v>0</v>
      </c>
      <c r="AL324" s="401">
        <v>0</v>
      </c>
      <c r="AM324" s="401">
        <v>0</v>
      </c>
      <c r="AN324" s="401">
        <v>0</v>
      </c>
      <c r="AO324" s="401">
        <v>0</v>
      </c>
      <c r="AP324" s="401">
        <v>0</v>
      </c>
      <c r="AQ324" s="401"/>
      <c r="AR324" s="401"/>
      <c r="AS324" s="401"/>
      <c r="AT324" s="401"/>
      <c r="AU324" s="401"/>
      <c r="AV324" s="401"/>
      <c r="AW324" s="401"/>
      <c r="AX324" s="401"/>
      <c r="AY324" s="401"/>
      <c r="AZ324" s="401"/>
    </row>
    <row r="325" spans="15:52" ht="12.75" hidden="1" customHeight="1">
      <c r="P325" s="207">
        <f t="shared" si="153"/>
        <v>1</v>
      </c>
      <c r="Q325" s="405">
        <f>Sheet1!$T$8</f>
        <v>44105</v>
      </c>
      <c r="R325" s="405">
        <f>Sheet1!$U$8</f>
        <v>44470</v>
      </c>
      <c r="S325" s="405">
        <f>Sheet1!$V$8</f>
        <v>44835</v>
      </c>
      <c r="T325" s="405">
        <f>Sheet1!$W$8</f>
        <v>45200</v>
      </c>
      <c r="U325" s="405">
        <f>Sheet1!$X$8</f>
        <v>45566</v>
      </c>
      <c r="V325" s="405">
        <f>Sheet1!$Y$8</f>
        <v>45931</v>
      </c>
      <c r="W325" s="405">
        <f>Sheet1!$Z$8</f>
        <v>46296</v>
      </c>
      <c r="X325" s="405">
        <f>Sheet1!$AA$8</f>
        <v>46661</v>
      </c>
      <c r="Y325" s="405">
        <f>Sheet1!$AB$8</f>
        <v>47027</v>
      </c>
      <c r="Z325" s="405">
        <f>Sheet1!$AC$8</f>
        <v>47392</v>
      </c>
      <c r="AA325" s="405">
        <f>$AA$5</f>
        <v>47757</v>
      </c>
      <c r="AB325" s="405">
        <f>$AB$5</f>
        <v>48122</v>
      </c>
      <c r="AC325" s="405">
        <f>$AC$5</f>
        <v>48488</v>
      </c>
      <c r="AD325" s="405">
        <f>$AD$5</f>
        <v>48853</v>
      </c>
      <c r="AE325" s="405">
        <f>$AE$5</f>
        <v>49218</v>
      </c>
      <c r="AF325" s="405">
        <f>$AF$5</f>
        <v>49583</v>
      </c>
      <c r="AG325" s="405">
        <f>$AG$5</f>
        <v>49949</v>
      </c>
      <c r="AH325" s="211"/>
      <c r="AI325" s="405">
        <f t="shared" ref="AI325:AR327" si="156">+Q325</f>
        <v>44105</v>
      </c>
      <c r="AJ325" s="405">
        <f t="shared" si="156"/>
        <v>44470</v>
      </c>
      <c r="AK325" s="405">
        <f t="shared" si="156"/>
        <v>44835</v>
      </c>
      <c r="AL325" s="405">
        <f t="shared" si="156"/>
        <v>45200</v>
      </c>
      <c r="AM325" s="405">
        <f t="shared" si="156"/>
        <v>45566</v>
      </c>
      <c r="AN325" s="405">
        <f t="shared" si="156"/>
        <v>45931</v>
      </c>
      <c r="AO325" s="405">
        <f t="shared" si="156"/>
        <v>46296</v>
      </c>
      <c r="AP325" s="405">
        <f t="shared" si="156"/>
        <v>46661</v>
      </c>
      <c r="AQ325" s="405">
        <f t="shared" si="156"/>
        <v>47027</v>
      </c>
      <c r="AR325" s="405">
        <f t="shared" si="156"/>
        <v>47392</v>
      </c>
      <c r="AS325" s="405">
        <f t="shared" ref="AS325:AY327" si="157">+AA325</f>
        <v>47757</v>
      </c>
      <c r="AT325" s="405">
        <f t="shared" si="157"/>
        <v>48122</v>
      </c>
      <c r="AU325" s="405">
        <f t="shared" si="157"/>
        <v>48488</v>
      </c>
      <c r="AV325" s="405">
        <f t="shared" si="157"/>
        <v>48853</v>
      </c>
      <c r="AW325" s="405">
        <f t="shared" si="157"/>
        <v>49218</v>
      </c>
      <c r="AX325" s="405">
        <f t="shared" si="157"/>
        <v>49583</v>
      </c>
      <c r="AY325" s="405">
        <f t="shared" si="157"/>
        <v>49949</v>
      </c>
      <c r="AZ325" s="405"/>
    </row>
    <row r="326" spans="15:52" ht="12.75" hidden="1" customHeight="1">
      <c r="P326" s="207">
        <f t="shared" si="153"/>
        <v>1</v>
      </c>
      <c r="Q326" s="405">
        <f>Sheet1!$T$9</f>
        <v>44469</v>
      </c>
      <c r="R326" s="405">
        <f>Sheet1!$U$9</f>
        <v>44834</v>
      </c>
      <c r="S326" s="405">
        <f>Sheet1!$V$9</f>
        <v>45199</v>
      </c>
      <c r="T326" s="405">
        <f>Sheet1!$W$9</f>
        <v>45565</v>
      </c>
      <c r="U326" s="405">
        <f>Sheet1!$X$9</f>
        <v>45930</v>
      </c>
      <c r="V326" s="405">
        <f>Sheet1!$Y$9</f>
        <v>46295</v>
      </c>
      <c r="W326" s="405">
        <f>Sheet1!$Z$9</f>
        <v>46660</v>
      </c>
      <c r="X326" s="405">
        <f>Sheet1!$AA$9</f>
        <v>47026</v>
      </c>
      <c r="Y326" s="405">
        <f>Sheet1!$AB$9</f>
        <v>47391</v>
      </c>
      <c r="Z326" s="405">
        <f>Sheet1!$AC$9</f>
        <v>47756</v>
      </c>
      <c r="AA326" s="405">
        <f>$AA$6</f>
        <v>48121</v>
      </c>
      <c r="AB326" s="405">
        <f>$AB$6</f>
        <v>48487</v>
      </c>
      <c r="AC326" s="405">
        <f>$AC$6</f>
        <v>48852</v>
      </c>
      <c r="AD326" s="405">
        <f>$AD$6</f>
        <v>49217</v>
      </c>
      <c r="AE326" s="405">
        <f>$AE$6</f>
        <v>49582</v>
      </c>
      <c r="AF326" s="405">
        <f>$AF$6</f>
        <v>49948</v>
      </c>
      <c r="AG326" s="405">
        <f>$AG$6</f>
        <v>50313</v>
      </c>
      <c r="AH326" s="211"/>
      <c r="AI326" s="405">
        <f t="shared" si="156"/>
        <v>44469</v>
      </c>
      <c r="AJ326" s="405">
        <f t="shared" si="156"/>
        <v>44834</v>
      </c>
      <c r="AK326" s="405">
        <f t="shared" si="156"/>
        <v>45199</v>
      </c>
      <c r="AL326" s="405">
        <f t="shared" si="156"/>
        <v>45565</v>
      </c>
      <c r="AM326" s="405">
        <f t="shared" si="156"/>
        <v>45930</v>
      </c>
      <c r="AN326" s="405">
        <f t="shared" si="156"/>
        <v>46295</v>
      </c>
      <c r="AO326" s="405">
        <f t="shared" si="156"/>
        <v>46660</v>
      </c>
      <c r="AP326" s="405">
        <f t="shared" si="156"/>
        <v>47026</v>
      </c>
      <c r="AQ326" s="405">
        <f t="shared" si="156"/>
        <v>47391</v>
      </c>
      <c r="AR326" s="405">
        <f t="shared" si="156"/>
        <v>47756</v>
      </c>
      <c r="AS326" s="405">
        <f t="shared" si="157"/>
        <v>48121</v>
      </c>
      <c r="AT326" s="405">
        <f t="shared" si="157"/>
        <v>48487</v>
      </c>
      <c r="AU326" s="405">
        <f t="shared" si="157"/>
        <v>48852</v>
      </c>
      <c r="AV326" s="405">
        <f t="shared" si="157"/>
        <v>49217</v>
      </c>
      <c r="AW326" s="405">
        <f t="shared" si="157"/>
        <v>49582</v>
      </c>
      <c r="AX326" s="405">
        <f t="shared" si="157"/>
        <v>49948</v>
      </c>
      <c r="AY326" s="405">
        <f t="shared" si="157"/>
        <v>50313</v>
      </c>
      <c r="AZ326" s="405"/>
    </row>
    <row r="327" spans="15:52" ht="12.75" hidden="1" customHeight="1">
      <c r="O327" s="207" t="s">
        <v>241</v>
      </c>
      <c r="P327" s="207">
        <f t="shared" si="153"/>
        <v>1</v>
      </c>
      <c r="Q327" s="406">
        <f>IF(IF(Q326&lt;$E$27,0,DATEDIF($E$27,Q326+1,"m"))&lt;0,0,IF(Q326&lt;$E$27,0,DATEDIF($E$27,Q326+1,"m")))</f>
        <v>0</v>
      </c>
      <c r="R327" s="406">
        <f>IF(IF(Q327=12,0,IF(R326&gt;$E$28,12-DATEDIF($E$28,R326+1,"m"),IF(R326&lt;$E$27,0,DATEDIF($E$27,R326+1,"m"))))&lt;0,0,IF(Q327=12,0,IF(R326&gt;$E$28,12-DATEDIF($E$28,R326+1,"m"),IF(R326&lt;$E$27,0,DATEDIF($E$27,R326+1,"m")))))</f>
        <v>0</v>
      </c>
      <c r="S327" s="406">
        <f>IF(IF(Q327+R327=12,0,IF(S326&gt;$E$28,12-DATEDIF($E$28,S326+1,"m"),IF(S326&lt;$E$27,0,DATEDIF($E$27,S326+1,"m"))))&lt;0,0,IF(Q327+R327=12,0,IF(S326&gt;$E$28,12-DATEDIF($E$28,S326+1,"m"),IF(S326&lt;$E$27,0,DATEDIF($E$27,S326+1,"m")))))</f>
        <v>0</v>
      </c>
      <c r="T327" s="406">
        <f>IF(IF(R327+S327+Q327=12,0,IF(T326&gt;$E$28,12-DATEDIF($E$28,T326+1,"m"),IF(T326&lt;$E$27,0,DATEDIF($E$27,T326+1,"m"))))&lt;0,0,IF(R327+S327+Q327=12,0,IF(T326&gt;$E$28,12-DATEDIF($E$28,T326+1,"m"),IF(T326&lt;$E$27,0,DATEDIF($E$27,T326+1,"m")))))</f>
        <v>0</v>
      </c>
      <c r="U327" s="406">
        <f>IF(IF(S327+T327+R327+Q327=12,0,IF(U326&gt;$E$28,12-DATEDIF($E$28,U326+1,"m"),IF(U326&lt;$E$27,0,DATEDIF($E$27,U326+1,"m"))))&lt;0,0,IF(S327+T327+R327+Q327=12,0,IF(U326&gt;$E$28,12-DATEDIF($E$28,U326+1,"m"),IF(U326&lt;$E$27,0,DATEDIF($E$27,U326+1,"m")))))</f>
        <v>0</v>
      </c>
      <c r="V327" s="406">
        <f>IF(IF(T327+U327+S327+R327+Q327=12,0,IF(V326&gt;$E$28,12-DATEDIF($E$28,V326+1,"m"),IF(V326&lt;$E$27,0,DATEDIF($E$27,V326+1,"m"))))&lt;0,0,IF(T327+U327+S327+R327+Q327=12,0,IF(V326&gt;$E$28,12-DATEDIF($E$28,V326+1,"m"),IF(V326&lt;$E$27,0,DATEDIF($E$27,V326+1,"m")))))</f>
        <v>0</v>
      </c>
      <c r="W327" s="406">
        <f>IF(IF(U327+V327+T327+S327+R327+Q327=12,0,IF(W326&gt;$E$28,12-DATEDIF($E$28,W326+1,"m"),IF(W326&lt;$E$27,0,DATEDIF($E$27,W326+1,"m"))))&lt;0,0,IF(U327+V327+T327+S327+R327+Q327=12,0,IF(W326&gt;$E$28,12-DATEDIF($E$28,W326+1,"m"),IF(W326&lt;$E$27,0,DATEDIF($E$27,W326+1,"m")))))</f>
        <v>0</v>
      </c>
      <c r="X327" s="406">
        <f>IF(IF(V327+W327+U327+T327+S327+R327+Q327=12,0,IF(X326&gt;$E$28,12-DATEDIF($E$28,X326+1,"m"),IF(X326&lt;$E$27,0,DATEDIF($E$27,X326+1,"m"))))&lt;0,0,IF(V327+W327+U327+T327+S327+R327+Q327=12,0,IF(X326&gt;$E$28,12-DATEDIF($E$28,X326+1,"m"),IF(X326&lt;$E$27,0,DATEDIF($E$27,X326+1,"m")))))</f>
        <v>0</v>
      </c>
      <c r="Y327" s="406">
        <f>IF(IF(W327+X327+V327+U327+T327+S327+R327=12,0,IF(Y326&gt;F146,12-DATEDIF(F146,Y326+1,"m"),IF(Y326&lt;F145,0,DATEDIF(F145,Y326+1,"m"))))&lt;0,0,IF(W327+X327+V327+U327+T327+S327+R327=12,0,IF(Y326&gt;F146,12-DATEDIF(F146,Y326+1,"m"),IF(Y326&lt;F145,0,DATEDIF(F145,Y326+1,"m")))))</f>
        <v>0</v>
      </c>
      <c r="Z327" s="406">
        <f>IF(IF(X327+Y327+W327+V327+U327+T327+S327=12,0,IF(Z326&gt;G146,12-DATEDIF(G146,Z326+1,"m"),IF(Z326&lt;G145,0,DATEDIF(G145,Z326+1,"m"))))&lt;0,0,IF(X327+Y327+W327+V327+U327+T327+S327=12,0,IF(Z326&gt;G146,12-DATEDIF(G146,Z326+1,"m"),IF(Z326&lt;G145,0,DATEDIF(G145,Z326+1,"m")))))</f>
        <v>0</v>
      </c>
      <c r="AA327" s="406"/>
      <c r="AB327" s="406"/>
      <c r="AC327" s="406"/>
      <c r="AD327" s="406"/>
      <c r="AE327" s="406"/>
      <c r="AF327" s="406"/>
      <c r="AG327" s="406"/>
      <c r="AH327" s="423">
        <f>SUM(Q327:AG327)</f>
        <v>0</v>
      </c>
      <c r="AI327" s="406">
        <f t="shared" si="156"/>
        <v>0</v>
      </c>
      <c r="AJ327" s="406">
        <f t="shared" si="156"/>
        <v>0</v>
      </c>
      <c r="AK327" s="406">
        <f t="shared" si="156"/>
        <v>0</v>
      </c>
      <c r="AL327" s="406">
        <f t="shared" si="156"/>
        <v>0</v>
      </c>
      <c r="AM327" s="406">
        <f t="shared" si="156"/>
        <v>0</v>
      </c>
      <c r="AN327" s="406">
        <f t="shared" si="156"/>
        <v>0</v>
      </c>
      <c r="AO327" s="406">
        <f t="shared" si="156"/>
        <v>0</v>
      </c>
      <c r="AP327" s="406">
        <f t="shared" si="156"/>
        <v>0</v>
      </c>
      <c r="AQ327" s="406">
        <f t="shared" si="156"/>
        <v>0</v>
      </c>
      <c r="AR327" s="406">
        <f t="shared" si="156"/>
        <v>0</v>
      </c>
      <c r="AS327" s="406">
        <f t="shared" si="157"/>
        <v>0</v>
      </c>
      <c r="AT327" s="406">
        <f t="shared" si="157"/>
        <v>0</v>
      </c>
      <c r="AU327" s="406">
        <f t="shared" si="157"/>
        <v>0</v>
      </c>
      <c r="AV327" s="406">
        <f t="shared" si="157"/>
        <v>0</v>
      </c>
      <c r="AW327" s="406">
        <f t="shared" si="157"/>
        <v>0</v>
      </c>
      <c r="AX327" s="406">
        <f t="shared" si="157"/>
        <v>0</v>
      </c>
      <c r="AY327" s="406">
        <f t="shared" si="157"/>
        <v>0</v>
      </c>
      <c r="AZ327" s="406">
        <f>SUM(AI327:AY327)</f>
        <v>0</v>
      </c>
    </row>
    <row r="328" spans="15:52" ht="12.75" hidden="1" customHeight="1">
      <c r="P328" s="207">
        <f t="shared" si="153"/>
        <v>1</v>
      </c>
      <c r="Q328" s="407">
        <f>IF(Q327=0,0,(IF(($C$118+$B$118+$D$118+$E$118)&lt;=25000,(($E$118/+$AH327)*Q327)*VLOOKUP('1. SUMMARY'!$C$20,rate,Sheet1!T$21,0),((IF(($B$118+$C$118+$D$118)&gt;=25000,0,(((25000-($B$118+$C$118+$D$118))/+$AH327)*Q327)*(VLOOKUP('1. SUMMARY'!$C$20,rate,Sheet1!T$21,0))))))))</f>
        <v>0</v>
      </c>
      <c r="R328" s="407">
        <f>IF(R327=0,0,(IF(($C$118+$B$118+$D$118+$E$118)&lt;=25000,(($E$118/+$AH327)*R327)*VLOOKUP('1. SUMMARY'!$C$20,rate,Sheet1!U$21,0),((IF(($B$118+$C$118+$D$118)&gt;=25000,0,(((25000-($B$118+$C$118+$D$118))/+$AH327)*R327)*(VLOOKUP('1. SUMMARY'!$C$20,rate,Sheet1!U$21,0))))))))</f>
        <v>0</v>
      </c>
      <c r="S328" s="407">
        <f>IF(S327=0,0,(IF(($C$118+$B$118+$D$118+$E$118)&lt;=25000,(($E$118/+$AH327)*S327)*VLOOKUP('1. SUMMARY'!$C$20,rate,Sheet1!V$21,0),((IF(($B$118+$C$118+$D$118)&gt;=25000,0,(((25000-($B$118+$C$118+$D$118))/+$AH327)*S327)*(VLOOKUP('1. SUMMARY'!$C$20,rate,Sheet1!V$21,0))))))))</f>
        <v>0</v>
      </c>
      <c r="T328" s="407">
        <f>IF(T327=0,0,(IF(($C$118+$B$118+$D$118+$E$118)&lt;=25000,(($E$118/+$AH327)*T327)*VLOOKUP('1. SUMMARY'!$C$20,rate,Sheet1!W$21,0),((IF(($B$118+$C$118+$D$118)&gt;=25000,0,(((25000-($B$118+$C$118+$D$118))/+$AH327)*T327)*(VLOOKUP('1. SUMMARY'!$C$20,rate,Sheet1!W$21,0))))))))</f>
        <v>0</v>
      </c>
      <c r="U328" s="407">
        <f>IF(U327=0,0,(IF(($C$118+$B$118+$D$118+$E$118)&lt;=25000,(($E$118/+$AH327)*U327)*VLOOKUP('1. SUMMARY'!$C$20,rate,Sheet1!X$21,0),((IF(($B$118+$C$118+$D$118)&gt;=25000,0,(((25000-($B$118+$C$118+$D$118))/+$AH327)*U327)*(VLOOKUP('1. SUMMARY'!$C$20,rate,Sheet1!X$21,0))))))))</f>
        <v>0</v>
      </c>
      <c r="V328" s="407">
        <f>IF(V327=0,0,(IF(($C$118+$B$118+$D$118+$E$118)&lt;=25000,(($E$118/+$AH327)*V327)*VLOOKUP('1. SUMMARY'!$C$20,rate,Sheet1!Y$21,0),((IF(($B$118+$C$118+$D$118)&gt;=25000,0,(((25000-($B$118+$C$118+$D$118))/+$AH327)*V327)*(VLOOKUP('1. SUMMARY'!$C$20,rate,Sheet1!Y$21,0))))))))</f>
        <v>0</v>
      </c>
      <c r="W328" s="407">
        <f>IF(W327=0,0,(IF(($C$118+$B$118+$D$118+$E$118)&lt;=25000,(($E$118/+$AH327)*W327)*VLOOKUP('1. SUMMARY'!$C$20,rate,Sheet1!Z$21,0),((IF(($B$118+$C$118+$D$118)&gt;=25000,0,(((25000-($B$118+$C$118+$D$118))/+$AH327)*W327)*(VLOOKUP('1. SUMMARY'!$C$20,rate,Sheet1!Z$21,0))))))))</f>
        <v>0</v>
      </c>
      <c r="X328" s="407">
        <f>IF(X327=0,0,(IF(($C$118+$B$118+$D$118+$E$118)&lt;=25000,(($E$118/+$AH327)*X327)*VLOOKUP('1. SUMMARY'!$C$20,rate,Sheet1!AA$21,0),((IF(($B$118+$C$118+$D$118)&gt;=25000,0,(((25000-($B$118+$C$118+$D$118))/+$AH327)*X327)*(VLOOKUP('1. SUMMARY'!$C$20,rate,Sheet1!AA$21,0))))))))</f>
        <v>0</v>
      </c>
      <c r="Y328" s="407">
        <f>IF(Y327=0,0,(IF(($C$118+$B$118+$D$118+$E$118)&lt;=25000,(($E$118/+$AH327)*Y327)*VLOOKUP('1. SUMMARY'!$C$20,rate,Sheet1!AB$21,0),((IF(($B$118+$C$118+$D$118)&gt;=25000,0,(((25000-($B$118+$C$118+$D$118))/+$AH327)*Y327)*(VLOOKUP('1. SUMMARY'!$C$20,rate,Sheet1!AB$21,0))))))))</f>
        <v>0</v>
      </c>
      <c r="Z328" s="407">
        <f>IF(Z327=0,0,(IF(($C$118+$B$118+$D$118+$E$118)&lt;=25000,(($E$118/+$AH327)*Z327)*VLOOKUP('1. SUMMARY'!$C$20,rate,Sheet1!AC$21,0),((IF(($B$118+$C$118+$D$118)&gt;=25000,0,(((25000-($B$118+$C$118+$D$118))/+$AH327)*Z327)*(VLOOKUP('1. SUMMARY'!$C$20,rate,Sheet1!AC$21,0))))))))</f>
        <v>0</v>
      </c>
      <c r="AA328" s="407">
        <f>IF(AA327=0,0,(IF(($C$118+$B$118+$D$118+$E$118)&lt;=25000,(($E$118/+$AH327)*AA327)*VLOOKUP('1. SUMMARY'!$C$20,rate,Sheet1!AD$21,0),((IF(($B$118+$C$118+$D$118)&gt;=25000,0,(((25000-($B$118+$C$118+$D$118))/+$AH327)*AA327)*(VLOOKUP('1. SUMMARY'!$C$20,rate,Sheet1!AD$21,0))))))))</f>
        <v>0</v>
      </c>
      <c r="AB328" s="407">
        <f>IF(AB327=0,0,(IF(($C$118+$B$118+$D$118+$E$118)&lt;=25000,(($E$118/+$AH327)*AB327)*VLOOKUP('1. SUMMARY'!$C$20,rate,Sheet1!AE$21,0),((IF(($B$118+$C$118+$D$118)&gt;=25000,0,(((25000-($B$118+$C$118+$D$118))/+$AH327)*AB327)*(VLOOKUP('1. SUMMARY'!$C$20,rate,Sheet1!AE$21,0))))))))</f>
        <v>0</v>
      </c>
      <c r="AC328" s="407">
        <f>IF(AC327=0,0,(IF(($C$118+$B$118+$D$118+$E$118)&lt;=25000,(($E$118/+$AH327)*AC327)*VLOOKUP('1. SUMMARY'!$C$20,rate,Sheet1!AF$21,0),((IF(($B$118+$C$118+$D$118)&gt;=25000,0,(((25000-($B$118+$C$118+$D$118))/+$AH327)*AC327)*(VLOOKUP('1. SUMMARY'!$C$20,rate,Sheet1!AF$21,0))))))))</f>
        <v>0</v>
      </c>
      <c r="AD328" s="407">
        <f>IF(AD327=0,0,(IF(($C$118+$B$118+$D$118+$E$118)&lt;=25000,(($E$118/+$AH327)*AD327)*VLOOKUP('1. SUMMARY'!$C$20,rate,Sheet1!AG$21,0),((IF(($B$118+$C$118+$D$118)&gt;=25000,0,(((25000-($B$118+$C$118+$D$118))/+$AH327)*AD327)*(VLOOKUP('1. SUMMARY'!$C$20,rate,Sheet1!AG$21,0))))))))</f>
        <v>0</v>
      </c>
      <c r="AE328" s="407">
        <f>IF(AE327=0,0,(IF(($C$118+$B$118+$D$118+$E$118)&lt;=25000,(($E$118/+$AH327)*AE327)*VLOOKUP('1. SUMMARY'!$C$20,rate,Sheet1!AH$21,0),((IF(($B$118+$C$118+$D$118)&gt;=25000,0,(((25000-($B$118+$C$118+$D$118))/+$AH327)*AE327)*(VLOOKUP('1. SUMMARY'!$C$20,rate,Sheet1!AH$21,0))))))))</f>
        <v>0</v>
      </c>
      <c r="AF328" s="407">
        <f>IF(AF327=0,0,(IF(($C$118+$B$118+$D$118+$E$118)&lt;=25000,(($E$118/+$AH327)*AF327)*VLOOKUP('1. SUMMARY'!$C$20,rate,Sheet1!AI$21,0),((IF(($B$118+$C$118+$D$118)&gt;=25000,0,(((25000-($B$118+$C$118+$D$118))/+$AH327)*AF327)*(VLOOKUP('1. SUMMARY'!$C$20,rate,Sheet1!AI$21,0))))))))</f>
        <v>0</v>
      </c>
      <c r="AG328" s="407">
        <f>IF(AG327=0,0,(IF(($C$118+$B$118+$D$118+$E$118)&lt;=25000,(($E$118/+$AH327)*AG327)*VLOOKUP('1. SUMMARY'!$C$20,rate,Sheet1!AJ$21,0),((IF(($B$118+$C$118+$D$118)&gt;=25000,0,(((25000-($B$118+$C$118+$D$118))/+$AH327)*AG327)*(VLOOKUP('1. SUMMARY'!$C$20,rate,Sheet1!AJ$21,0))))))))</f>
        <v>0</v>
      </c>
      <c r="AH328" s="219">
        <f>SUM(Q328:AG328)</f>
        <v>0</v>
      </c>
      <c r="AI328" s="407">
        <f>IF(AI327=0,0,((+$E118/$AZ$22)*AI327)*VLOOKUP('1. SUMMARY'!$C$20,rate,Sheet1!T$21,0))</f>
        <v>0</v>
      </c>
      <c r="AJ328" s="407">
        <f>IF(AJ327=0,0,((+$E118/$AZ$22)*AJ327)*VLOOKUP('1. SUMMARY'!$C$20,rate,Sheet1!U$21,0))</f>
        <v>0</v>
      </c>
      <c r="AK328" s="407">
        <f>IF(AK327=0,0,((+$E118/$AZ$22)*AK327)*VLOOKUP('1. SUMMARY'!$C$20,rate,Sheet1!V$21,0))</f>
        <v>0</v>
      </c>
      <c r="AL328" s="407">
        <f>IF(AL327=0,0,((+$E118/$AZ$22)*AL327)*VLOOKUP('1. SUMMARY'!$C$20,rate,Sheet1!W$21,0))</f>
        <v>0</v>
      </c>
      <c r="AM328" s="407">
        <f>IF(AM327=0,0,((+$E118/$AZ$22)*AM327)*VLOOKUP('1. SUMMARY'!$C$20,rate,Sheet1!X$21,0))</f>
        <v>0</v>
      </c>
      <c r="AN328" s="407">
        <f>IF(AN327=0,0,((+$E118/$AZ$22)*AN327)*VLOOKUP('1. SUMMARY'!$C$20,rate,Sheet1!Y$21,0))</f>
        <v>0</v>
      </c>
      <c r="AO328" s="407">
        <f>IF(AO327=0,0,((+$E118/$AZ$22)*AO327)*VLOOKUP('1. SUMMARY'!$C$20,rate,Sheet1!Z$21,0))</f>
        <v>0</v>
      </c>
      <c r="AP328" s="407">
        <f>IF(AP327=0,0,((+$E118/$AZ$22)*AP327)*VLOOKUP('1. SUMMARY'!$C$20,rate,Sheet1!AA$21,0))</f>
        <v>0</v>
      </c>
      <c r="AQ328" s="407">
        <f>IF(AQ327=0,0,((+$E118/$AZ$22)*AQ327)*VLOOKUP('1. SUMMARY'!$C$20,rate,Sheet1!AB$21,0))</f>
        <v>0</v>
      </c>
      <c r="AR328" s="407">
        <f>IF(AR327=0,0,((+$E118/$AZ$22)*AR327)*VLOOKUP('1. SUMMARY'!$C$20,rate,Sheet1!AC$21,0))</f>
        <v>0</v>
      </c>
      <c r="AS328" s="407">
        <f>IF(AS327=0,0,((+$E118/$AZ$22)*AS327)*VLOOKUP('1. SUMMARY'!$C$20,rate,Sheet1!AD$21,0))</f>
        <v>0</v>
      </c>
      <c r="AT328" s="407">
        <f>IF(AT327=0,0,((+$E118/$AZ$22)*AT327)*VLOOKUP('1. SUMMARY'!$C$20,rate,Sheet1!AE$21,0))</f>
        <v>0</v>
      </c>
      <c r="AU328" s="407">
        <f>IF(AU327=0,0,((+$E118/$AZ$22)*AU327)*VLOOKUP('1. SUMMARY'!$C$20,rate,Sheet1!AF$21,0))</f>
        <v>0</v>
      </c>
      <c r="AV328" s="407">
        <f>IF(AV327=0,0,((+$E118/$AZ$22)*AV327)*VLOOKUP('1. SUMMARY'!$C$20,rate,Sheet1!AG$21,0))</f>
        <v>0</v>
      </c>
      <c r="AW328" s="407">
        <f>IF(AW327=0,0,((+$E118/$AZ$22)*AW327)*VLOOKUP('1. SUMMARY'!$C$20,rate,Sheet1!AH$21,0))</f>
        <v>0</v>
      </c>
      <c r="AX328" s="407">
        <f>IF(AX327=0,0,((+$E118/$AZ$22)*AX327)*VLOOKUP('1. SUMMARY'!$C$20,rate,Sheet1!AI$21,0))</f>
        <v>0</v>
      </c>
      <c r="AY328" s="407">
        <f>IF(AY327=0,0,((+$E118/$AZ$22)*AY327)*VLOOKUP('1. SUMMARY'!$C$20,rate,Sheet1!AJ$21,0))</f>
        <v>0</v>
      </c>
      <c r="AZ328" s="407">
        <f>SUM(AI328:AY328)</f>
        <v>0</v>
      </c>
    </row>
    <row r="329" spans="15:52" ht="12.75" hidden="1" customHeight="1">
      <c r="P329" s="207">
        <f t="shared" si="153"/>
        <v>1</v>
      </c>
      <c r="Q329" s="407">
        <f>+Q328/VLOOKUP('1. SUMMARY'!$C$20,rate,Sheet1!T$21,0)</f>
        <v>0</v>
      </c>
      <c r="R329" s="407">
        <f>+R328/VLOOKUP('1. SUMMARY'!$C$20,rate,Sheet1!U$21,0)</f>
        <v>0</v>
      </c>
      <c r="S329" s="407">
        <f>+S328/VLOOKUP('1. SUMMARY'!$C$20,rate,Sheet1!V$21,0)</f>
        <v>0</v>
      </c>
      <c r="T329" s="407">
        <f>+T328/VLOOKUP('1. SUMMARY'!$C$20,rate,Sheet1!W$21,0)</f>
        <v>0</v>
      </c>
      <c r="U329" s="407">
        <f>+U328/VLOOKUP('1. SUMMARY'!$C$20,rate,Sheet1!X$21,0)</f>
        <v>0</v>
      </c>
      <c r="V329" s="407">
        <f>+V328/VLOOKUP('1. SUMMARY'!$C$20,rate,Sheet1!Y$21,0)</f>
        <v>0</v>
      </c>
      <c r="W329" s="407">
        <f>+W328/VLOOKUP('1. SUMMARY'!$C$20,rate,Sheet1!Z$21,0)</f>
        <v>0</v>
      </c>
      <c r="X329" s="407">
        <f>+X328/VLOOKUP('1. SUMMARY'!$C$20,rate,Sheet1!AA$21,0)</f>
        <v>0</v>
      </c>
      <c r="Y329" s="407">
        <f>+Y328/VLOOKUP('1. SUMMARY'!$C$20,rate,Sheet1!AB$21,0)</f>
        <v>0</v>
      </c>
      <c r="Z329" s="407">
        <f>+Z328/VLOOKUP('1. SUMMARY'!$C$20,rate,Sheet1!AC$21,0)</f>
        <v>0</v>
      </c>
      <c r="AA329" s="407">
        <f>+AA328/VLOOKUP('1. SUMMARY'!$C$20,rate,Sheet1!AD$21,0)</f>
        <v>0</v>
      </c>
      <c r="AB329" s="407">
        <f>+AB328/VLOOKUP('1. SUMMARY'!$C$20,rate,Sheet1!AE$21,0)</f>
        <v>0</v>
      </c>
      <c r="AC329" s="407">
        <f>+AC328/VLOOKUP('1. SUMMARY'!$C$20,rate,Sheet1!AF$21,0)</f>
        <v>0</v>
      </c>
      <c r="AD329" s="407">
        <f>+AD328/VLOOKUP('1. SUMMARY'!$C$20,rate,Sheet1!AG$21,0)</f>
        <v>0</v>
      </c>
      <c r="AE329" s="407">
        <f>+AE328/VLOOKUP('1. SUMMARY'!$C$20,rate,Sheet1!AH$21,0)</f>
        <v>0</v>
      </c>
      <c r="AF329" s="407">
        <f>+AF328/VLOOKUP('1. SUMMARY'!$C$20,rate,Sheet1!AI$21,0)</f>
        <v>0</v>
      </c>
      <c r="AG329" s="407">
        <f>+AG328/VLOOKUP('1. SUMMARY'!$C$20,rate,Sheet1!AJ$21,0)</f>
        <v>0</v>
      </c>
      <c r="AH329" s="219"/>
      <c r="AI329" s="407">
        <v>0</v>
      </c>
      <c r="AJ329" s="407">
        <v>0</v>
      </c>
      <c r="AK329" s="407">
        <v>0</v>
      </c>
      <c r="AL329" s="407">
        <v>0</v>
      </c>
      <c r="AM329" s="407">
        <v>0</v>
      </c>
      <c r="AN329" s="407">
        <v>0</v>
      </c>
      <c r="AO329" s="407">
        <v>0</v>
      </c>
      <c r="AP329" s="407">
        <v>0</v>
      </c>
      <c r="AQ329" s="407"/>
      <c r="AR329" s="407"/>
      <c r="AS329" s="407"/>
      <c r="AT329" s="407"/>
      <c r="AU329" s="407"/>
      <c r="AV329" s="407"/>
      <c r="AW329" s="407"/>
      <c r="AX329" s="407"/>
      <c r="AY329" s="407"/>
      <c r="AZ329" s="407"/>
    </row>
    <row r="330" spans="15:52" ht="12.75" hidden="1" customHeight="1">
      <c r="P330" s="207">
        <f t="shared" si="153"/>
        <v>1</v>
      </c>
      <c r="Q330" s="408">
        <f>Sheet1!$T$8</f>
        <v>44105</v>
      </c>
      <c r="R330" s="408">
        <f>Sheet1!$U$8</f>
        <v>44470</v>
      </c>
      <c r="S330" s="408">
        <f>Sheet1!$V$8</f>
        <v>44835</v>
      </c>
      <c r="T330" s="408">
        <f>Sheet1!$W$8</f>
        <v>45200</v>
      </c>
      <c r="U330" s="408">
        <f>Sheet1!$X$8</f>
        <v>45566</v>
      </c>
      <c r="V330" s="408">
        <f>Sheet1!$Y$8</f>
        <v>45931</v>
      </c>
      <c r="W330" s="408">
        <f>Sheet1!$Z$8</f>
        <v>46296</v>
      </c>
      <c r="X330" s="408">
        <f>Sheet1!$AA$8</f>
        <v>46661</v>
      </c>
      <c r="Y330" s="408">
        <f>Sheet1!$AB$8</f>
        <v>47027</v>
      </c>
      <c r="Z330" s="408">
        <f>Sheet1!$AC$8</f>
        <v>47392</v>
      </c>
      <c r="AA330" s="408">
        <f>$AA$5</f>
        <v>47757</v>
      </c>
      <c r="AB330" s="408">
        <f>$AB$5</f>
        <v>48122</v>
      </c>
      <c r="AC330" s="408">
        <f>$AC$5</f>
        <v>48488</v>
      </c>
      <c r="AD330" s="408">
        <f>$AD$5</f>
        <v>48853</v>
      </c>
      <c r="AE330" s="408">
        <f>$AE$5</f>
        <v>49218</v>
      </c>
      <c r="AF330" s="408">
        <f>$AF$5</f>
        <v>49583</v>
      </c>
      <c r="AG330" s="408">
        <f>$AG$5</f>
        <v>49949</v>
      </c>
      <c r="AH330" s="211"/>
      <c r="AI330" s="408">
        <f t="shared" ref="AI330:AR332" si="158">+Q330</f>
        <v>44105</v>
      </c>
      <c r="AJ330" s="408">
        <f t="shared" si="158"/>
        <v>44470</v>
      </c>
      <c r="AK330" s="408">
        <f t="shared" si="158"/>
        <v>44835</v>
      </c>
      <c r="AL330" s="408">
        <f t="shared" si="158"/>
        <v>45200</v>
      </c>
      <c r="AM330" s="408">
        <f t="shared" si="158"/>
        <v>45566</v>
      </c>
      <c r="AN330" s="408">
        <f t="shared" si="158"/>
        <v>45931</v>
      </c>
      <c r="AO330" s="408">
        <f t="shared" si="158"/>
        <v>46296</v>
      </c>
      <c r="AP330" s="408">
        <f t="shared" si="158"/>
        <v>46661</v>
      </c>
      <c r="AQ330" s="408">
        <f t="shared" si="158"/>
        <v>47027</v>
      </c>
      <c r="AR330" s="408">
        <f t="shared" si="158"/>
        <v>47392</v>
      </c>
      <c r="AS330" s="408">
        <f t="shared" ref="AS330:AY332" si="159">+AA330</f>
        <v>47757</v>
      </c>
      <c r="AT330" s="408">
        <f t="shared" si="159"/>
        <v>48122</v>
      </c>
      <c r="AU330" s="408">
        <f t="shared" si="159"/>
        <v>48488</v>
      </c>
      <c r="AV330" s="408">
        <f t="shared" si="159"/>
        <v>48853</v>
      </c>
      <c r="AW330" s="408">
        <f t="shared" si="159"/>
        <v>49218</v>
      </c>
      <c r="AX330" s="408">
        <f t="shared" si="159"/>
        <v>49583</v>
      </c>
      <c r="AY330" s="408">
        <f t="shared" si="159"/>
        <v>49949</v>
      </c>
      <c r="AZ330" s="408"/>
    </row>
    <row r="331" spans="15:52" ht="12.75" hidden="1" customHeight="1">
      <c r="P331" s="207">
        <f t="shared" si="153"/>
        <v>1</v>
      </c>
      <c r="Q331" s="408">
        <f>Sheet1!$T$9</f>
        <v>44469</v>
      </c>
      <c r="R331" s="408">
        <f>Sheet1!$U$9</f>
        <v>44834</v>
      </c>
      <c r="S331" s="408">
        <f>Sheet1!$V$9</f>
        <v>45199</v>
      </c>
      <c r="T331" s="408">
        <f>Sheet1!$W$9</f>
        <v>45565</v>
      </c>
      <c r="U331" s="408">
        <f>Sheet1!$X$9</f>
        <v>45930</v>
      </c>
      <c r="V331" s="408">
        <f>Sheet1!$Y$9</f>
        <v>46295</v>
      </c>
      <c r="W331" s="408">
        <f>Sheet1!$Z$9</f>
        <v>46660</v>
      </c>
      <c r="X331" s="408">
        <f>Sheet1!$AA$9</f>
        <v>47026</v>
      </c>
      <c r="Y331" s="408">
        <f>Sheet1!$AB$9</f>
        <v>47391</v>
      </c>
      <c r="Z331" s="408">
        <f>Sheet1!$AC$9</f>
        <v>47756</v>
      </c>
      <c r="AA331" s="408">
        <f>$AA$6</f>
        <v>48121</v>
      </c>
      <c r="AB331" s="408">
        <f>$AB$6</f>
        <v>48487</v>
      </c>
      <c r="AC331" s="408">
        <f>$AC$6</f>
        <v>48852</v>
      </c>
      <c r="AD331" s="408">
        <f>$AD$6</f>
        <v>49217</v>
      </c>
      <c r="AE331" s="408">
        <f>$AE$6</f>
        <v>49582</v>
      </c>
      <c r="AF331" s="408">
        <f>$AF$6</f>
        <v>49948</v>
      </c>
      <c r="AG331" s="408">
        <f>$AG$6</f>
        <v>50313</v>
      </c>
      <c r="AH331" s="211"/>
      <c r="AI331" s="408">
        <f t="shared" si="158"/>
        <v>44469</v>
      </c>
      <c r="AJ331" s="408">
        <f t="shared" si="158"/>
        <v>44834</v>
      </c>
      <c r="AK331" s="408">
        <f t="shared" si="158"/>
        <v>45199</v>
      </c>
      <c r="AL331" s="408">
        <f t="shared" si="158"/>
        <v>45565</v>
      </c>
      <c r="AM331" s="408">
        <f t="shared" si="158"/>
        <v>45930</v>
      </c>
      <c r="AN331" s="408">
        <f t="shared" si="158"/>
        <v>46295</v>
      </c>
      <c r="AO331" s="408">
        <f t="shared" si="158"/>
        <v>46660</v>
      </c>
      <c r="AP331" s="408">
        <f t="shared" si="158"/>
        <v>47026</v>
      </c>
      <c r="AQ331" s="408">
        <f t="shared" si="158"/>
        <v>47391</v>
      </c>
      <c r="AR331" s="408">
        <f t="shared" si="158"/>
        <v>47756</v>
      </c>
      <c r="AS331" s="408">
        <f t="shared" si="159"/>
        <v>48121</v>
      </c>
      <c r="AT331" s="408">
        <f t="shared" si="159"/>
        <v>48487</v>
      </c>
      <c r="AU331" s="408">
        <f t="shared" si="159"/>
        <v>48852</v>
      </c>
      <c r="AV331" s="408">
        <f t="shared" si="159"/>
        <v>49217</v>
      </c>
      <c r="AW331" s="408">
        <f t="shared" si="159"/>
        <v>49582</v>
      </c>
      <c r="AX331" s="408">
        <f t="shared" si="159"/>
        <v>49948</v>
      </c>
      <c r="AY331" s="408">
        <f t="shared" si="159"/>
        <v>50313</v>
      </c>
      <c r="AZ331" s="408"/>
    </row>
    <row r="332" spans="15:52" ht="12.75" hidden="1" customHeight="1">
      <c r="O332" s="207" t="s">
        <v>242</v>
      </c>
      <c r="P332" s="207">
        <f t="shared" si="153"/>
        <v>1</v>
      </c>
      <c r="Q332" s="409">
        <f>IF(IF(Q331&lt;$F$27,0,DATEDIF($F$27,Q331+1,"m"))&lt;0,0,IF(Q331&lt;$F$27,0,DATEDIF($F$27,Q331+1,"m")))</f>
        <v>0</v>
      </c>
      <c r="R332" s="409">
        <f>IF(IF(Q332=12,0,IF(R331&gt;$F$28,12-DATEDIF($F$28,R331+1,"m"),IF(R331&lt;$F$27,0,DATEDIF($F$27,R331+1,"m"))))&lt;0,0,IF(Q332=12,0,IF(R331&gt;$F$28,12-DATEDIF($F$28,R331+1,"m"),IF(R331&lt;$F$27,0,DATEDIF($F$27,R331+1,"m")))))</f>
        <v>0</v>
      </c>
      <c r="S332" s="409">
        <f>IF(IF(Q332+R332=12,0,IF(S331&gt;$F$28,12-DATEDIF($F$28,S331+1,"m"),IF(S331&lt;$F$27,0,DATEDIF($F$27,S331+1,"m"))))&lt;0,0,IF(Q332+R332=12,0,IF(S331&gt;$F$28,12-DATEDIF($F$28,S331+1,"m"),IF(S331&lt;$F$27,0,DATEDIF($F$27,S331+1,"m")))))</f>
        <v>0</v>
      </c>
      <c r="T332" s="409">
        <f>IF(IF(R332+S332+Q332=12,0,IF(T331&gt;$F$28,12-DATEDIF($F$28,T331+1,"m"),IF(T331&lt;$F$27,0,DATEDIF($F$27,T331+1,"m"))))&lt;0,0,IF(R332+S332+Q332=12,0,IF(T331&gt;$F$28,12-DATEDIF($F$28,T331+1,"m"),IF(T331&lt;$F$27,0,DATEDIF($F$27,T331+1,"m")))))</f>
        <v>0</v>
      </c>
      <c r="U332" s="409">
        <f>IF(IF(S332+T332+R332+Q332=12,0,IF(U331&gt;$F$28,12-DATEDIF($F$28,U331+1,"m"),IF(U331&lt;$F$27,0,DATEDIF($F$27,U331+1,"m"))))&lt;0,0,IF(S332+T332+R332+Q332=12,0,IF(U331&gt;$F$28,12-DATEDIF($F$28,U331+1,"m"),IF(U331&lt;$F$27,0,DATEDIF($F$27,U331+1,"m")))))</f>
        <v>0</v>
      </c>
      <c r="V332" s="409">
        <f>IF(IF(T332+U332+S332+R332+Q332=12,0,IF(V331&gt;$F$28,12-DATEDIF($F$28,V331+1,"m"),IF(V331&lt;$F$27,0,DATEDIF($F$27,V331+1,"m"))))&lt;0,0,IF(T332+U332+S332+R332+Q332=12,0,IF(V331&gt;$F$28,12-DATEDIF($F$28,V331+1,"m"),IF(V331&lt;$F$27,0,DATEDIF($F$27,V331+1,"m")))))</f>
        <v>0</v>
      </c>
      <c r="W332" s="409">
        <f>IF(IF(U332+V332+T332+S332+R332+Q332=12,0,IF(W331&gt;$F$28,12-DATEDIF($F$28,W331+1,"m"),IF(W331&lt;$F$27,0,DATEDIF($F$27,W331+1,"m"))))&lt;0,0,IF(U332+V332+T332+S332+R332+Q332=12,0,IF(W331&gt;$F$28,12-DATEDIF($F$28,W331+1,"m"),IF(W331&lt;$F$27,0,DATEDIF($F$27,W331+1,"m")))))</f>
        <v>0</v>
      </c>
      <c r="X332" s="409">
        <f>IF(IF(V332+W332+U332+T332+S332+R332+Q332=12,0,IF(X331&gt;$F$28,12-DATEDIF($F$28,X331+1,"m"),IF(X331&lt;$F$27,0,DATEDIF($F$27,X331+1,"m"))))&lt;0,0,IF(V332+W332+U332+T332+S332+R332+Q332=12,0,IF(X331&gt;$F$28,12-DATEDIF($F$28,X331+1,"m"),IF(X331&lt;$F$27,0,DATEDIF($F$27,X331+1,"m")))))</f>
        <v>0</v>
      </c>
      <c r="Y332" s="409">
        <f>IF(IF(Q332+W332+X332+V332+U332+T332+S332+R332=12,0,IF(Y331&gt;$F$28,12-DATEDIF($F$28,Y331+1,"m"),IF(Y331&lt;$F$27,0,DATEDIF($F$27,Y331+1,"m"))))&lt;0,0,IF(Q332+W332+X332+V332+U332+T332+S332+R332=12,0,IF(Y331&gt;$F$28,12-DATEDIF($F$28,Y331+1,"m"),IF(Y331&lt;$F$27,0,DATEDIF($F$27,Y331+1,"m")))))</f>
        <v>0</v>
      </c>
      <c r="Z332" s="409">
        <f>IF(IF(Q332+R332+X332+Y332+W332+V332+U332+T332+S332=12,0,IF(Z331&gt;$F$28,12-DATEDIF($F$28,Z331+1,"m"),IF(Z331&lt;$F$27,0,DATEDIF($F$27,Z331+1,"m"))))&lt;0,0,IF(Q332+R332+X332+Y332+W332+V332+U332+T332+S332=12,0,IF(Z331&gt;$F$28,12-DATEDIF($F$28,Z331+1,"m"),IF(Z331&lt;$F$27,0,DATEDIF($F$27,Z331+1,"m")))))</f>
        <v>0</v>
      </c>
      <c r="AA332" s="409"/>
      <c r="AB332" s="409"/>
      <c r="AC332" s="409"/>
      <c r="AD332" s="409"/>
      <c r="AE332" s="409"/>
      <c r="AF332" s="409"/>
      <c r="AG332" s="409"/>
      <c r="AH332" s="423">
        <f>SUM(Q332:AG332)</f>
        <v>0</v>
      </c>
      <c r="AI332" s="409">
        <f t="shared" si="158"/>
        <v>0</v>
      </c>
      <c r="AJ332" s="409">
        <f t="shared" si="158"/>
        <v>0</v>
      </c>
      <c r="AK332" s="409">
        <f t="shared" si="158"/>
        <v>0</v>
      </c>
      <c r="AL332" s="409">
        <f t="shared" si="158"/>
        <v>0</v>
      </c>
      <c r="AM332" s="409">
        <f t="shared" si="158"/>
        <v>0</v>
      </c>
      <c r="AN332" s="409">
        <f t="shared" si="158"/>
        <v>0</v>
      </c>
      <c r="AO332" s="409">
        <f t="shared" si="158"/>
        <v>0</v>
      </c>
      <c r="AP332" s="409">
        <f t="shared" si="158"/>
        <v>0</v>
      </c>
      <c r="AQ332" s="409">
        <f t="shared" si="158"/>
        <v>0</v>
      </c>
      <c r="AR332" s="409">
        <f t="shared" si="158"/>
        <v>0</v>
      </c>
      <c r="AS332" s="409">
        <f t="shared" si="159"/>
        <v>0</v>
      </c>
      <c r="AT332" s="409">
        <f t="shared" si="159"/>
        <v>0</v>
      </c>
      <c r="AU332" s="409">
        <f t="shared" si="159"/>
        <v>0</v>
      </c>
      <c r="AV332" s="409">
        <f t="shared" si="159"/>
        <v>0</v>
      </c>
      <c r="AW332" s="409">
        <f t="shared" si="159"/>
        <v>0</v>
      </c>
      <c r="AX332" s="409">
        <f t="shared" si="159"/>
        <v>0</v>
      </c>
      <c r="AY332" s="409">
        <f t="shared" si="159"/>
        <v>0</v>
      </c>
      <c r="AZ332" s="409">
        <f>SUM(AI332:AY332)</f>
        <v>0</v>
      </c>
    </row>
    <row r="333" spans="15:52" ht="12.75" hidden="1" customHeight="1">
      <c r="P333" s="207">
        <f t="shared" si="153"/>
        <v>1</v>
      </c>
      <c r="Q333" s="410">
        <f>IF(Q332=0,0,(IF(($C$118+$B$118+$D$118+$E$118+$F$118)&lt;=25000,(($F$118/+$AH332)*Q332)*VLOOKUP('1. SUMMARY'!$C$20,rate,Sheet1!T$21,0),((IF(($B$118+$C$118+$D$118+$E$118)&gt;=25000,0,(((25000-($B$118+$C$118+$D$118+$E$118))/+$AH332)*Q332)*(VLOOKUP('1. SUMMARY'!$C$20,rate,Sheet1!T$21,0))))))))</f>
        <v>0</v>
      </c>
      <c r="R333" s="410">
        <f>IF(R332=0,0,(IF(($C$118+$B$118+$D$118+$E$118+$F$118)&lt;=25000,(($F$118/+$AH332)*R332)*VLOOKUP('1. SUMMARY'!$C$20,rate,Sheet1!U$21,0),((IF(($B$118+$C$118+$D$118+$E$118)&gt;=25000,0,(((25000-($B$118+$C$118+$D$118+$E$118))/+$AH332)*R332)*(VLOOKUP('1. SUMMARY'!$C$20,rate,Sheet1!U$21,0))))))))</f>
        <v>0</v>
      </c>
      <c r="S333" s="410">
        <f>IF(S332=0,0,(IF(($C$118+$B$118+$D$118+$E$118+$F$118)&lt;=25000,(($F$118/+$AH332)*S332)*VLOOKUP('1. SUMMARY'!$C$20,rate,Sheet1!V$21,0),((IF(($B$118+$C$118+$D$118+$E$118)&gt;=25000,0,(((25000-($B$118+$C$118+$D$118+$E$118))/+$AH332)*S332)*(VLOOKUP('1. SUMMARY'!$C$20,rate,Sheet1!V$21,0))))))))</f>
        <v>0</v>
      </c>
      <c r="T333" s="410">
        <f>IF(T332=0,0,(IF(($C$118+$B$118+$D$118+$E$118+$F$118)&lt;=25000,(($F$118/+$AH332)*T332)*VLOOKUP('1. SUMMARY'!$C$20,rate,Sheet1!W$21,0),((IF(($B$118+$C$118+$D$118+$E$118)&gt;=25000,0,(((25000-($B$118+$C$118+$D$118+$E$118))/+$AH332)*T332)*(VLOOKUP('1. SUMMARY'!$C$20,rate,Sheet1!W$21,0))))))))</f>
        <v>0</v>
      </c>
      <c r="U333" s="410">
        <f>IF(U332=0,0,(IF(($C$118+$B$118+$D$118+$E$118+$F$118)&lt;=25000,(($F$118/+$AH332)*U332)*VLOOKUP('1. SUMMARY'!$C$20,rate,Sheet1!X$21,0),((IF(($B$118+$C$118+$D$118+$E$118)&gt;=25000,0,(((25000-($B$118+$C$118+$D$118+$E$118))/+$AH332)*U332)*(VLOOKUP('1. SUMMARY'!$C$20,rate,Sheet1!X$21,0))))))))</f>
        <v>0</v>
      </c>
      <c r="V333" s="410">
        <f>IF(V332=0,0,(IF(($C$118+$B$118+$D$118+$E$118+$F$118)&lt;=25000,(($F$118/+$AH332)*V332)*VLOOKUP('1. SUMMARY'!$C$20,rate,Sheet1!Y$21,0),((IF(($B$118+$C$118+$D$118+$E$118)&gt;=25000,0,(((25000-($B$118+$C$118+$D$118+$E$118))/+$AH332)*V332)*(VLOOKUP('1. SUMMARY'!$C$20,rate,Sheet1!Y$21,0))))))))</f>
        <v>0</v>
      </c>
      <c r="W333" s="410">
        <f>IF(W332=0,0,(IF(($C$118+$B$118+$D$118+$E$118+$F$118)&lt;=25000,(($F$118/+$AH332)*W332)*VLOOKUP('1. SUMMARY'!$C$20,rate,Sheet1!Z$21,0),((IF(($B$118+$C$118+$D$118+$E$118)&gt;=25000,0,(((25000-($B$118+$C$118+$D$118+$E$118))/+$AH332)*W332)*(VLOOKUP('1. SUMMARY'!$C$20,rate,Sheet1!Z$21,0))))))))</f>
        <v>0</v>
      </c>
      <c r="X333" s="410">
        <f>IF(X332=0,0,(IF(($C$118+$B$118+$D$118+$E$118+$F$118)&lt;=25000,(($F$118/+$AH332)*X332)*VLOOKUP('1. SUMMARY'!$C$20,rate,Sheet1!AA$21,0),((IF(($B$118+$C$118+$D$118+$E$118)&gt;=25000,0,(((25000-($B$118+$C$118+$D$118+$E$118))/+$AH332)*X332)*(VLOOKUP('1. SUMMARY'!$C$20,rate,Sheet1!AA$21,0))))))))</f>
        <v>0</v>
      </c>
      <c r="Y333" s="410">
        <f>IF(Y332=0,0,(IF(($C$118+$B$118+$D$118+$E$118+$F$118)&lt;=25000,(($F$118/+$AH332)*Y332)*VLOOKUP('1. SUMMARY'!$C$20,rate,Sheet1!AB$21,0),((IF(($B$118+$C$118+$D$118+$E$118)&gt;=25000,0,(((25000-($B$118+$C$118+$D$118+$E$118))/+$AH332)*Y332)*(VLOOKUP('1. SUMMARY'!$C$20,rate,Sheet1!AB$21,0))))))))</f>
        <v>0</v>
      </c>
      <c r="Z333" s="410">
        <f>IF(Z332=0,0,(IF(($C$118+$B$118+$D$118+$E$118+$F$118)&lt;=25000,(($F$118/+$AH332)*Z332)*VLOOKUP('1. SUMMARY'!$C$20,rate,Sheet1!AC$21,0),((IF(($B$118+$C$118+$D$118+$E$118)&gt;=25000,0,(((25000-($B$118+$C$118+$D$118+$E$118))/+$AH332)*Z332)*(VLOOKUP('1. SUMMARY'!$C$20,rate,Sheet1!AC$21,0))))))))</f>
        <v>0</v>
      </c>
      <c r="AA333" s="410">
        <f>IF(AA332=0,0,(IF(($C$118+$B$118+$D$118+$E$118+$F$118)&lt;=25000,(($F$118/+$AH332)*AA332)*VLOOKUP('1. SUMMARY'!$C$20,rate,Sheet1!AD$21,0),((IF(($B$118+$C$118+$D$118+$E$118)&gt;=25000,0,(((25000-($B$118+$C$118+$D$118+$E$118))/+$AH332)*AA332)*(VLOOKUP('1. SUMMARY'!$C$20,rate,Sheet1!AD$21,0))))))))</f>
        <v>0</v>
      </c>
      <c r="AB333" s="410">
        <f>IF(AB332=0,0,(IF(($C$118+$B$118+$D$118+$E$118+$F$118)&lt;=25000,(($F$118/+$AH332)*AB332)*VLOOKUP('1. SUMMARY'!$C$20,rate,Sheet1!AE$21,0),((IF(($B$118+$C$118+$D$118+$E$118)&gt;=25000,0,(((25000-($B$118+$C$118+$D$118+$E$118))/+$AH332)*AB332)*(VLOOKUP('1. SUMMARY'!$C$20,rate,Sheet1!AE$21,0))))))))</f>
        <v>0</v>
      </c>
      <c r="AC333" s="410">
        <f>IF(AC332=0,0,(IF(($C$118+$B$118+$D$118+$E$118+$F$118)&lt;=25000,(($F$118/+$AH332)*AC332)*VLOOKUP('1. SUMMARY'!$C$20,rate,Sheet1!AF$21,0),((IF(($B$118+$C$118+$D$118+$E$118)&gt;=25000,0,(((25000-($B$118+$C$118+$D$118+$E$118))/+$AH332)*AC332)*(VLOOKUP('1. SUMMARY'!$C$20,rate,Sheet1!AF$21,0))))))))</f>
        <v>0</v>
      </c>
      <c r="AD333" s="410">
        <f>IF(AD332=0,0,(IF(($C$118+$B$118+$D$118+$E$118+$F$118)&lt;=25000,(($F$118/+$AH332)*AD332)*VLOOKUP('1. SUMMARY'!$C$20,rate,Sheet1!AG$21,0),((IF(($B$118+$C$118+$D$118+$E$118)&gt;=25000,0,(((25000-($B$118+$C$118+$D$118+$E$118))/+$AH332)*AD332)*(VLOOKUP('1. SUMMARY'!$C$20,rate,Sheet1!AG$21,0))))))))</f>
        <v>0</v>
      </c>
      <c r="AE333" s="410">
        <f>IF(AE332=0,0,(IF(($C$118+$B$118+$D$118+$E$118+$F$118)&lt;=25000,(($F$118/+$AH332)*AE332)*VLOOKUP('1. SUMMARY'!$C$20,rate,Sheet1!AH$21,0),((IF(($B$118+$C$118+$D$118+$E$118)&gt;=25000,0,(((25000-($B$118+$C$118+$D$118+$E$118))/+$AH332)*AE332)*(VLOOKUP('1. SUMMARY'!$C$20,rate,Sheet1!AH$21,0))))))))</f>
        <v>0</v>
      </c>
      <c r="AF333" s="410">
        <f>IF(AF332=0,0,(IF(($C$118+$B$118+$D$118+$E$118+$F$118)&lt;=25000,(($F$118/+$AH332)*AF332)*VLOOKUP('1. SUMMARY'!$C$20,rate,Sheet1!AI$21,0),((IF(($B$118+$C$118+$D$118+$E$118)&gt;=25000,0,(((25000-($B$118+$C$118+$D$118+$E$118))/+$AH332)*AF332)*(VLOOKUP('1. SUMMARY'!$C$20,rate,Sheet1!AI$21,0))))))))</f>
        <v>0</v>
      </c>
      <c r="AG333" s="410">
        <f>IF(AG332=0,0,(IF(($C$118+$B$118+$D$118+$E$118+$F$118)&lt;=25000,(($F$118/+$AH332)*AG332)*VLOOKUP('1. SUMMARY'!$C$20,rate,Sheet1!AJ$21,0),((IF(($B$118+$C$118+$D$118+$E$118)&gt;=25000,0,(((25000-($B$118+$C$118+$D$118+$E$118))/+$AH332)*AG332)*(VLOOKUP('1. SUMMARY'!$C$20,rate,Sheet1!AJ$21,0))))))))</f>
        <v>0</v>
      </c>
      <c r="AH333" s="219">
        <f>SUM(Q333:AG333)</f>
        <v>0</v>
      </c>
      <c r="AI333" s="410">
        <f>IF(AI332=0,0,((+$F118/$AZ332)*AI332)*VLOOKUP('1. SUMMARY'!$C$20,rate,Sheet1!T$21,0))</f>
        <v>0</v>
      </c>
      <c r="AJ333" s="410">
        <f>IF(AJ332=0,0,((+$F118/$AZ332)*AJ332)*VLOOKUP('1. SUMMARY'!$C$20,rate,Sheet1!U$21,0))</f>
        <v>0</v>
      </c>
      <c r="AK333" s="410">
        <f>IF(AK332=0,0,((+$F118/$AZ332)*AK332)*VLOOKUP('1. SUMMARY'!$C$20,rate,Sheet1!V$21,0))</f>
        <v>0</v>
      </c>
      <c r="AL333" s="410">
        <f>IF(AL332=0,0,((+$F118/$AZ332)*AL332)*VLOOKUP('1. SUMMARY'!$C$20,rate,Sheet1!W$21,0))</f>
        <v>0</v>
      </c>
      <c r="AM333" s="410">
        <f>IF(AM332=0,0,((+$F118/$AZ332)*AM332)*VLOOKUP('1. SUMMARY'!$C$20,rate,Sheet1!X$21,0))</f>
        <v>0</v>
      </c>
      <c r="AN333" s="410">
        <f>IF(AN332=0,0,((+$F118/$AZ332)*AN332)*VLOOKUP('1. SUMMARY'!$C$20,rate,Sheet1!Y$21,0))</f>
        <v>0</v>
      </c>
      <c r="AO333" s="410">
        <f>IF(AO332=0,0,((+$F118/$AZ332)*AO332)*VLOOKUP('1. SUMMARY'!$C$20,rate,Sheet1!Z$21,0))</f>
        <v>0</v>
      </c>
      <c r="AP333" s="410">
        <f>IF(AP332=0,0,((+$F118/$AZ332)*AP332)*VLOOKUP('1. SUMMARY'!$C$20,rate,Sheet1!AA$21,0))</f>
        <v>0</v>
      </c>
      <c r="AQ333" s="410">
        <f>IF(AQ332=0,0,((+$F118/$AZ332)*AQ332)*VLOOKUP('1. SUMMARY'!$C$20,rate,Sheet1!AB$21,0))</f>
        <v>0</v>
      </c>
      <c r="AR333" s="410">
        <f>IF(AR332=0,0,((+$F118/$AZ332)*AR332)*VLOOKUP('1. SUMMARY'!$C$20,rate,Sheet1!AC$21,0))</f>
        <v>0</v>
      </c>
      <c r="AS333" s="410">
        <f>IF(AS332=0,0,((+$F118/$AZ332)*AS332)*VLOOKUP('1. SUMMARY'!$C$20,rate,Sheet1!AD$21,0))</f>
        <v>0</v>
      </c>
      <c r="AT333" s="410">
        <f>IF(AT332=0,0,((+$F118/$AZ332)*AT332)*VLOOKUP('1. SUMMARY'!$C$20,rate,Sheet1!AE$21,0))</f>
        <v>0</v>
      </c>
      <c r="AU333" s="410">
        <f>IF(AU332=0,0,((+$F118/$AZ332)*AU332)*VLOOKUP('1. SUMMARY'!$C$20,rate,Sheet1!AF$21,0))</f>
        <v>0</v>
      </c>
      <c r="AV333" s="410">
        <f>IF(AV332=0,0,((+$F118/$AZ332)*AV332)*VLOOKUP('1. SUMMARY'!$C$20,rate,Sheet1!AG$21,0))</f>
        <v>0</v>
      </c>
      <c r="AW333" s="410">
        <f>IF(AW332=0,0,((+$F118/$AZ332)*AW332)*VLOOKUP('1. SUMMARY'!$C$20,rate,Sheet1!AH$21,0))</f>
        <v>0</v>
      </c>
      <c r="AX333" s="410">
        <f>IF(AX332=0,0,((+$F118/$AZ332)*AX332)*VLOOKUP('1. SUMMARY'!$C$20,rate,Sheet1!AI$21,0))</f>
        <v>0</v>
      </c>
      <c r="AY333" s="410">
        <f>IF(AY332=0,0,((+$F118/$AZ332)*AY332)*VLOOKUP('1. SUMMARY'!$C$20,rate,Sheet1!AJ$21,0))</f>
        <v>0</v>
      </c>
      <c r="AZ333" s="410">
        <f>SUM(AI333:AY333)</f>
        <v>0</v>
      </c>
    </row>
    <row r="334" spans="15:52" ht="12.75" hidden="1" customHeight="1">
      <c r="P334" s="207">
        <f t="shared" si="153"/>
        <v>1</v>
      </c>
      <c r="Q334" s="410">
        <f>+Q333/VLOOKUP('1. SUMMARY'!$C$20,rate,Sheet1!T$21,0)</f>
        <v>0</v>
      </c>
      <c r="R334" s="410">
        <f>+R333/VLOOKUP('1. SUMMARY'!$C$20,rate,Sheet1!U$21,0)</f>
        <v>0</v>
      </c>
      <c r="S334" s="410">
        <f>+S333/VLOOKUP('1. SUMMARY'!$C$20,rate,Sheet1!V$21,0)</f>
        <v>0</v>
      </c>
      <c r="T334" s="410">
        <f>+T333/VLOOKUP('1. SUMMARY'!$C$20,rate,Sheet1!W$21,0)</f>
        <v>0</v>
      </c>
      <c r="U334" s="410">
        <f>+U333/VLOOKUP('1. SUMMARY'!$C$20,rate,Sheet1!X$21,0)</f>
        <v>0</v>
      </c>
      <c r="V334" s="410">
        <f>+V333/VLOOKUP('1. SUMMARY'!$C$20,rate,Sheet1!Y$21,0)</f>
        <v>0</v>
      </c>
      <c r="W334" s="410">
        <f>+W333/VLOOKUP('1. SUMMARY'!$C$20,rate,Sheet1!Z$21,0)</f>
        <v>0</v>
      </c>
      <c r="X334" s="410">
        <f>+X333/VLOOKUP('1. SUMMARY'!$C$20,rate,Sheet1!AA$21,0)</f>
        <v>0</v>
      </c>
      <c r="Y334" s="410">
        <f>+Y333/VLOOKUP('1. SUMMARY'!$C$20,rate,Sheet1!AB$21,0)</f>
        <v>0</v>
      </c>
      <c r="Z334" s="410">
        <f>+Z333/VLOOKUP('1. SUMMARY'!$C$20,rate,Sheet1!AC$21,0)</f>
        <v>0</v>
      </c>
      <c r="AA334" s="410">
        <f>+AA333/VLOOKUP('1. SUMMARY'!$C$20,rate,Sheet1!AD$21,0)</f>
        <v>0</v>
      </c>
      <c r="AB334" s="410">
        <f>+AB333/VLOOKUP('1. SUMMARY'!$C$20,rate,Sheet1!AE$21,0)</f>
        <v>0</v>
      </c>
      <c r="AC334" s="410">
        <f>+AC333/VLOOKUP('1. SUMMARY'!$C$20,rate,Sheet1!AF$21,0)</f>
        <v>0</v>
      </c>
      <c r="AD334" s="410">
        <f>+AD333/VLOOKUP('1. SUMMARY'!$C$20,rate,Sheet1!AG$21,0)</f>
        <v>0</v>
      </c>
      <c r="AE334" s="410">
        <f>+AE333/VLOOKUP('1. SUMMARY'!$C$20,rate,Sheet1!AH$21,0)</f>
        <v>0</v>
      </c>
      <c r="AF334" s="410">
        <f>+AF333/VLOOKUP('1. SUMMARY'!$C$20,rate,Sheet1!AI$21,0)</f>
        <v>0</v>
      </c>
      <c r="AG334" s="410">
        <f>+AG333/VLOOKUP('1. SUMMARY'!$C$20,rate,Sheet1!AJ$21,0)</f>
        <v>0</v>
      </c>
      <c r="AH334" s="219"/>
      <c r="AI334" s="410">
        <v>0</v>
      </c>
      <c r="AJ334" s="410">
        <v>0</v>
      </c>
      <c r="AK334" s="410">
        <v>0</v>
      </c>
      <c r="AL334" s="410">
        <v>0</v>
      </c>
      <c r="AM334" s="410">
        <v>0</v>
      </c>
      <c r="AN334" s="410">
        <v>0</v>
      </c>
      <c r="AO334" s="410">
        <v>0</v>
      </c>
      <c r="AP334" s="410">
        <v>0</v>
      </c>
      <c r="AQ334" s="410"/>
      <c r="AR334" s="410"/>
      <c r="AS334" s="410"/>
      <c r="AT334" s="410"/>
      <c r="AU334" s="410"/>
      <c r="AV334" s="410"/>
      <c r="AW334" s="410"/>
      <c r="AX334" s="410"/>
      <c r="AY334" s="410"/>
      <c r="AZ334" s="410"/>
    </row>
    <row r="335" spans="15:52" ht="12.75" hidden="1" customHeight="1">
      <c r="Q335" s="413">
        <f>Sheet1!$T$8</f>
        <v>44105</v>
      </c>
      <c r="R335" s="413">
        <f>Sheet1!$U$8</f>
        <v>44470</v>
      </c>
      <c r="S335" s="413">
        <f>Sheet1!$V$8</f>
        <v>44835</v>
      </c>
      <c r="T335" s="413">
        <f>Sheet1!$W$8</f>
        <v>45200</v>
      </c>
      <c r="U335" s="413">
        <f>Sheet1!$X$8</f>
        <v>45566</v>
      </c>
      <c r="V335" s="413">
        <f>Sheet1!$Y$8</f>
        <v>45931</v>
      </c>
      <c r="W335" s="413">
        <f>Sheet1!$Z$8</f>
        <v>46296</v>
      </c>
      <c r="X335" s="413">
        <f>Sheet1!$AA$8</f>
        <v>46661</v>
      </c>
      <c r="Y335" s="413">
        <f>Sheet1!$AB$8</f>
        <v>47027</v>
      </c>
      <c r="Z335" s="413">
        <f>Sheet1!$AC$8</f>
        <v>47392</v>
      </c>
      <c r="AA335" s="413">
        <f>$AA$5</f>
        <v>47757</v>
      </c>
      <c r="AB335" s="413">
        <f>$AB$5</f>
        <v>48122</v>
      </c>
      <c r="AC335" s="413">
        <f>$AC$5</f>
        <v>48488</v>
      </c>
      <c r="AD335" s="413">
        <f>$AD$5</f>
        <v>48853</v>
      </c>
      <c r="AE335" s="413">
        <f>$AE$5</f>
        <v>49218</v>
      </c>
      <c r="AF335" s="413">
        <f>$AF$5</f>
        <v>49583</v>
      </c>
      <c r="AG335" s="413">
        <f>$AG$5</f>
        <v>49949</v>
      </c>
      <c r="AH335" s="219"/>
      <c r="AI335" s="413">
        <f t="shared" ref="AI335:AR337" si="160">+Q335</f>
        <v>44105</v>
      </c>
      <c r="AJ335" s="413">
        <f t="shared" si="160"/>
        <v>44470</v>
      </c>
      <c r="AK335" s="413">
        <f t="shared" si="160"/>
        <v>44835</v>
      </c>
      <c r="AL335" s="413">
        <f t="shared" si="160"/>
        <v>45200</v>
      </c>
      <c r="AM335" s="413">
        <f t="shared" si="160"/>
        <v>45566</v>
      </c>
      <c r="AN335" s="413">
        <f t="shared" si="160"/>
        <v>45931</v>
      </c>
      <c r="AO335" s="413">
        <f t="shared" si="160"/>
        <v>46296</v>
      </c>
      <c r="AP335" s="413">
        <f t="shared" si="160"/>
        <v>46661</v>
      </c>
      <c r="AQ335" s="413">
        <f t="shared" si="160"/>
        <v>47027</v>
      </c>
      <c r="AR335" s="413">
        <f t="shared" si="160"/>
        <v>47392</v>
      </c>
      <c r="AS335" s="413">
        <f t="shared" ref="AS335:AY337" si="161">+AA335</f>
        <v>47757</v>
      </c>
      <c r="AT335" s="413">
        <f t="shared" si="161"/>
        <v>48122</v>
      </c>
      <c r="AU335" s="413">
        <f t="shared" si="161"/>
        <v>48488</v>
      </c>
      <c r="AV335" s="413">
        <f t="shared" si="161"/>
        <v>48853</v>
      </c>
      <c r="AW335" s="413">
        <f t="shared" si="161"/>
        <v>49218</v>
      </c>
      <c r="AX335" s="413">
        <f t="shared" si="161"/>
        <v>49583</v>
      </c>
      <c r="AY335" s="413">
        <f t="shared" si="161"/>
        <v>49949</v>
      </c>
      <c r="AZ335" s="413"/>
    </row>
    <row r="336" spans="15:52" ht="12.75" hidden="1" customHeight="1">
      <c r="Q336" s="413">
        <f>Sheet1!$T$9</f>
        <v>44469</v>
      </c>
      <c r="R336" s="413">
        <f>Sheet1!$U$9</f>
        <v>44834</v>
      </c>
      <c r="S336" s="413">
        <f>Sheet1!$V$9</f>
        <v>45199</v>
      </c>
      <c r="T336" s="413">
        <f>Sheet1!$W$9</f>
        <v>45565</v>
      </c>
      <c r="U336" s="413">
        <f>Sheet1!$X$9</f>
        <v>45930</v>
      </c>
      <c r="V336" s="413">
        <f>Sheet1!$Y$9</f>
        <v>46295</v>
      </c>
      <c r="W336" s="413">
        <f>Sheet1!$Z$9</f>
        <v>46660</v>
      </c>
      <c r="X336" s="413">
        <f>Sheet1!$AA$9</f>
        <v>47026</v>
      </c>
      <c r="Y336" s="413">
        <f>Sheet1!$AB$9</f>
        <v>47391</v>
      </c>
      <c r="Z336" s="413">
        <f>Sheet1!$AC$9</f>
        <v>47756</v>
      </c>
      <c r="AA336" s="413">
        <f>$AA$6</f>
        <v>48121</v>
      </c>
      <c r="AB336" s="413">
        <f>$AB$6</f>
        <v>48487</v>
      </c>
      <c r="AC336" s="413">
        <f>$AC$6</f>
        <v>48852</v>
      </c>
      <c r="AD336" s="413">
        <f>$AD$6</f>
        <v>49217</v>
      </c>
      <c r="AE336" s="413">
        <f>$AE$6</f>
        <v>49582</v>
      </c>
      <c r="AF336" s="413">
        <f>$AF$6</f>
        <v>49948</v>
      </c>
      <c r="AG336" s="413">
        <f>$AG$6</f>
        <v>50313</v>
      </c>
      <c r="AH336" s="219"/>
      <c r="AI336" s="413">
        <f t="shared" si="160"/>
        <v>44469</v>
      </c>
      <c r="AJ336" s="413">
        <f t="shared" si="160"/>
        <v>44834</v>
      </c>
      <c r="AK336" s="413">
        <f t="shared" si="160"/>
        <v>45199</v>
      </c>
      <c r="AL336" s="413">
        <f t="shared" si="160"/>
        <v>45565</v>
      </c>
      <c r="AM336" s="413">
        <f t="shared" si="160"/>
        <v>45930</v>
      </c>
      <c r="AN336" s="413">
        <f t="shared" si="160"/>
        <v>46295</v>
      </c>
      <c r="AO336" s="413">
        <f t="shared" si="160"/>
        <v>46660</v>
      </c>
      <c r="AP336" s="413">
        <f t="shared" si="160"/>
        <v>47026</v>
      </c>
      <c r="AQ336" s="413">
        <f t="shared" si="160"/>
        <v>47391</v>
      </c>
      <c r="AR336" s="413">
        <f t="shared" si="160"/>
        <v>47756</v>
      </c>
      <c r="AS336" s="413">
        <f t="shared" si="161"/>
        <v>48121</v>
      </c>
      <c r="AT336" s="413">
        <f t="shared" si="161"/>
        <v>48487</v>
      </c>
      <c r="AU336" s="413">
        <f t="shared" si="161"/>
        <v>48852</v>
      </c>
      <c r="AV336" s="413">
        <f t="shared" si="161"/>
        <v>49217</v>
      </c>
      <c r="AW336" s="413">
        <f t="shared" si="161"/>
        <v>49582</v>
      </c>
      <c r="AX336" s="413">
        <f t="shared" si="161"/>
        <v>49948</v>
      </c>
      <c r="AY336" s="413">
        <f t="shared" si="161"/>
        <v>50313</v>
      </c>
      <c r="AZ336" s="413"/>
    </row>
    <row r="337" spans="15:52" ht="12.75" hidden="1" customHeight="1">
      <c r="O337" s="207" t="s">
        <v>243</v>
      </c>
      <c r="Q337" s="424">
        <f>IF(IF(Q336&lt;$G$27,0,DATEDIF($G$27,Q336+1,"m"))&lt;0,0,IF(Q336&lt;$G$27,0,DATEDIF($G$27,Q336+1,"m")))</f>
        <v>0</v>
      </c>
      <c r="R337" s="424">
        <f>IF(IF(Q337=12,0,IF(R336&gt;$G$28,12-DATEDIF($G$28,R336+1,"m"),IF(R336&lt;$G$27,0,DATEDIF($G$27,R336+1,"m"))))&lt;0,0,IF(Q337=12,0,IF(R336&gt;$G$28,12-DATEDIF($G$28,R336+1,"m"),IF(R336&lt;$G$27,0,DATEDIF($G$27,R336+1,"m")))))</f>
        <v>0</v>
      </c>
      <c r="S337" s="424">
        <f>IF(IF(Q337+R337=12,0,IF(S336&gt;$G$28,12-DATEDIF($G$28,S336+1,"m"),IF(S336&lt;$G$27,0,DATEDIF($G$27,S336+1,"m"))))&lt;0,0,IF(Q337+R337=12,0,IF(S336&gt;$G$28,12-DATEDIF($G$28,S336+1,"m"),IF(S336&lt;$G$27,0,DATEDIF($G$27,S336+1,"m")))))</f>
        <v>0</v>
      </c>
      <c r="T337" s="424">
        <f>IF(IF(R337+S337+Q337=12,0,IF(T336&gt;$G$28,12-DATEDIF($G$28,T336+1,"m"),IF(T336&lt;$G$27,0,DATEDIF($G$27,T336+1,"m"))))&lt;0,0,IF(R337+S337+Q337=12,0,IF(T336&gt;$G$28,12-DATEDIF($G$28,T336+1,"m"),IF(T336&lt;$G$27,0,DATEDIF($G$27,T336+1,"m")))))</f>
        <v>0</v>
      </c>
      <c r="U337" s="424">
        <f>IF(IF(S337+T337+R337+Q337=12,0,IF(U336&gt;$G$28,12-DATEDIF($G$28,U336+1,"m"),IF(U336&lt;$G$27,0,DATEDIF($G$27,U336+1,"m"))))&lt;0,0,IF(S337+T337+R337+Q337=12,0,IF(U336&gt;$G$28,12-DATEDIF($G$28,U336+1,"m"),IF(U336&lt;$G$27,0,DATEDIF($G$27,U336+1,"m")))))</f>
        <v>0</v>
      </c>
      <c r="V337" s="424">
        <f>IF(IF(T337+U337+S337+R337+Q337=12,0,IF(V336&gt;$G$28,12-DATEDIF($G$28,V336+1,"m"),IF(V336&lt;$G$27,0,DATEDIF($G$27,V336+1,"m"))))&lt;0,0,IF(T337+U337+S337+R337+Q337=12,0,IF(V336&gt;$G$28,12-DATEDIF($G$28,V336+1,"m"),IF(V336&lt;$G$27,0,DATEDIF($G$27,V336+1,"m")))))</f>
        <v>0</v>
      </c>
      <c r="W337" s="424">
        <f>IF(IF(U337+V337+T337+S337+R337+Q337=12,0,IF(W336&gt;$G$28,12-DATEDIF($G$28,W336+1,"m"),IF(W336&lt;$G$27,0,DATEDIF($G$27,W336+1,"m"))))&lt;0,0,IF(U337+V337+T337+S337+R337+Q337=12,0,IF(W336&gt;$G$28,12-DATEDIF($G$28,W336+1,"m"),IF(W336&lt;$G$27,0,DATEDIF($G$27,W336+1,"m")))))</f>
        <v>0</v>
      </c>
      <c r="X337" s="424">
        <f>IF(IF(V337+W337+U337+T337+S337+R337+Q337=12,0,IF(X336&gt;$G$28,12-DATEDIF($G$28,X336+1,"m"),IF(X336&lt;$G$27,0,DATEDIF($G$27,X336+1,"m"))))&lt;0,0,IF(V337+W337+U337+T337+S337+R337+Q337=12,0,IF(X336&gt;$G$28,12-DATEDIF($G$28,X336+1,"m"),IF(X336&lt;$G$27,0,DATEDIF($G$27,X336+1,"m")))))</f>
        <v>0</v>
      </c>
      <c r="Y337" s="424">
        <f>IF(IF(W337+X337+V337+U337+T337+S337+R337+Q337=12,0,IF(Y336&gt;$G$28,12-DATEDIF($G$28,Y336+1,"m"),IF(Y336&lt;$G$27,0,DATEDIF($G$27,Y336+1,"m"))))&lt;0,0,IF(W337+X337+V337+U337+T337+S337+R337+Q337=12,0,IF(Y336&gt;$G$28,12-DATEDIF($G$28,Y336+1,"m"),IF(Y336&lt;$G$27,0,DATEDIF($G$27,Y336+1,"m")))))</f>
        <v>0</v>
      </c>
      <c r="Z337" s="424">
        <f>IF(IF(X337+Y337+W337+V337+U337+T337+S337+R337+Q337=12,0,IF(Z336&gt;$G$28,12-DATEDIF($G$28,Z336+1,"m"),IF(Z336&lt;$G$27,0,DATEDIF($G$27,Z336+1,"m"))))&lt;0,0,IF(X337+Y337+W337+V337+U337+T337+S337+R337+Q337=12,0,IF(Z336&gt;$G$28,12-DATEDIF($G$28,Z336+1,"m"),IF(Z336&lt;$G$27,0,DATEDIF($G$27,Z336+1,"m")))))</f>
        <v>0</v>
      </c>
      <c r="AA337" s="414">
        <f>IF(IF(Q337+R337+S337+Y337+Z337+X337+W337+V337+U337+T337=12,0,IF(AA336&gt;$G$28,12-DATEDIF($G$28,AA336+1,"m"),IF(AA336&lt;$G$27,0,DATEDIF($G$27,AA336+1,"m"))))&lt;0,0,IF(Q337+R337+S337+Y337+Z337+X337+W337+V337+U337+T337=12,0,IF(AA336&gt;$G$28,12-DATEDIF($G$28,AA336+1,"m"),IF(AA336&lt;$G$27,0,DATEDIF($G$27,AA336+1,"m")))))</f>
        <v>0</v>
      </c>
      <c r="AB337" s="414">
        <f>IF(IF(Q337+R337+S337+T337+Z337+AA337+Y337+X337+W337+V337+U337=12,0,IF(AB336&gt;$G$28,12-DATEDIF($G$28,AB336+1,"m"),IF(AB336&lt;$G$27,0,DATEDIF($G$27,AB336+1,"m"))))&lt;0,0,IF(Q337+R337+S337+T337+Z337+AA337+Y337+X337+W337+V337+U337=12,0,IF(AB336&gt;$G$28,12-DATEDIF($G$28,AB336+1,"m"),IF(AB336&lt;$G$27,0,DATEDIF($G$27,AB336+1,"m")))))</f>
        <v>0</v>
      </c>
      <c r="AC337" s="414">
        <f>IF(IF(Q337+R337+S337+T337+U337+AA337+AB337+Z337+Y337+X337+W337+V337=12,0,IF(AC336&gt;$G$28,12-DATEDIF($G$28,AC336+1,"m"),IF(AC336&lt;$G$27,0,DATEDIF($G$27,AC336+1,"m"))))&lt;0,0,IF(Q337+R337+S337+T337+U337+AA337+AB337+Z337+Y337+X337+W337+V337=12,0,IF(AC336&gt;$G$28,12-DATEDIF($G$28,AC336+1,"m"),IF(AC336&lt;$G$27,0,DATEDIF($G$27,AC336+1,"m")))))</f>
        <v>0</v>
      </c>
      <c r="AD337" s="414">
        <f>IF(IF(Q337+R337+S337+T337+U337+V337+AB337+AC337+AA337+Z337+Y337+X337+W337=12,0,IF(AD336&gt;$G$28,12-DATEDIF($G$28,AD336+1,"m"),IF(AD336&lt;$G$27,0,DATEDIF($G$27,AD336+1,"m"))))&lt;0,0,IF(Q337+R337+S337+T337+U337+V337+AB337+AC337+AA337+Z337+Y337+X337+W337=12,0,IF(AD336&gt;$G$28,12-DATEDIF($G$28,AD336+1,"m"),IF(AD336&lt;$G$27,0,DATEDIF($G$27,AD336+1,"m")))))</f>
        <v>0</v>
      </c>
      <c r="AE337" s="414"/>
      <c r="AF337" s="414"/>
      <c r="AG337" s="414"/>
      <c r="AH337" s="423">
        <f>SUM(Q337:AG337)</f>
        <v>0</v>
      </c>
      <c r="AI337" s="414">
        <f t="shared" si="160"/>
        <v>0</v>
      </c>
      <c r="AJ337" s="414">
        <f t="shared" si="160"/>
        <v>0</v>
      </c>
      <c r="AK337" s="414">
        <f t="shared" si="160"/>
        <v>0</v>
      </c>
      <c r="AL337" s="414">
        <f t="shared" si="160"/>
        <v>0</v>
      </c>
      <c r="AM337" s="414">
        <f t="shared" si="160"/>
        <v>0</v>
      </c>
      <c r="AN337" s="414">
        <f t="shared" si="160"/>
        <v>0</v>
      </c>
      <c r="AO337" s="414">
        <f t="shared" si="160"/>
        <v>0</v>
      </c>
      <c r="AP337" s="414">
        <f t="shared" si="160"/>
        <v>0</v>
      </c>
      <c r="AQ337" s="414">
        <f t="shared" si="160"/>
        <v>0</v>
      </c>
      <c r="AR337" s="414">
        <f t="shared" si="160"/>
        <v>0</v>
      </c>
      <c r="AS337" s="414">
        <f t="shared" si="161"/>
        <v>0</v>
      </c>
      <c r="AT337" s="414">
        <f t="shared" si="161"/>
        <v>0</v>
      </c>
      <c r="AU337" s="414">
        <f t="shared" si="161"/>
        <v>0</v>
      </c>
      <c r="AV337" s="414">
        <f t="shared" si="161"/>
        <v>0</v>
      </c>
      <c r="AW337" s="414">
        <f t="shared" si="161"/>
        <v>0</v>
      </c>
      <c r="AX337" s="414">
        <f t="shared" si="161"/>
        <v>0</v>
      </c>
      <c r="AY337" s="414">
        <f t="shared" si="161"/>
        <v>0</v>
      </c>
      <c r="AZ337" s="414">
        <f>SUM(AI337:AY337)</f>
        <v>0</v>
      </c>
    </row>
    <row r="338" spans="15:52" ht="12.75" hidden="1" customHeight="1">
      <c r="Q338" s="415">
        <f>IF(Q337=0,0,(IF(($B$118+$C$118+$D$118+$E$118+$F$118+$G$118)&lt;=25000,(($G$118/+$AH337)*Q337)*VLOOKUP('1. SUMMARY'!$C$20,rate,Sheet1!T$21,0),((IF(($F$118+$B$118+$C$118+$D$118+$E$118)&gt;=25000,0,(((25000-($B$118+$C$118+$D$118+$E$118+$F$118))/+$AH337)*Q337)*(VLOOKUP('1. SUMMARY'!$C$20,rate,Sheet1!T$21,0))))))))</f>
        <v>0</v>
      </c>
      <c r="R338" s="415">
        <f>IF(R337=0,0,(IF(($B$118+$C$118+$D$118+$E$118+$F$118+$G$118)&lt;=25000,(($G$118/+$AH337)*R337)*VLOOKUP('1. SUMMARY'!$C$20,rate,Sheet1!U$21,0),((IF(($F$118+$B$118+$C$118+$D$118+$E$118)&gt;=25000,0,(((25000-($B$118+$C$118+$D$118+$E$118+$F$118))/+$AH337)*R337)*(VLOOKUP('1. SUMMARY'!$C$20,rate,Sheet1!U$21,0))))))))</f>
        <v>0</v>
      </c>
      <c r="S338" s="415">
        <f>IF(S337=0,0,(IF(($B$118+$C$118+$D$118+$E$118+$F$118+$G$118)&lt;=25000,(($G$118/+$AH337)*S337)*VLOOKUP('1. SUMMARY'!$C$20,rate,Sheet1!V$21,0),((IF(($F$118+$B$118+$C$118+$D$118+$E$118)&gt;=25000,0,(((25000-($B$118+$C$118+$D$118+$E$118+$F$118))/+$AH337)*S337)*(VLOOKUP('1. SUMMARY'!$C$20,rate,Sheet1!V$21,0))))))))</f>
        <v>0</v>
      </c>
      <c r="T338" s="415">
        <f>IF(T337=0,0,(IF(($B$118+$C$118+$D$118+$E$118+$F$118+$G$118)&lt;=25000,(($G$118/+$AH337)*T337)*VLOOKUP('1. SUMMARY'!$C$20,rate,Sheet1!W$21,0),((IF(($F$118+$B$118+$C$118+$D$118+$E$118)&gt;=25000,0,(((25000-($B$118+$C$118+$D$118+$E$118+$F$118))/+$AH337)*T337)*(VLOOKUP('1. SUMMARY'!$C$20,rate,Sheet1!W$21,0))))))))</f>
        <v>0</v>
      </c>
      <c r="U338" s="415">
        <f>IF(U337=0,0,(IF(($B$118+$C$118+$D$118+$E$118+$F$118+$G$118)&lt;=25000,(($G$118/+$AH337)*U337)*VLOOKUP('1. SUMMARY'!$C$20,rate,Sheet1!X$21,0),((IF(($F$118+$B$118+$C$118+$D$118+$E$118)&gt;=25000,0,(((25000-($B$118+$C$118+$D$118+$E$118+$F$118))/+$AH337)*U337)*(VLOOKUP('1. SUMMARY'!$C$20,rate,Sheet1!X$21,0))))))))</f>
        <v>0</v>
      </c>
      <c r="V338" s="415">
        <f>IF(V337=0,0,(IF(($B$118+$C$118+$D$118+$E$118+$F$118+$G$118)&lt;=25000,(($G$118/+$AH337)*V337)*VLOOKUP('1. SUMMARY'!$C$20,rate,Sheet1!Y$21,0),((IF(($F$118+$B$118+$C$118+$D$118+$E$118)&gt;=25000,0,(((25000-($B$118+$C$118+$D$118+$E$118+$F$118))/+$AH337)*V337)*(VLOOKUP('1. SUMMARY'!$C$20,rate,Sheet1!Y$21,0))))))))</f>
        <v>0</v>
      </c>
      <c r="W338" s="415">
        <f>IF(W337=0,0,(IF(($B$118+$C$118+$D$118+$E$118+$F$118+$G$118)&lt;=25000,(($G$118/+$AH337)*W337)*VLOOKUP('1. SUMMARY'!$C$20,rate,Sheet1!Z$21,0),((IF(($F$118+$B$118+$C$118+$D$118+$E$118)&gt;=25000,0,(((25000-($B$118+$C$118+$D$118+$E$118+$F$118))/+$AH337)*W337)*(VLOOKUP('1. SUMMARY'!$C$20,rate,Sheet1!Z$21,0))))))))</f>
        <v>0</v>
      </c>
      <c r="X338" s="415">
        <f>IF(X337=0,0,(IF(($B$118+$C$118+$D$118+$E$118+$F$118+$G$118)&lt;=25000,(($G$118/+$AH337)*X337)*VLOOKUP('1. SUMMARY'!$C$20,rate,Sheet1!AA$21,0),((IF(($F$118+$B$118+$C$118+$D$118+$E$118)&gt;=25000,0,(((25000-($B$118+$C$118+$D$118+$E$118+$F$118))/+$AH337)*X337)*(VLOOKUP('1. SUMMARY'!$C$20,rate,Sheet1!AA$21,0))))))))</f>
        <v>0</v>
      </c>
      <c r="Y338" s="415">
        <f>IF(Y337=0,0,(IF(($B$118+$C$118+$D$118+$E$118+$F$118+$G$118)&lt;=25000,(($G$118/+$AH337)*Y337)*VLOOKUP('1. SUMMARY'!$C$20,rate,Sheet1!AB$21,0),((IF(($F$118+$B$118+$C$118+$D$118+$E$118)&gt;=25000,0,(((25000-($B$118+$C$118+$D$118+$E$118+$F$118))/+$AH337)*Y337)*(VLOOKUP('1. SUMMARY'!$C$20,rate,Sheet1!AB$21,0))))))))</f>
        <v>0</v>
      </c>
      <c r="Z338" s="415">
        <f>IF(Z337=0,0,(IF(($B$118+$C$118+$D$118+$E$118+$F$118+$G$118)&lt;=25000,(($G$118/+$AH337)*Z337)*VLOOKUP('1. SUMMARY'!$C$20,rate,Sheet1!AC$21,0),((IF(($F$118+$B$118+$C$118+$D$118+$E$118)&gt;=25000,0,(((25000-($B$118+$C$118+$D$118+$E$118+$F$118))/+$AH337)*Z337)*(VLOOKUP('1. SUMMARY'!$C$20,rate,Sheet1!AC$21,0))))))))</f>
        <v>0</v>
      </c>
      <c r="AA338" s="415">
        <f>IF(AA337=0,0,(IF(($B$118+$C$118+$D$118+$E$118+$F$118+$G$118)&lt;=25000,(($G$118/+$AH337)*AA337)*VLOOKUP('1. SUMMARY'!$C$20,rate,Sheet1!AD$21,0),((IF(($F$118+$B$118+$C$118+$D$118+$E$118)&gt;=25000,0,(((25000-($B$118+$C$118+$D$118+$E$118+$F$118))/+$AH337)*AA337)*(VLOOKUP('1. SUMMARY'!$C$20,rate,Sheet1!AD$21,0))))))))</f>
        <v>0</v>
      </c>
      <c r="AB338" s="415">
        <f>IF(AB337=0,0,(IF(($B$118+$C$118+$D$118+$E$118+$F$118+$G$118)&lt;=25000,(($G$118/+$AH337)*AB337)*VLOOKUP('1. SUMMARY'!$C$20,rate,Sheet1!AE$21,0),((IF(($F$118+$B$118+$C$118+$D$118+$E$118)&gt;=25000,0,(((25000-($B$118+$C$118+$D$118+$E$118+$F$118))/+$AH337)*AB337)*(VLOOKUP('1. SUMMARY'!$C$20,rate,Sheet1!AE$21,0))))))))</f>
        <v>0</v>
      </c>
      <c r="AC338" s="415">
        <f>IF(AC337=0,0,(IF(($B$118+$C$118+$D$118+$E$118+$F$118+$G$118)&lt;=25000,(($G$118/+$AH337)*AC337)*VLOOKUP('1. SUMMARY'!$C$20,rate,Sheet1!AF$21,0),((IF(($F$118+$B$118+$C$118+$D$118+$E$118)&gt;=25000,0,(((25000-($B$118+$C$118+$D$118+$E$118+$F$118))/+$AH337)*AC337)*(VLOOKUP('1. SUMMARY'!$C$20,rate,Sheet1!AF$21,0))))))))</f>
        <v>0</v>
      </c>
      <c r="AD338" s="415">
        <f>IF(AD337=0,0,(IF(($B$118+$C$118+$D$118+$E$118+$F$118+$G$118)&lt;=25000,(($G$118/+$AH337)*AD337)*VLOOKUP('1. SUMMARY'!$C$20,rate,Sheet1!AG$21,0),((IF(($F$118+$B$118+$C$118+$D$118+$E$118)&gt;=25000,0,(((25000-($B$118+$C$118+$D$118+$E$118+$F$118))/+$AH337)*AD337)*(VLOOKUP('1. SUMMARY'!$C$20,rate,Sheet1!AG$21,0))))))))</f>
        <v>0</v>
      </c>
      <c r="AE338" s="415">
        <f>IF(AE337=0,0,(IF(($B$118+$C$118+$D$118+$E$118+$F$118+$G$118)&lt;=25000,(($G$118/+$AH337)*AE337)*VLOOKUP('1. SUMMARY'!$C$20,rate,Sheet1!AH$21,0),((IF(($F$118+$B$118+$C$118+$D$118+$E$118)&gt;=25000,0,(((25000-($B$118+$C$118+$D$118+$E$118+$F$118))/+$AH337)*AE337)*(VLOOKUP('1. SUMMARY'!$C$20,rate,Sheet1!AH$21,0))))))))</f>
        <v>0</v>
      </c>
      <c r="AF338" s="415">
        <f>IF(AF337=0,0,(IF(($B$118+$C$118+$D$118+$E$118+$F$118+$G$118)&lt;=25000,(($G$118/+$AH337)*AF337)*VLOOKUP('1. SUMMARY'!$C$20,rate,Sheet1!AI$21,0),((IF(($F$118+$B$118+$C$118+$D$118+$E$118)&gt;=25000,0,(((25000-($B$118+$C$118+$D$118+$E$118+$F$118))/+$AH337)*AF337)*(VLOOKUP('1. SUMMARY'!$C$20,rate,Sheet1!AI$21,0))))))))</f>
        <v>0</v>
      </c>
      <c r="AG338" s="415">
        <f>IF(AG337=0,0,(IF(($B$118+$C$118+$D$118+$E$118+$F$118+$G$118)&lt;=25000,(($G$118/+$AH337)*AG337)*VLOOKUP('1. SUMMARY'!$C$20,rate,Sheet1!AJ$21,0),((IF(($F$118+$B$118+$C$118+$D$118+$E$118)&gt;=25000,0,(((25000-($B$118+$C$118+$D$118+$E$118+$F$118))/+$AH337)*AG337)*(VLOOKUP('1. SUMMARY'!$C$20,rate,Sheet1!AJ$21,0))))))))</f>
        <v>0</v>
      </c>
      <c r="AH338" s="219">
        <f>SUM(Q338:AG338)</f>
        <v>0</v>
      </c>
      <c r="AI338" s="415">
        <f>IF(AI337=0,0,((+$G118/$AZ337)*AI337)*VLOOKUP('1. SUMMARY'!$C$20,rate,Sheet1!T$21,0))</f>
        <v>0</v>
      </c>
      <c r="AJ338" s="415">
        <f>IF(AJ337=0,0,((+$G118/$AZ337)*AJ337)*VLOOKUP('1. SUMMARY'!$C$20,rate,Sheet1!U$21,0))</f>
        <v>0</v>
      </c>
      <c r="AK338" s="415">
        <f>IF(AK337=0,0,((+$G118/$AZ337)*AK337)*VLOOKUP('1. SUMMARY'!$C$20,rate,Sheet1!V$21,0))</f>
        <v>0</v>
      </c>
      <c r="AL338" s="415">
        <f>IF(AL337=0,0,((+$G118/$AZ337)*AL337)*VLOOKUP('1. SUMMARY'!$C$20,rate,Sheet1!W$21,0))</f>
        <v>0</v>
      </c>
      <c r="AM338" s="415">
        <f>IF(AM337=0,0,((+$G118/$AZ337)*AM337)*VLOOKUP('1. SUMMARY'!$C$20,rate,Sheet1!X$21,0))</f>
        <v>0</v>
      </c>
      <c r="AN338" s="415">
        <f>IF(AN337=0,0,((+$G118/$AZ337)*AN337)*VLOOKUP('1. SUMMARY'!$C$20,rate,Sheet1!Y$21,0))</f>
        <v>0</v>
      </c>
      <c r="AO338" s="415">
        <f>IF(AO337=0,0,((+$G118/$AZ337)*AO337)*VLOOKUP('1. SUMMARY'!$C$20,rate,Sheet1!Z$21,0))</f>
        <v>0</v>
      </c>
      <c r="AP338" s="415">
        <f>IF(AP337=0,0,((+$G118/$AZ337)*AP337)*VLOOKUP('1. SUMMARY'!$C$20,rate,Sheet1!AA$21,0))</f>
        <v>0</v>
      </c>
      <c r="AQ338" s="415">
        <f>IF(AQ337=0,0,((+$G118/$AZ337)*AQ337)*VLOOKUP('1. SUMMARY'!$C$20,rate,Sheet1!AB$21,0))</f>
        <v>0</v>
      </c>
      <c r="AR338" s="415">
        <f>IF(AR337=0,0,((+$G118/$AZ337)*AR337)*VLOOKUP('1. SUMMARY'!$C$20,rate,Sheet1!AC$21,0))</f>
        <v>0</v>
      </c>
      <c r="AS338" s="415">
        <f>IF(AS337=0,0,((+$G118/$AZ337)*AS337)*VLOOKUP('1. SUMMARY'!$C$20,rate,Sheet1!AD$21,0))</f>
        <v>0</v>
      </c>
      <c r="AT338" s="415">
        <f>IF(AT337=0,0,((+$G118/$AZ337)*AT337)*VLOOKUP('1. SUMMARY'!$C$20,rate,Sheet1!AE$21,0))</f>
        <v>0</v>
      </c>
      <c r="AU338" s="415">
        <f>IF(AU337=0,0,((+$G118/$AZ337)*AU337)*VLOOKUP('1. SUMMARY'!$C$20,rate,Sheet1!AF$21,0))</f>
        <v>0</v>
      </c>
      <c r="AV338" s="415">
        <f>IF(AV337=0,0,((+$G118/$AZ337)*AV337)*VLOOKUP('1. SUMMARY'!$C$20,rate,Sheet1!AG$21,0))</f>
        <v>0</v>
      </c>
      <c r="AW338" s="415">
        <f>IF(AW337=0,0,((+$G118/$AZ337)*AW337)*VLOOKUP('1. SUMMARY'!$C$20,rate,Sheet1!AH$21,0))</f>
        <v>0</v>
      </c>
      <c r="AX338" s="415">
        <f>IF(AX337=0,0,((+$G118/$AZ337)*AX337)*VLOOKUP('1. SUMMARY'!$C$20,rate,Sheet1!AI$21,0))</f>
        <v>0</v>
      </c>
      <c r="AY338" s="415">
        <f>IF(AY337=0,0,((+$G118/$AZ337)*AY337)*VLOOKUP('1. SUMMARY'!$C$20,rate,Sheet1!AJ$21,0))</f>
        <v>0</v>
      </c>
      <c r="AZ338" s="415">
        <f>SUM(AI338:AY338)</f>
        <v>0</v>
      </c>
    </row>
    <row r="339" spans="15:52" ht="12.75" hidden="1" customHeight="1">
      <c r="Q339" s="415">
        <f>+Q338/VLOOKUP('1. SUMMARY'!$C$20,rate,Sheet1!T$21,0)</f>
        <v>0</v>
      </c>
      <c r="R339" s="415">
        <f>+R338/VLOOKUP('1. SUMMARY'!$C$20,rate,Sheet1!U$21,0)</f>
        <v>0</v>
      </c>
      <c r="S339" s="415">
        <f>+S338/VLOOKUP('1. SUMMARY'!$C$20,rate,Sheet1!V$21,0)</f>
        <v>0</v>
      </c>
      <c r="T339" s="415">
        <f>+T338/VLOOKUP('1. SUMMARY'!$C$20,rate,Sheet1!W$21,0)</f>
        <v>0</v>
      </c>
      <c r="U339" s="415">
        <f>+U338/VLOOKUP('1. SUMMARY'!$C$20,rate,Sheet1!X$21,0)</f>
        <v>0</v>
      </c>
      <c r="V339" s="415">
        <f>+V338/VLOOKUP('1. SUMMARY'!$C$20,rate,Sheet1!Y$21,0)</f>
        <v>0</v>
      </c>
      <c r="W339" s="415">
        <f>+W338/VLOOKUP('1. SUMMARY'!$C$20,rate,Sheet1!Z$21,0)</f>
        <v>0</v>
      </c>
      <c r="X339" s="415">
        <f>+X338/VLOOKUP('1. SUMMARY'!$C$20,rate,Sheet1!AA$21,0)</f>
        <v>0</v>
      </c>
      <c r="Y339" s="415">
        <f>+Y338/VLOOKUP('1. SUMMARY'!$C$20,rate,Sheet1!AB$21,0)</f>
        <v>0</v>
      </c>
      <c r="Z339" s="415">
        <f>+Z338/VLOOKUP('1. SUMMARY'!$C$20,rate,Sheet1!AC$21,0)</f>
        <v>0</v>
      </c>
      <c r="AA339" s="415">
        <f>+AA338/VLOOKUP('1. SUMMARY'!$C$20,rate,Sheet1!AD$21,0)</f>
        <v>0</v>
      </c>
      <c r="AB339" s="415">
        <f>+AB338/VLOOKUP('1. SUMMARY'!$C$20,rate,Sheet1!AE$21,0)</f>
        <v>0</v>
      </c>
      <c r="AC339" s="415">
        <f>+AC338/VLOOKUP('1. SUMMARY'!$C$20,rate,Sheet1!AF$21,0)</f>
        <v>0</v>
      </c>
      <c r="AD339" s="415">
        <f>+AD338/VLOOKUP('1. SUMMARY'!$C$20,rate,Sheet1!AG$21,0)</f>
        <v>0</v>
      </c>
      <c r="AE339" s="415">
        <f>+AE338/VLOOKUP('1. SUMMARY'!$C$20,rate,Sheet1!AH$21,0)</f>
        <v>0</v>
      </c>
      <c r="AF339" s="415">
        <f>+AF338/VLOOKUP('1. SUMMARY'!$C$20,rate,Sheet1!AI$21,0)</f>
        <v>0</v>
      </c>
      <c r="AG339" s="415">
        <f>+AG338/VLOOKUP('1. SUMMARY'!$C$20,rate,Sheet1!AJ$21,0)</f>
        <v>0</v>
      </c>
      <c r="AH339" s="219"/>
      <c r="AI339" s="415"/>
      <c r="AJ339" s="415"/>
      <c r="AK339" s="415"/>
      <c r="AL339" s="415"/>
      <c r="AM339" s="415"/>
      <c r="AN339" s="415"/>
      <c r="AO339" s="415"/>
      <c r="AP339" s="415"/>
      <c r="AQ339" s="415"/>
      <c r="AR339" s="415"/>
      <c r="AS339" s="415"/>
      <c r="AT339" s="415"/>
      <c r="AU339" s="415"/>
      <c r="AV339" s="415"/>
      <c r="AW339" s="415"/>
      <c r="AX339" s="415"/>
      <c r="AY339" s="415"/>
      <c r="AZ339" s="415"/>
    </row>
    <row r="340" spans="15:52" ht="12.75" hidden="1" customHeight="1">
      <c r="Q340" s="411">
        <f>Sheet1!$T$8</f>
        <v>44105</v>
      </c>
      <c r="R340" s="411">
        <f>Sheet1!$U$8</f>
        <v>44470</v>
      </c>
      <c r="S340" s="411">
        <f>Sheet1!$V$8</f>
        <v>44835</v>
      </c>
      <c r="T340" s="411">
        <f>Sheet1!$W$8</f>
        <v>45200</v>
      </c>
      <c r="U340" s="411">
        <f>Sheet1!$X$8</f>
        <v>45566</v>
      </c>
      <c r="V340" s="411">
        <f>Sheet1!$Y$8</f>
        <v>45931</v>
      </c>
      <c r="W340" s="411">
        <f>Sheet1!$Z$8</f>
        <v>46296</v>
      </c>
      <c r="X340" s="411">
        <f>Sheet1!$AA$8</f>
        <v>46661</v>
      </c>
      <c r="Y340" s="411">
        <f>Sheet1!$AB$8</f>
        <v>47027</v>
      </c>
      <c r="Z340" s="411">
        <f>Sheet1!$AC$8</f>
        <v>47392</v>
      </c>
      <c r="AA340" s="411">
        <f>$AA$5</f>
        <v>47757</v>
      </c>
      <c r="AB340" s="411">
        <f>$AB$5</f>
        <v>48122</v>
      </c>
      <c r="AC340" s="411">
        <f>$AC$5</f>
        <v>48488</v>
      </c>
      <c r="AD340" s="411">
        <f>$AD$5</f>
        <v>48853</v>
      </c>
      <c r="AE340" s="411">
        <f>$AE$5</f>
        <v>49218</v>
      </c>
      <c r="AF340" s="411">
        <f>$AF$5</f>
        <v>49583</v>
      </c>
      <c r="AG340" s="411">
        <f>$AG$5</f>
        <v>49949</v>
      </c>
      <c r="AH340" s="219"/>
      <c r="AI340" s="411">
        <f t="shared" ref="AI340:AR342" si="162">+Q340</f>
        <v>44105</v>
      </c>
      <c r="AJ340" s="411">
        <f t="shared" si="162"/>
        <v>44470</v>
      </c>
      <c r="AK340" s="411">
        <f t="shared" si="162"/>
        <v>44835</v>
      </c>
      <c r="AL340" s="411">
        <f t="shared" si="162"/>
        <v>45200</v>
      </c>
      <c r="AM340" s="411">
        <f t="shared" si="162"/>
        <v>45566</v>
      </c>
      <c r="AN340" s="411">
        <f t="shared" si="162"/>
        <v>45931</v>
      </c>
      <c r="AO340" s="411">
        <f t="shared" si="162"/>
        <v>46296</v>
      </c>
      <c r="AP340" s="411">
        <f t="shared" si="162"/>
        <v>46661</v>
      </c>
      <c r="AQ340" s="411">
        <f t="shared" si="162"/>
        <v>47027</v>
      </c>
      <c r="AR340" s="411">
        <f t="shared" si="162"/>
        <v>47392</v>
      </c>
      <c r="AS340" s="411">
        <f t="shared" ref="AS340:AY342" si="163">+AA340</f>
        <v>47757</v>
      </c>
      <c r="AT340" s="411">
        <f t="shared" si="163"/>
        <v>48122</v>
      </c>
      <c r="AU340" s="411">
        <f t="shared" si="163"/>
        <v>48488</v>
      </c>
      <c r="AV340" s="411">
        <f t="shared" si="163"/>
        <v>48853</v>
      </c>
      <c r="AW340" s="411">
        <f t="shared" si="163"/>
        <v>49218</v>
      </c>
      <c r="AX340" s="411">
        <f t="shared" si="163"/>
        <v>49583</v>
      </c>
      <c r="AY340" s="411">
        <f t="shared" si="163"/>
        <v>49949</v>
      </c>
      <c r="AZ340" s="411"/>
    </row>
    <row r="341" spans="15:52" ht="12.75" hidden="1" customHeight="1">
      <c r="Q341" s="411">
        <f>Sheet1!$T$9</f>
        <v>44469</v>
      </c>
      <c r="R341" s="411">
        <f>Sheet1!$U$9</f>
        <v>44834</v>
      </c>
      <c r="S341" s="411">
        <f>Sheet1!$V$9</f>
        <v>45199</v>
      </c>
      <c r="T341" s="411">
        <f>Sheet1!$W$9</f>
        <v>45565</v>
      </c>
      <c r="U341" s="411">
        <f>Sheet1!$X$9</f>
        <v>45930</v>
      </c>
      <c r="V341" s="411">
        <f>Sheet1!$Y$9</f>
        <v>46295</v>
      </c>
      <c r="W341" s="411">
        <f>Sheet1!$Z$9</f>
        <v>46660</v>
      </c>
      <c r="X341" s="411">
        <f>Sheet1!$AA$9</f>
        <v>47026</v>
      </c>
      <c r="Y341" s="411">
        <f>Sheet1!$AB$9</f>
        <v>47391</v>
      </c>
      <c r="Z341" s="411">
        <f>Sheet1!$AC$9</f>
        <v>47756</v>
      </c>
      <c r="AA341" s="411">
        <f>$AA$6</f>
        <v>48121</v>
      </c>
      <c r="AB341" s="411">
        <f>$AB$6</f>
        <v>48487</v>
      </c>
      <c r="AC341" s="411">
        <f>$AC$6</f>
        <v>48852</v>
      </c>
      <c r="AD341" s="411">
        <f>$AD$6</f>
        <v>49217</v>
      </c>
      <c r="AE341" s="411">
        <f>$AE$6</f>
        <v>49582</v>
      </c>
      <c r="AF341" s="411">
        <f>$AF$6</f>
        <v>49948</v>
      </c>
      <c r="AG341" s="411">
        <f>$AG$6</f>
        <v>50313</v>
      </c>
      <c r="AH341" s="219"/>
      <c r="AI341" s="411">
        <f t="shared" si="162"/>
        <v>44469</v>
      </c>
      <c r="AJ341" s="411">
        <f t="shared" si="162"/>
        <v>44834</v>
      </c>
      <c r="AK341" s="411">
        <f t="shared" si="162"/>
        <v>45199</v>
      </c>
      <c r="AL341" s="411">
        <f t="shared" si="162"/>
        <v>45565</v>
      </c>
      <c r="AM341" s="411">
        <f t="shared" si="162"/>
        <v>45930</v>
      </c>
      <c r="AN341" s="411">
        <f t="shared" si="162"/>
        <v>46295</v>
      </c>
      <c r="AO341" s="411">
        <f t="shared" si="162"/>
        <v>46660</v>
      </c>
      <c r="AP341" s="411">
        <f t="shared" si="162"/>
        <v>47026</v>
      </c>
      <c r="AQ341" s="411">
        <f t="shared" si="162"/>
        <v>47391</v>
      </c>
      <c r="AR341" s="411">
        <f t="shared" si="162"/>
        <v>47756</v>
      </c>
      <c r="AS341" s="411">
        <f t="shared" si="163"/>
        <v>48121</v>
      </c>
      <c r="AT341" s="411">
        <f t="shared" si="163"/>
        <v>48487</v>
      </c>
      <c r="AU341" s="411">
        <f t="shared" si="163"/>
        <v>48852</v>
      </c>
      <c r="AV341" s="411">
        <f t="shared" si="163"/>
        <v>49217</v>
      </c>
      <c r="AW341" s="411">
        <f t="shared" si="163"/>
        <v>49582</v>
      </c>
      <c r="AX341" s="411">
        <f t="shared" si="163"/>
        <v>49948</v>
      </c>
      <c r="AY341" s="411">
        <f t="shared" si="163"/>
        <v>50313</v>
      </c>
      <c r="AZ341" s="411"/>
    </row>
    <row r="342" spans="15:52" ht="12.75" hidden="1" customHeight="1">
      <c r="O342" s="207" t="s">
        <v>244</v>
      </c>
      <c r="Q342" s="412">
        <f>IF(IF(Q341&lt;$H$27,0,DATEDIF($H$27,Q341+1,"m"))&lt;0,0,IF(Q341&lt;$H$27,0,DATEDIF($H$27,Q341+1,"m")))</f>
        <v>0</v>
      </c>
      <c r="R342" s="412">
        <f>IF(IF(Q342=12,0,IF(R341&gt;$H$28,12-DATEDIF($H$28,R341+1,"m"),IF(R341&lt;$H$27,0,DATEDIF($H$27,R341+1,"m"))))&lt;0,0,IF(Q342=12,0,IF(R341&gt;$H$28,12-DATEDIF($H$28,R341+1,"m"),IF(R341&lt;$H$27,0,DATEDIF($H$27,R341+1,"m")))))</f>
        <v>0</v>
      </c>
      <c r="S342" s="412">
        <f>IF(IF(Q342+R342=12,0,IF(S341&gt;$H$28,12-DATEDIF($H$28,S341+1,"m"),IF(S341&lt;$H$27,0,DATEDIF($H$27,S341+1,"m"))))&lt;0,0,IF(Q342+R342=12,0,IF(S341&gt;$H$28,12-DATEDIF($H$28,S341+1,"m"),IF(S341&lt;$H$27,0,DATEDIF($H$27,S341+1,"m")))))</f>
        <v>0</v>
      </c>
      <c r="T342" s="412">
        <f>IF(IF(R342+S342+Q342=12,0,IF(T341&gt;$H$28,12-DATEDIF($H$28,T341+1,"m"),IF(T341&lt;$H$27,0,DATEDIF($H$27,T341+1,"m"))))&lt;0,0,IF(R342+S342+Q342=12,0,IF(T341&gt;$H$28,12-DATEDIF($H$28,T341+1,"m"),IF(T341&lt;$H$27,0,DATEDIF($H$27,T341+1,"m")))))</f>
        <v>0</v>
      </c>
      <c r="U342" s="412">
        <f>IF(IF(S342+T342+R342+Q342=12,0,IF(U341&gt;$H$28,12-DATEDIF($H$28,U341+1,"m"),IF(U341&lt;$H$27,0,DATEDIF($H$27,U341+1,"m"))))&lt;0,0,IF(S342+T342+R342+Q342=12,0,IF(U341&gt;$H$28,12-DATEDIF($H$28,U341+1,"m"),IF(U341&lt;$H$27,0,DATEDIF($H$27,U341+1,"m")))))</f>
        <v>0</v>
      </c>
      <c r="V342" s="412">
        <f>IF(IF(T342+U342+S342+R342+Q342=12,0,IF(V341&gt;$H$28,12-DATEDIF($H$28,V341+1,"m"),IF(V341&lt;$H$27,0,DATEDIF($H$27,V341+1,"m"))))&lt;0,0,IF(T342+U342+S342+R342+Q342=12,0,IF(V341&gt;$H$28,12-DATEDIF($H$28,V341+1,"m"),IF(V341&lt;$H$27,0,DATEDIF($H$27,V341+1,"m")))))</f>
        <v>0</v>
      </c>
      <c r="W342" s="412">
        <f>IF(IF(U342+V342+T342+S342+R342+Q342=12,0,IF(W341&gt;$H$28,12-DATEDIF($H$28,W341+1,"m"),IF(W341&lt;$H$27,0,DATEDIF($H$27,W341+1,"m"))))&lt;0,0,IF(U342+V342+T342+S342+R342+Q342=12,0,IF(W341&gt;$H$28,12-DATEDIF($H$28,W341+1,"m"),IF(W341&lt;$H$27,0,DATEDIF($H$27,W341+1,"m")))))</f>
        <v>0</v>
      </c>
      <c r="X342" s="412">
        <f>IF(IF(V342+W342+U342+T342+S342+R342+Q342=12,0,IF(X341&gt;$H$28,12-DATEDIF($H$28,X341+1,"m"),IF(X341&lt;$H$27,0,DATEDIF($H$27,X341+1,"m"))))&lt;0,0,IF(V342+W342+U342+T342+S342+R342+Q342=12,0,IF(X341&gt;$H$28,12-DATEDIF($H$28,X341+1,"m"),IF(X341&lt;$H$27,0,DATEDIF($H$27,X341+1,"m")))))</f>
        <v>0</v>
      </c>
      <c r="Y342" s="412">
        <f>IF(IF(W342+X342+V342+U342+T342+S342+R342+Q342=12,0,IF(Y341&gt;$H$28,12-DATEDIF($H$28,Y341+1,"m"),IF(Y341&lt;$H$27,0,DATEDIF($H$27,Y341+1,"m"))))&lt;0,0,IF(W342+X342+V342+U342+T342+S342+R342+Q342=12,0,IF(Y341&gt;$H$28,12-DATEDIF($H$28,Y341+1,"m"),IF(Y341&lt;$H$27,0,DATEDIF($H$27,Y341+1,"m")))))</f>
        <v>0</v>
      </c>
      <c r="Z342" s="412">
        <f>IF(IF(X342+Y342+W342+V342+U342+T342+S342+R342+Q342=12,0,IF(Z341&gt;$H$28,12-DATEDIF($H$28,Z341+1,"m"),IF(Z341&lt;$H$27,0,DATEDIF($H$27,Z341+1,"m"))))&lt;0,0,IF(X342+Y342+W342+V342+U342+T342+S342+R342+Q342=12,0,IF(Z341&gt;$H$28,12-DATEDIF($H$28,Z341+1,"m"),IF(Z341&lt;$H$27,0,DATEDIF($H$27,Z341+1,"m")))))</f>
        <v>0</v>
      </c>
      <c r="AA342" s="412">
        <f>IF(IF(Q342+R342+S342+Y342+Z342+X342+W342+V342+U342+T342=12,0,IF(AA341&gt;$H$28,12-DATEDIF($H$28,AA341+1,"m"),IF(AA341&lt;$H$27,0,DATEDIF($H$27,AA341+1,"m"))))&lt;0,0,IF(Q342+R342+S342+Y342+Z342+X342+W342+V342+U342+T342=12,0,IF(AA341&gt;$H$28,12-DATEDIF($H$28,AA341+1,"m"),IF(AA341&lt;$H$27,0,DATEDIF($H$27,AA341+1,"m")))))</f>
        <v>0</v>
      </c>
      <c r="AB342" s="412">
        <f>IF(IF(Q342+R342+S342+T342+Z342+AA342+Y342+X342+W342+V342+U342=12,0,IF(AB341&gt;$H$28,12-DATEDIF($H$28,AB341+1,"m"),IF(AB341&lt;$H$27,0,DATEDIF($H$27,AB341+1,"m"))))&lt;0,0,IF(Q342+R342+S342+T342+Z342+AA342+Y342+X342+W342+V342+U342=12,0,IF(AB341&gt;$H$28,12-DATEDIF($H$28,AB341+1,"m"),IF(AB341&lt;$H$27,0,DATEDIF($H$27,AB341+1,"m")))))</f>
        <v>0</v>
      </c>
      <c r="AC342" s="412">
        <f>IF(IF(Q342+R342+S342+T342+U342+AA342+AB342+Z342+Y342+X342+W342+V342=12,0,IF(AC341&gt;$H$28,12-DATEDIF($H$28,AC341+1,"m"),IF(AC341&lt;$H$27,0,DATEDIF($H$27,AC341+1,"m"))))&lt;0,0,IF(Q342+R342+S342+T342+U342+AA342+AB342+Z342+Y342+X342+W342+V342=12,0,IF(AC341&gt;$H$28,12-DATEDIF($H$28,AC341+1,"m"),IF(AC341&lt;$H$27,0,DATEDIF($H$27,AC341+1,"m")))))</f>
        <v>0</v>
      </c>
      <c r="AD342" s="412">
        <f>IF(IF(Q342+R342+S342+T342+U342+V342+AB342+AC342+AA342+Z342+Y342+X342+W342=12,0,IF(AD341&gt;$H$28,12-DATEDIF($H$28,AD341+1,"m"),IF(AD341&lt;$H$27,0,DATEDIF($H$27,AD341+1,"m"))))&lt;0,0,IF(Q342+R342+S342+T342+U342+V342+AB342+AC342+AA342+Z342+Y342+X342+W342=12,0,IF(AD341&gt;$H$28,12-DATEDIF($H$28,AD341+1,"m"),IF(AD341&lt;$H$27,0,DATEDIF($H$27,AD341+1,"m")))))</f>
        <v>0</v>
      </c>
      <c r="AE342" s="412">
        <f>IF(IF(Q342+R342+S342+T342+U342+V342+W342+AC342+AD342+AB342+AA342+Z342+Y342+X342=12,0,IF(AE341&gt;$H$28,12-DATEDIF($H$28,AE341+1,"m"),IF(AE341&lt;$H$27,0,DATEDIF($H$27,AE341+1,"m"))))&lt;0,0,IF(Q342+R342+S342+T342+U342+V342+W342+AC342+AD342+AB342+AA342+Z342+Y342+X342=12,0,IF(AE341&gt;$H$28,12-DATEDIF($H$28,AE341+1,"m"),IF(AE341&lt;$H$27,0,DATEDIF($H$27,AE341+1,"m")))))</f>
        <v>0</v>
      </c>
      <c r="AF342" s="412">
        <f>IF(IF(Q342+R342+S342+T342+U342+V342+W342+X342+AD342+AE342+AC342+AB342+AA342+Z342+Y342=12,0,IF(AF341&gt;$H$28,12-DATEDIF($H$28,AF341+1,"m"),IF(AF341&lt;$H$27,0,DATEDIF($H$27,AF341+1,"m"))))&lt;0,0,IF(Q342+R342+S342+T342+U342+V342+W342+X342+AD342+AE342+AC342+AB342+AA342+Z342+Y342=12,0,IF(AF341&gt;$H$28,12-DATEDIF($H$28,AF341+1,"m"),IF(AF341&lt;$H$27,0,DATEDIF($H$27,AF341+1,"m")))))</f>
        <v>0</v>
      </c>
      <c r="AG342" s="412">
        <f>IF(IF(Q342+R342+S342+T342+U342+V342+W342+X342+Y342+AE342+AF342+AD342+AC342+AB342+AA342+Z342=12,0,IF(AG341&gt;$H$28,12-DATEDIF($H$28,AG341+1,"m"),IF(AG341&lt;$H$27,0,DATEDIF($H$27,AG341+1,"m"))))&lt;0,0,IF(Q342+R342+S342+T342+U342+V342+W342+X342+Y342+AE342+AF342+AD342+AC342+AB342+AA342+Z342=12,0,IF(AG341&gt;$H$28,12-DATEDIF($H$28,AG341+1,"m"),IF(AG341&lt;$H$27,0,DATEDIF($H$27,AG341+1,"m")))))</f>
        <v>0</v>
      </c>
      <c r="AH342" s="423">
        <f>SUM(Q342:AG342)</f>
        <v>0</v>
      </c>
      <c r="AI342" s="425">
        <f t="shared" si="162"/>
        <v>0</v>
      </c>
      <c r="AJ342" s="425">
        <f t="shared" si="162"/>
        <v>0</v>
      </c>
      <c r="AK342" s="425">
        <f t="shared" si="162"/>
        <v>0</v>
      </c>
      <c r="AL342" s="425">
        <f t="shared" si="162"/>
        <v>0</v>
      </c>
      <c r="AM342" s="425">
        <f t="shared" si="162"/>
        <v>0</v>
      </c>
      <c r="AN342" s="425">
        <f t="shared" si="162"/>
        <v>0</v>
      </c>
      <c r="AO342" s="425">
        <f t="shared" si="162"/>
        <v>0</v>
      </c>
      <c r="AP342" s="425">
        <f t="shared" si="162"/>
        <v>0</v>
      </c>
      <c r="AQ342" s="425">
        <f t="shared" si="162"/>
        <v>0</v>
      </c>
      <c r="AR342" s="425">
        <f t="shared" si="162"/>
        <v>0</v>
      </c>
      <c r="AS342" s="425">
        <f t="shared" si="163"/>
        <v>0</v>
      </c>
      <c r="AT342" s="425">
        <f t="shared" si="163"/>
        <v>0</v>
      </c>
      <c r="AU342" s="425">
        <f t="shared" si="163"/>
        <v>0</v>
      </c>
      <c r="AV342" s="425">
        <f t="shared" si="163"/>
        <v>0</v>
      </c>
      <c r="AW342" s="425">
        <f t="shared" si="163"/>
        <v>0</v>
      </c>
      <c r="AX342" s="425">
        <f t="shared" si="163"/>
        <v>0</v>
      </c>
      <c r="AY342" s="425">
        <f t="shared" si="163"/>
        <v>0</v>
      </c>
      <c r="AZ342" s="425">
        <f>SUM(AI342:AY342)</f>
        <v>0</v>
      </c>
    </row>
    <row r="343" spans="15:52" ht="12.75" hidden="1" customHeight="1">
      <c r="Q343" s="412">
        <f>IF(Q342=0,0,(IF(($B$118+$C$118+$D$118+$E$118+$F$118+$G$118+$H$118)&lt;=25000,(($H$118/+$AH342)*Q342)*VLOOKUP('1. SUMMARY'!$C$20,rate,Sheet1!T$21,0),((IF(($F$118+$B$118+$C$118+$D$118+$E$118+$G$118)&gt;=25000,0,(((25000-($B$118+$C$118+$D$118+$E$118+$F$118+$G$118))/+$AH342)*Q342)*(VLOOKUP('1. SUMMARY'!$C$20,rate,Sheet1!T$21,0))))))))</f>
        <v>0</v>
      </c>
      <c r="R343" s="412">
        <f>IF(R342=0,0,(IF(($B$118+$C$118+$D$118+$E$118+$F$118+$G$118+$H$118)&lt;=25000,(($H$118/+$AH342)*R342)*VLOOKUP('1. SUMMARY'!$C$20,rate,Sheet1!U$21,0),((IF(($F$118+$B$118+$C$118+$D$118+$E$118+$G$118)&gt;=25000,0,(((25000-($B$118+$C$118+$D$118+$E$118+$F$118+$G$118))/+$AH342)*R342)*(VLOOKUP('1. SUMMARY'!$C$20,rate,Sheet1!U$21,0))))))))</f>
        <v>0</v>
      </c>
      <c r="S343" s="412">
        <f>IF(S342=0,0,(IF(($B$118+$C$118+$D$118+$E$118+$F$118+$G$118+$H$118)&lt;=25000,(($H$118/+$AH342)*S342)*VLOOKUP('1. SUMMARY'!$C$20,rate,Sheet1!V$21,0),((IF(($F$118+$B$118+$C$118+$D$118+$E$118+$G$118)&gt;=25000,0,(((25000-($B$118+$C$118+$D$118+$E$118+$F$118+$G$118))/+$AH342)*S342)*(VLOOKUP('1. SUMMARY'!$C$20,rate,Sheet1!V$21,0))))))))</f>
        <v>0</v>
      </c>
      <c r="T343" s="412">
        <f>IF(T342=0,0,(IF(($B$118+$C$118+$D$118+$E$118+$F$118+$G$118+$H$118)&lt;=25000,(($H$118/+$AH342)*T342)*VLOOKUP('1. SUMMARY'!$C$20,rate,Sheet1!W$21,0),((IF(($F$118+$B$118+$C$118+$D$118+$E$118+$G$118)&gt;=25000,0,(((25000-($B$118+$C$118+$D$118+$E$118+$F$118+$G$118))/+$AH342)*T342)*(VLOOKUP('1. SUMMARY'!$C$20,rate,Sheet1!W$21,0))))))))</f>
        <v>0</v>
      </c>
      <c r="U343" s="412">
        <f>IF(U342=0,0,(IF(($B$118+$C$118+$D$118+$E$118+$F$118+$G$118+$H$118)&lt;=25000,(($H$118/+$AH342)*U342)*VLOOKUP('1. SUMMARY'!$C$20,rate,Sheet1!X$21,0),((IF(($F$118+$B$118+$C$118+$D$118+$E$118+$G$118)&gt;=25000,0,(((25000-($B$118+$C$118+$D$118+$E$118+$F$118+$G$118))/+$AH342)*U342)*(VLOOKUP('1. SUMMARY'!$C$20,rate,Sheet1!X$21,0))))))))</f>
        <v>0</v>
      </c>
      <c r="V343" s="412">
        <f>IF(V342=0,0,(IF(($B$118+$C$118+$D$118+$E$118+$F$118+$G$118+$H$118)&lt;=25000,(($H$118/+$AH342)*V342)*VLOOKUP('1. SUMMARY'!$C$20,rate,Sheet1!Y$21,0),((IF(($F$118+$B$118+$C$118+$D$118+$E$118+$G$118)&gt;=25000,0,(((25000-($B$118+$C$118+$D$118+$E$118+$F$118+$G$118))/+$AH342)*V342)*(VLOOKUP('1. SUMMARY'!$C$20,rate,Sheet1!Y$21,0))))))))</f>
        <v>0</v>
      </c>
      <c r="W343" s="412">
        <f>IF(W342=0,0,(IF(($B$118+$C$118+$D$118+$E$118+$F$118+$G$118+$H$118)&lt;=25000,(($H$118/+$AH342)*W342)*VLOOKUP('1. SUMMARY'!$C$20,rate,Sheet1!Z$21,0),((IF(($F$118+$B$118+$C$118+$D$118+$E$118+$G$118)&gt;=25000,0,(((25000-($B$118+$C$118+$D$118+$E$118+$F$118+$G$118))/+$AH342)*W342)*(VLOOKUP('1. SUMMARY'!$C$20,rate,Sheet1!Z$21,0))))))))</f>
        <v>0</v>
      </c>
      <c r="X343" s="412">
        <f>IF(X342=0,0,(IF(($B$118+$C$118+$D$118+$E$118+$F$118+$G$118+$H$118)&lt;=25000,(($H$118/+$AH342)*X342)*VLOOKUP('1. SUMMARY'!$C$20,rate,Sheet1!AA$21,0),((IF(($F$118+$B$118+$C$118+$D$118+$E$118+$G$118)&gt;=25000,0,(((25000-($B$118+$C$118+$D$118+$E$118+$F$118+$G$118))/+$AH342)*X342)*(VLOOKUP('1. SUMMARY'!$C$20,rate,Sheet1!AA$21,0))))))))</f>
        <v>0</v>
      </c>
      <c r="Y343" s="412">
        <f>IF(Y342=0,0,(IF(($B$118+$C$118+$D$118+$E$118+$F$118+$G$118+$H$118)&lt;=25000,(($H$118/+$AH342)*Y342)*VLOOKUP('1. SUMMARY'!$C$20,rate,Sheet1!AB$21,0),((IF(($F$118+$B$118+$C$118+$D$118+$E$118+$G$118)&gt;=25000,0,(((25000-($B$118+$C$118+$D$118+$E$118+$F$118+$G$118))/+$AH342)*Y342)*(VLOOKUP('1. SUMMARY'!$C$20,rate,Sheet1!AB$21,0))))))))</f>
        <v>0</v>
      </c>
      <c r="Z343" s="412">
        <f>IF(Z342=0,0,(IF(($B$118+$C$118+$D$118+$E$118+$F$118+$G$118+$H$118)&lt;=25000,(($H$118/+$AH342)*Z342)*VLOOKUP('1. SUMMARY'!$C$20,rate,Sheet1!AC$21,0),((IF(($F$118+$B$118+$C$118+$D$118+$E$118+$G$118)&gt;=25000,0,(((25000-($B$118+$C$118+$D$118+$E$118+$F$118+$G$118))/+$AH342)*Z342)*(VLOOKUP('1. SUMMARY'!$C$20,rate,Sheet1!AC$21,0))))))))</f>
        <v>0</v>
      </c>
      <c r="AA343" s="412">
        <f>IF(AA342=0,0,(IF(($B$118+$C$118+$D$118+$E$118+$F$118+$G$118+$H$118)&lt;=25000,(($H$118/+$AH342)*AA342)*VLOOKUP('1. SUMMARY'!$C$20,rate,Sheet1!AD$21,0),((IF(($F$118+$B$118+$C$118+$D$118+$E$118+$G$118)&gt;=25000,0,(((25000-($B$118+$C$118+$D$118+$E$118+$F$118+$G$118))/+$AH342)*AA342)*(VLOOKUP('1. SUMMARY'!$C$20,rate,Sheet1!AD$21,0))))))))</f>
        <v>0</v>
      </c>
      <c r="AB343" s="412">
        <f>IF(AB342=0,0,(IF(($B$118+$C$118+$D$118+$E$118+$F$118+$G$118+$H$118)&lt;=25000,(($H$118/+$AH342)*AB342)*VLOOKUP('1. SUMMARY'!$C$20,rate,Sheet1!AE$21,0),((IF(($F$118+$B$118+$C$118+$D$118+$E$118+$G$118)&gt;=25000,0,(((25000-($B$118+$C$118+$D$118+$E$118+$F$118+$G$118))/+$AH342)*AB342)*(VLOOKUP('1. SUMMARY'!$C$20,rate,Sheet1!AE$21,0))))))))</f>
        <v>0</v>
      </c>
      <c r="AC343" s="412">
        <f>IF(AC342=0,0,(IF(($B$118+$C$118+$D$118+$E$118+$F$118+$G$118+$H$118)&lt;=25000,(($H$118/+$AH342)*AC342)*VLOOKUP('1. SUMMARY'!$C$20,rate,Sheet1!AF$21,0),((IF(($F$118+$B$118+$C$118+$D$118+$E$118+$G$118)&gt;=25000,0,(((25000-($B$118+$C$118+$D$118+$E$118+$F$118+$G$118))/+$AH342)*AC342)*(VLOOKUP('1. SUMMARY'!$C$20,rate,Sheet1!AF$21,0))))))))</f>
        <v>0</v>
      </c>
      <c r="AD343" s="412">
        <f>IF(AD342=0,0,(IF(($B$118+$C$118+$D$118+$E$118+$F$118+$G$118+$H$118)&lt;=25000,(($H$118/+$AH342)*AD342)*VLOOKUP('1. SUMMARY'!$C$20,rate,Sheet1!AG$21,0),((IF(($F$118+$B$118+$C$118+$D$118+$E$118+$G$118)&gt;=25000,0,(((25000-($B$118+$C$118+$D$118+$E$118+$F$118+$G$118))/+$AH342)*AD342)*(VLOOKUP('1. SUMMARY'!$C$20,rate,Sheet1!AG$21,0))))))))</f>
        <v>0</v>
      </c>
      <c r="AE343" s="412">
        <f>IF(AE342=0,0,(IF(($B$118+$C$118+$D$118+$E$118+$F$118+$G$118+$H$118)&lt;=25000,(($H$118/+$AH342)*AE342)*VLOOKUP('1. SUMMARY'!$C$20,rate,Sheet1!AH$21,0),((IF(($F$118+$B$118+$C$118+$D$118+$E$118+$G$118)&gt;=25000,0,(((25000-($B$118+$C$118+$D$118+$E$118+$F$118+$G$118))/+$AH342)*AE342)*(VLOOKUP('1. SUMMARY'!$C$20,rate,Sheet1!AH$21,0))))))))</f>
        <v>0</v>
      </c>
      <c r="AF343" s="412">
        <f>IF(AF342=0,0,(IF(($B$118+$C$118+$D$118+$E$118+$F$118+$G$118+$H$118)&lt;=25000,(($H$118/+$AH342)*AF342)*VLOOKUP('1. SUMMARY'!$C$20,rate,Sheet1!AI$21,0),((IF(($F$118+$B$118+$C$118+$D$118+$E$118+$G$118)&gt;=25000,0,(((25000-($B$118+$C$118+$D$118+$E$118+$F$118+$G$118))/+$AH342)*AF342)*(VLOOKUP('1. SUMMARY'!$C$20,rate,Sheet1!AI$21,0))))))))</f>
        <v>0</v>
      </c>
      <c r="AG343" s="412">
        <f>IF(AG342=0,0,(IF(($B$118+$C$118+$D$118+$E$118+$F$118+$G$118+$H$118)&lt;=25000,(($H$118/+$AH342)*AG342)*VLOOKUP('1. SUMMARY'!$C$20,rate,Sheet1!AJ$21,0),((IF(($F$118+$B$118+$C$118+$D$118+$E$118+$G$118)&gt;=25000,0,(((25000-($B$118+$C$118+$D$118+$E$118+$F$118+$G$118))/+$AH342)*AG342)*(VLOOKUP('1. SUMMARY'!$C$20,rate,Sheet1!AJ$21,0))))))))</f>
        <v>0</v>
      </c>
      <c r="AH343" s="219">
        <f>SUM(Q343:AG343)</f>
        <v>0</v>
      </c>
      <c r="AI343" s="412">
        <f>IF(AI342=0,0,((+$H118/$AZ342)*AI342)*VLOOKUP('1. SUMMARY'!$C$20,rate,Sheet1!T$21,0))</f>
        <v>0</v>
      </c>
      <c r="AJ343" s="412">
        <f>IF(AJ342=0,0,((+$H118/$AZ342)*AJ342)*VLOOKUP('1. SUMMARY'!$C$20,rate,Sheet1!U$21,0))</f>
        <v>0</v>
      </c>
      <c r="AK343" s="412">
        <f>IF(AK342=0,0,((+$H118/$AZ342)*AK342)*VLOOKUP('1. SUMMARY'!$C$20,rate,Sheet1!V$21,0))</f>
        <v>0</v>
      </c>
      <c r="AL343" s="412">
        <f>IF(AL342=0,0,((+$H118/$AZ342)*AL342)*VLOOKUP('1. SUMMARY'!$C$20,rate,Sheet1!W$21,0))</f>
        <v>0</v>
      </c>
      <c r="AM343" s="412">
        <f>IF(AM342=0,0,((+$H118/$AZ342)*AM342)*VLOOKUP('1. SUMMARY'!$C$20,rate,Sheet1!X$21,0))</f>
        <v>0</v>
      </c>
      <c r="AN343" s="412">
        <f>IF(AN342=0,0,((+$H118/$AZ342)*AN342)*VLOOKUP('1. SUMMARY'!$C$20,rate,Sheet1!Y$21,0))</f>
        <v>0</v>
      </c>
      <c r="AO343" s="412">
        <f>IF(AO342=0,0,((+$H118/$AZ342)*AO342)*VLOOKUP('1. SUMMARY'!$C$20,rate,Sheet1!Z$21,0))</f>
        <v>0</v>
      </c>
      <c r="AP343" s="412">
        <f>IF(AP342=0,0,((+$H118/$AZ342)*AP342)*VLOOKUP('1. SUMMARY'!$C$20,rate,Sheet1!AA$21,0))</f>
        <v>0</v>
      </c>
      <c r="AQ343" s="412">
        <f>IF(AQ342=0,0,((+$H118/$AZ342)*AQ342)*VLOOKUP('1. SUMMARY'!$C$20,rate,Sheet1!AB$21,0))</f>
        <v>0</v>
      </c>
      <c r="AR343" s="412">
        <f>IF(AR342=0,0,((+$H118/$AZ342)*AR342)*VLOOKUP('1. SUMMARY'!$C$20,rate,Sheet1!AC$21,0))</f>
        <v>0</v>
      </c>
      <c r="AS343" s="412">
        <f>IF(AS342=0,0,((+$H118/$AZ342)*AS342)*VLOOKUP('1. SUMMARY'!$C$20,rate,Sheet1!AD$21,0))</f>
        <v>0</v>
      </c>
      <c r="AT343" s="412">
        <f>IF(AT342=0,0,((+$H118/$AZ342)*AT342)*VLOOKUP('1. SUMMARY'!$C$20,rate,Sheet1!AE$21,0))</f>
        <v>0</v>
      </c>
      <c r="AU343" s="412">
        <f>IF(AU342=0,0,((+$H118/$AZ342)*AU342)*VLOOKUP('1. SUMMARY'!$C$20,rate,Sheet1!AF$21,0))</f>
        <v>0</v>
      </c>
      <c r="AV343" s="412">
        <f>IF(AV342=0,0,((+$H118/$AZ342)*AV342)*VLOOKUP('1. SUMMARY'!$C$20,rate,Sheet1!AG$21,0))</f>
        <v>0</v>
      </c>
      <c r="AW343" s="412">
        <f>IF(AW342=0,0,((+$H118/$AZ342)*AW342)*VLOOKUP('1. SUMMARY'!$C$20,rate,Sheet1!AH$21,0))</f>
        <v>0</v>
      </c>
      <c r="AX343" s="412">
        <f>IF(AX342=0,0,((+$H118/$AZ342)*AX342)*VLOOKUP('1. SUMMARY'!$C$20,rate,Sheet1!AI$21,0))</f>
        <v>0</v>
      </c>
      <c r="AY343" s="412">
        <f>IF(AY342=0,0,((+$H118/$AZ342)*AY342)*VLOOKUP('1. SUMMARY'!$C$20,rate,Sheet1!AJ$21,0))</f>
        <v>0</v>
      </c>
      <c r="AZ343" s="412">
        <f>SUM(AI343:AY343)</f>
        <v>0</v>
      </c>
    </row>
    <row r="344" spans="15:52" hidden="1">
      <c r="Q344" s="412">
        <f>+Q343/VLOOKUP('1. SUMMARY'!$C$20,rate,Sheet1!T$21,0)</f>
        <v>0</v>
      </c>
      <c r="R344" s="412">
        <f>+R343/VLOOKUP('1. SUMMARY'!$C$20,rate,Sheet1!U$21,0)</f>
        <v>0</v>
      </c>
      <c r="S344" s="412">
        <f>+S343/VLOOKUP('1. SUMMARY'!$C$20,rate,Sheet1!V$21,0)</f>
        <v>0</v>
      </c>
      <c r="T344" s="412">
        <f>+T343/VLOOKUP('1. SUMMARY'!$C$20,rate,Sheet1!W$21,0)</f>
        <v>0</v>
      </c>
      <c r="U344" s="412">
        <f>+U343/VLOOKUP('1. SUMMARY'!$C$20,rate,Sheet1!X$21,0)</f>
        <v>0</v>
      </c>
      <c r="V344" s="412">
        <f>+V343/VLOOKUP('1. SUMMARY'!$C$20,rate,Sheet1!Y$21,0)</f>
        <v>0</v>
      </c>
      <c r="W344" s="412">
        <f>+W343/VLOOKUP('1. SUMMARY'!$C$20,rate,Sheet1!Z$21,0)</f>
        <v>0</v>
      </c>
      <c r="X344" s="412">
        <f>+X343/VLOOKUP('1. SUMMARY'!$C$20,rate,Sheet1!AA$21,0)</f>
        <v>0</v>
      </c>
      <c r="Y344" s="412">
        <f>+Y343/VLOOKUP('1. SUMMARY'!$C$20,rate,Sheet1!AB$21,0)</f>
        <v>0</v>
      </c>
      <c r="Z344" s="412">
        <f>+Z343/VLOOKUP('1. SUMMARY'!$C$20,rate,Sheet1!AC$21,0)</f>
        <v>0</v>
      </c>
      <c r="AA344" s="412">
        <f>+AA343/VLOOKUP('1. SUMMARY'!$C$20,rate,Sheet1!AD$21,0)</f>
        <v>0</v>
      </c>
      <c r="AB344" s="412">
        <f>+AB343/VLOOKUP('1. SUMMARY'!$C$20,rate,Sheet1!AE$21,0)</f>
        <v>0</v>
      </c>
      <c r="AC344" s="412">
        <f>+AC343/VLOOKUP('1. SUMMARY'!$C$20,rate,Sheet1!AF$21,0)</f>
        <v>0</v>
      </c>
      <c r="AD344" s="412">
        <f>+AD343/VLOOKUP('1. SUMMARY'!$C$20,rate,Sheet1!AG$21,0)</f>
        <v>0</v>
      </c>
      <c r="AE344" s="412">
        <f>+AE343/VLOOKUP('1. SUMMARY'!$C$20,rate,Sheet1!AH$21,0)</f>
        <v>0</v>
      </c>
      <c r="AF344" s="412">
        <f>+AF343/VLOOKUP('1. SUMMARY'!$C$20,rate,Sheet1!AI$21,0)</f>
        <v>0</v>
      </c>
      <c r="AG344" s="412">
        <f>+AG343/VLOOKUP('1. SUMMARY'!$C$20,rate,Sheet1!AJ$21,0)</f>
        <v>0</v>
      </c>
      <c r="AH344" s="219"/>
      <c r="AI344" s="412"/>
      <c r="AJ344" s="412"/>
      <c r="AK344" s="412"/>
      <c r="AL344" s="412"/>
      <c r="AM344" s="412"/>
      <c r="AN344" s="412"/>
      <c r="AO344" s="412"/>
      <c r="AP344" s="412"/>
      <c r="AQ344" s="412"/>
      <c r="AR344" s="412"/>
      <c r="AS344" s="412"/>
      <c r="AT344" s="412"/>
      <c r="AU344" s="412"/>
      <c r="AV344" s="412"/>
      <c r="AW344" s="412"/>
      <c r="AX344" s="412"/>
      <c r="AY344" s="412"/>
      <c r="AZ344" s="412"/>
    </row>
    <row r="345" spans="15:52" hidden="1">
      <c r="Q345" s="418">
        <f>Sheet1!$T$8</f>
        <v>44105</v>
      </c>
      <c r="R345" s="418">
        <f>Sheet1!$U$8</f>
        <v>44470</v>
      </c>
      <c r="S345" s="418">
        <f>Sheet1!$V$8</f>
        <v>44835</v>
      </c>
      <c r="T345" s="418">
        <f>Sheet1!$W$8</f>
        <v>45200</v>
      </c>
      <c r="U345" s="418">
        <f>Sheet1!$X$8</f>
        <v>45566</v>
      </c>
      <c r="V345" s="418">
        <f>Sheet1!$Y$8</f>
        <v>45931</v>
      </c>
      <c r="W345" s="418">
        <f>Sheet1!$Z$8</f>
        <v>46296</v>
      </c>
      <c r="X345" s="418">
        <f>Sheet1!$AA$8</f>
        <v>46661</v>
      </c>
      <c r="Y345" s="418">
        <f>Sheet1!$AB$8</f>
        <v>47027</v>
      </c>
      <c r="Z345" s="418">
        <f>Sheet1!$AC$8</f>
        <v>47392</v>
      </c>
      <c r="AA345" s="418">
        <f>$AA$5</f>
        <v>47757</v>
      </c>
      <c r="AB345" s="418">
        <f>$AB$5</f>
        <v>48122</v>
      </c>
      <c r="AC345" s="418">
        <f>$AC$5</f>
        <v>48488</v>
      </c>
      <c r="AD345" s="418">
        <f>$AD$5</f>
        <v>48853</v>
      </c>
      <c r="AE345" s="418">
        <f>$AE$5</f>
        <v>49218</v>
      </c>
      <c r="AF345" s="418">
        <f>$AF$5</f>
        <v>49583</v>
      </c>
      <c r="AG345" s="418">
        <f>$AG$5</f>
        <v>49949</v>
      </c>
      <c r="AH345" s="219"/>
      <c r="AI345" s="418">
        <f t="shared" ref="AI345:AR347" si="164">+Q345</f>
        <v>44105</v>
      </c>
      <c r="AJ345" s="418">
        <f t="shared" si="164"/>
        <v>44470</v>
      </c>
      <c r="AK345" s="418">
        <f t="shared" si="164"/>
        <v>44835</v>
      </c>
      <c r="AL345" s="418">
        <f t="shared" si="164"/>
        <v>45200</v>
      </c>
      <c r="AM345" s="418">
        <f t="shared" si="164"/>
        <v>45566</v>
      </c>
      <c r="AN345" s="418">
        <f t="shared" si="164"/>
        <v>45931</v>
      </c>
      <c r="AO345" s="418">
        <f t="shared" si="164"/>
        <v>46296</v>
      </c>
      <c r="AP345" s="418">
        <f t="shared" si="164"/>
        <v>46661</v>
      </c>
      <c r="AQ345" s="418">
        <f t="shared" si="164"/>
        <v>47027</v>
      </c>
      <c r="AR345" s="418">
        <f t="shared" si="164"/>
        <v>47392</v>
      </c>
      <c r="AS345" s="418">
        <f t="shared" ref="AS345:AY347" si="165">+AA345</f>
        <v>47757</v>
      </c>
      <c r="AT345" s="418">
        <f t="shared" si="165"/>
        <v>48122</v>
      </c>
      <c r="AU345" s="418">
        <f t="shared" si="165"/>
        <v>48488</v>
      </c>
      <c r="AV345" s="418">
        <f t="shared" si="165"/>
        <v>48853</v>
      </c>
      <c r="AW345" s="418">
        <f t="shared" si="165"/>
        <v>49218</v>
      </c>
      <c r="AX345" s="418">
        <f t="shared" si="165"/>
        <v>49583</v>
      </c>
      <c r="AY345" s="418">
        <f t="shared" si="165"/>
        <v>49949</v>
      </c>
      <c r="AZ345" s="418"/>
    </row>
    <row r="346" spans="15:52" hidden="1">
      <c r="Q346" s="418">
        <f>Sheet1!$T$9</f>
        <v>44469</v>
      </c>
      <c r="R346" s="418">
        <f>Sheet1!$U$9</f>
        <v>44834</v>
      </c>
      <c r="S346" s="418">
        <f>Sheet1!$V$9</f>
        <v>45199</v>
      </c>
      <c r="T346" s="418">
        <f>Sheet1!$W$9</f>
        <v>45565</v>
      </c>
      <c r="U346" s="418">
        <f>Sheet1!$X$9</f>
        <v>45930</v>
      </c>
      <c r="V346" s="418">
        <f>Sheet1!$Y$9</f>
        <v>46295</v>
      </c>
      <c r="W346" s="418">
        <f>Sheet1!$Z$9</f>
        <v>46660</v>
      </c>
      <c r="X346" s="418">
        <f>Sheet1!$AA$9</f>
        <v>47026</v>
      </c>
      <c r="Y346" s="418">
        <f>Sheet1!$AB$9</f>
        <v>47391</v>
      </c>
      <c r="Z346" s="418">
        <f>Sheet1!$AC$9</f>
        <v>47756</v>
      </c>
      <c r="AA346" s="418">
        <f>$AA$6</f>
        <v>48121</v>
      </c>
      <c r="AB346" s="418">
        <f>$AB$6</f>
        <v>48487</v>
      </c>
      <c r="AC346" s="418">
        <f>$AC$6</f>
        <v>48852</v>
      </c>
      <c r="AD346" s="418">
        <f>$AD$6</f>
        <v>49217</v>
      </c>
      <c r="AE346" s="418">
        <f>$AE$6</f>
        <v>49582</v>
      </c>
      <c r="AF346" s="418">
        <f>$AF$6</f>
        <v>49948</v>
      </c>
      <c r="AG346" s="418">
        <f>$AG$6</f>
        <v>50313</v>
      </c>
      <c r="AH346" s="219"/>
      <c r="AI346" s="418">
        <f t="shared" si="164"/>
        <v>44469</v>
      </c>
      <c r="AJ346" s="418">
        <f t="shared" si="164"/>
        <v>44834</v>
      </c>
      <c r="AK346" s="418">
        <f t="shared" si="164"/>
        <v>45199</v>
      </c>
      <c r="AL346" s="418">
        <f t="shared" si="164"/>
        <v>45565</v>
      </c>
      <c r="AM346" s="418">
        <f t="shared" si="164"/>
        <v>45930</v>
      </c>
      <c r="AN346" s="418">
        <f t="shared" si="164"/>
        <v>46295</v>
      </c>
      <c r="AO346" s="418">
        <f t="shared" si="164"/>
        <v>46660</v>
      </c>
      <c r="AP346" s="418">
        <f t="shared" si="164"/>
        <v>47026</v>
      </c>
      <c r="AQ346" s="418">
        <f t="shared" si="164"/>
        <v>47391</v>
      </c>
      <c r="AR346" s="418">
        <f t="shared" si="164"/>
        <v>47756</v>
      </c>
      <c r="AS346" s="418">
        <f t="shared" si="165"/>
        <v>48121</v>
      </c>
      <c r="AT346" s="418">
        <f t="shared" si="165"/>
        <v>48487</v>
      </c>
      <c r="AU346" s="418">
        <f t="shared" si="165"/>
        <v>48852</v>
      </c>
      <c r="AV346" s="418">
        <f t="shared" si="165"/>
        <v>49217</v>
      </c>
      <c r="AW346" s="418">
        <f t="shared" si="165"/>
        <v>49582</v>
      </c>
      <c r="AX346" s="418">
        <f t="shared" si="165"/>
        <v>49948</v>
      </c>
      <c r="AY346" s="418">
        <f t="shared" si="165"/>
        <v>50313</v>
      </c>
      <c r="AZ346" s="418"/>
    </row>
    <row r="347" spans="15:52" hidden="1">
      <c r="O347" s="207" t="s">
        <v>245</v>
      </c>
      <c r="Q347" s="419">
        <f>IF(IF(Q346&lt;$I$27,0,DATEDIF($I$27,Q346+1,"m"))&lt;0,0,IF(Q346&lt;$I$27,0,DATEDIF($I$27,Q346+1,"m")))</f>
        <v>0</v>
      </c>
      <c r="R347" s="419">
        <f>IF(IF(Q347=12,0,IF(R346&gt;$I$28,12-DATEDIF($I$28,R346+1,"m"),IF(R346&lt;$I$27,0,DATEDIF($I$27,R346+1,"m"))))&lt;0,0,IF(Q347=12,0,IF(R346&gt;$I$28,12-DATEDIF($I$28,R346+1,"m"),IF(R346&lt;$I$27,0,DATEDIF($I$27,R346+1,"m")))))</f>
        <v>0</v>
      </c>
      <c r="S347" s="419">
        <f>IF(IF(Q347+R347=12,0,IF(S346&gt;$I$28,12-DATEDIF($I$28,S346+1,"m"),IF(S346&lt;$I$27,0,DATEDIF($I$27,S346+1,"m"))))&lt;0,0,IF(Q347+R347=12,0,IF(S346&gt;$I$28,12-DATEDIF($I$28,S346+1,"m"),IF(S346&lt;$I$27,0,DATEDIF($I$27,S346+1,"m")))))</f>
        <v>0</v>
      </c>
      <c r="T347" s="419">
        <f>IF(IF(R347+S347+Q347=12,0,IF(T346&gt;$I$28,12-DATEDIF($I$28,T346+1,"m"),IF(T346&lt;$I$27,0,DATEDIF($I$27,T346+1,"m"))))&lt;0,0,IF(R347+S347+Q347=12,0,IF(T346&gt;$I$28,12-DATEDIF($I$28,T346+1,"m"),IF(T346&lt;$I$27,0,DATEDIF($I$27,T346+1,"m")))))</f>
        <v>0</v>
      </c>
      <c r="U347" s="419">
        <f>IF(IF(S347+T347+R347+Q347=12,0,IF(U346&gt;$I$28,12-DATEDIF($I$28,U346+1,"m"),IF(U346&lt;$I$27,0,DATEDIF($I$27,U346+1,"m"))))&lt;0,0,IF(S347+T347+R347+Q347=12,0,IF(U346&gt;$I$28,12-DATEDIF($I$28,U346+1,"m"),IF(U346&lt;$I$27,0,DATEDIF($I$27,U346+1,"m")))))</f>
        <v>0</v>
      </c>
      <c r="V347" s="419">
        <f>IF(IF(T347+U347+S347+R347+Q347=12,0,IF(V346&gt;$I$28,12-DATEDIF($I$28,V346+1,"m"),IF(V346&lt;$I$27,0,DATEDIF($I$27,V346+1,"m"))))&lt;0,0,IF(T347+U347+S347+R347+Q347=12,0,IF(V346&gt;$I$28,12-DATEDIF($I$28,V346+1,"m"),IF(V346&lt;$I$27,0,DATEDIF($I$27,V346+1,"m")))))</f>
        <v>0</v>
      </c>
      <c r="W347" s="419">
        <f>IF(IF(U347+V347+T347+S347+R347+Q347=12,0,IF(W346&gt;$I$28,12-DATEDIF($I$28,W346+1,"m"),IF(W346&lt;$I$27,0,DATEDIF($I$27,W346+1,"m"))))&lt;0,0,IF(U347+V347+T347+S347+R347+Q347=12,0,IF(W346&gt;$I$28,12-DATEDIF($I$28,W346+1,"m"),IF(W346&lt;$I$27,0,DATEDIF($I$27,W346+1,"m")))))</f>
        <v>0</v>
      </c>
      <c r="X347" s="419">
        <f>IF(IF(V347+W347+U347+T347+S347+R347+Q347=12,0,IF(X346&gt;$I$28,12-DATEDIF($I$28,X346+1,"m"),IF(X346&lt;$I$27,0,DATEDIF($I$27,X346+1,"m"))))&lt;0,0,IF(V347+W347+U347+T347+S347+R347+Q347=12,0,IF(X346&gt;$I$28,12-DATEDIF($I$28,X346+1,"m"),IF(X346&lt;$I$27,0,DATEDIF($I$27,X346+1,"m")))))</f>
        <v>0</v>
      </c>
      <c r="Y347" s="419">
        <f>IF(IF(W347+X347+V347+U347+T347+S347+R347+Q347=12,0,IF(Y346&gt;$I$28,12-DATEDIF($I$28,Y346+1,"m"),IF(Y346&lt;$I$27,0,DATEDIF($I$27,Y346+1,"m"))))&lt;0,0,IF(W347+X347+V347+U347+T347+S347+R347+Q347=12,0,IF(Y346&gt;$I$28,12-DATEDIF($I$28,Y346+1,"m"),IF(Y346&lt;$I$27,0,DATEDIF($I$27,Y346+1,"m")))))</f>
        <v>0</v>
      </c>
      <c r="Z347" s="419">
        <f>IF(IF(X347+Y347+W347+V347+U347+T347+S347+R347+Q347=12,0,IF(Z346&gt;$I$28,12-DATEDIF($I$28,Z346+1,"m"),IF(Z346&lt;$I$27,0,DATEDIF($I$27,Z346+1,"m"))))&lt;0,0,IF(X347+Y347+W347+V347+U347+T347+S347+R347+Q347=12,0,IF(Z346&gt;$I$28,12-DATEDIF($I$28,Z346+1,"m"),IF(Z346&lt;$I$27,0,DATEDIF($I$27,Z346+1,"m")))))</f>
        <v>0</v>
      </c>
      <c r="AA347" s="419">
        <f>IF(IF(Q347+R347+S347+Y347+Z347+X347+W347+V347+U347+T347=12,0,IF(AA346&gt;$I$28,12-DATEDIF($I$28,AA346+1,"m"),IF(AA346&lt;$I$27,0,DATEDIF($I$27,AA346+1,"m"))))&lt;0,0,IF(Q347+R347+S347+Y347+Z347+X347+W347+V347+U347+T347=12,0,IF(AA346&gt;$I$28,12-DATEDIF($I$28,AA346+1,"m"),IF(AA346&lt;$I$27,0,DATEDIF($I$27,AA346+1,"m")))))</f>
        <v>0</v>
      </c>
      <c r="AB347" s="419">
        <f>IF(IF(Q347+R347+S347+T347+Z347+AA347+Y347+X347+W347+V347+U347=12,0,IF(AB346&gt;$I$28,12-DATEDIF($I$28,AB346+1,"m"),IF(AB346&lt;$I$27,0,DATEDIF($I$27,AB346+1,"m"))))&lt;0,0,IF(Q347+R347+S347+T347+Z347+AA347+Y347+X347+W347+V347+U347=12,0,IF(AB346&gt;$I$28,12-DATEDIF($I$28,AB346+1,"m"),IF(AB346&lt;$I$27,0,DATEDIF($I$27,AB346+1,"m")))))</f>
        <v>0</v>
      </c>
      <c r="AC347" s="419">
        <f>IF(IF(Q347+R347+S347+T347+U347+AA347+AB347+Z347+Y347+X347+W347+V347=12,0,IF(AC346&gt;$I$28,12-DATEDIF($I$28,AC346+1,"m"),IF(AC346&lt;$I$27,0,DATEDIF($I$27,AC346+1,"m"))))&lt;0,0,IF(Q347+R347+S347+T347+U347+AA347+AB347+Z347+Y347+X347+W347+V347=12,0,IF(AC346&gt;$I$28,12-DATEDIF($I$28,AC346+1,"m"),IF(AC346&lt;$I$27,0,DATEDIF($I$27,AC346+1,"m")))))</f>
        <v>0</v>
      </c>
      <c r="AD347" s="419">
        <f>IF(IF(Q347+R347+S347+T347+U347+V347+AB347+AC347+AA347+Z347+Y347+X347+W347=12,0,IF(AD346&gt;$I$28,12-DATEDIF($I$28,AD346+1,"m"),IF(AD346&lt;$I$27,0,DATEDIF($I$27,AD346+1,"m"))))&lt;0,0,IF(Q347+R347+S347+T347+U347+V347+AB347+AC347+AA347+Z347+Y347+X347+W347=12,0,IF(AD346&gt;$I$28,12-DATEDIF($I$28,AD346+1,"m"),IF(AD346&lt;$I$27,0,DATEDIF($I$27,AD346+1,"m")))))</f>
        <v>0</v>
      </c>
      <c r="AE347" s="419">
        <f>IF(IF(Q347+R347+S347+T347+U347+V347+W347+AC347+AD347+AB347+AA347+Z347+Y347+X347=12,0,IF(AE346&gt;$I$28,12-DATEDIF($I$28,AE346+1,"m"),IF(AE346&lt;$I$27,0,DATEDIF($I$27,AE346+1,"m"))))&lt;0,0,IF(Q347+R347+S347+T347+U347+V347+W347+AC347+AD347+AB347+AA347+Z347+Y347+X347=12,0,IF(AE346&gt;$I$28,12-DATEDIF($I$28,AE346+1,"m"),IF(AE346&lt;$I$27,0,DATEDIF($I$27,AE346+1,"m")))))</f>
        <v>0</v>
      </c>
      <c r="AF347" s="419">
        <f>IF(IF(Q347+R347+S347+T347+U347+V347+W347+X347+AD347+AE347+AC347+AB347+AA347+Z347+Y347=12,0,IF(AF346&gt;$I$28,12-DATEDIF($I$28,AF346+1,"m"),IF(AF346&lt;$I$27,0,DATEDIF($I$27,AF346+1,"m"))))&lt;0,0,IF(Q347+R347+S347+T347+U347+V347+W347+X347+AD347+AE347+AC347+AB347+AA347+Z347+Y347=12,0,IF(AF346&gt;$I$28,12-DATEDIF($I$28,AF346+1,"m"),IF(AF346&lt;$I$27,0,DATEDIF($I$27,AF346+1,"m")))))</f>
        <v>0</v>
      </c>
      <c r="AG347" s="419">
        <f>IF(IF(Q347+R347+S347+T347+U347+V347+W347+X347+Y347+AE347+AF347+AD347+AC347+AB347+AA347+Z347=12,0,IF(AG346&gt;$I$28,12-DATEDIF($I$28,AG346+1,"m"),IF(AG346&lt;$I$27,0,DATEDIF($I$27,AG346+1,"m"))))&lt;0,0,IF(Q347+R347+S347+T347+U347+V347+W347+X347+Y347+AE347+AF347+AD347+AC347+AB347+AA347+Z347=12,0,IF(AG346&gt;$I$28,12-DATEDIF($I$28,AG346+1,"m"),IF(AG346&lt;$I$27,0,DATEDIF($I$27,AG346+1,"m")))))</f>
        <v>0</v>
      </c>
      <c r="AH347" s="423">
        <f>SUM(Q347:AG347)</f>
        <v>0</v>
      </c>
      <c r="AI347" s="426">
        <f t="shared" si="164"/>
        <v>0</v>
      </c>
      <c r="AJ347" s="426">
        <f t="shared" si="164"/>
        <v>0</v>
      </c>
      <c r="AK347" s="426">
        <f t="shared" si="164"/>
        <v>0</v>
      </c>
      <c r="AL347" s="426">
        <f t="shared" si="164"/>
        <v>0</v>
      </c>
      <c r="AM347" s="426">
        <f t="shared" si="164"/>
        <v>0</v>
      </c>
      <c r="AN347" s="426">
        <f t="shared" si="164"/>
        <v>0</v>
      </c>
      <c r="AO347" s="426">
        <f t="shared" si="164"/>
        <v>0</v>
      </c>
      <c r="AP347" s="426">
        <f t="shared" si="164"/>
        <v>0</v>
      </c>
      <c r="AQ347" s="426">
        <f t="shared" si="164"/>
        <v>0</v>
      </c>
      <c r="AR347" s="426">
        <f t="shared" si="164"/>
        <v>0</v>
      </c>
      <c r="AS347" s="426">
        <f t="shared" si="165"/>
        <v>0</v>
      </c>
      <c r="AT347" s="426">
        <f t="shared" si="165"/>
        <v>0</v>
      </c>
      <c r="AU347" s="426">
        <f t="shared" si="165"/>
        <v>0</v>
      </c>
      <c r="AV347" s="426">
        <f t="shared" si="165"/>
        <v>0</v>
      </c>
      <c r="AW347" s="426">
        <f t="shared" si="165"/>
        <v>0</v>
      </c>
      <c r="AX347" s="426">
        <f t="shared" si="165"/>
        <v>0</v>
      </c>
      <c r="AY347" s="426">
        <f t="shared" si="165"/>
        <v>0</v>
      </c>
      <c r="AZ347" s="426">
        <f>SUM(AI347:AY347)</f>
        <v>0</v>
      </c>
    </row>
    <row r="348" spans="15:52" hidden="1">
      <c r="Q348" s="419">
        <f>IF(Q347=0,0,(IF(($B$118+$C$118+$D$118+$E$118+$F$118+$G$118+$H$118+$I$118)&lt;=25000,(($I$118/+$AH347)*Q347)*VLOOKUP('1. SUMMARY'!$C$20,rate,Sheet1!T$21,0),((IF(($F$118+$B$118+$C$118+$D$118+$E$118+$G$118+$H$118)&gt;=25000,0,(((25000-($B$118+$C$118+$D$118+$E$118+$F$118+$G$118+$H$118))/+$AH347)*Q347)*(VLOOKUP('1. SUMMARY'!$C$20,rate,Sheet1!T$21,0))))))))</f>
        <v>0</v>
      </c>
      <c r="R348" s="419">
        <f>IF(R347=0,0,(IF(($B$118+$C$118+$D$118+$E$118+$F$118+$G$118+$H$118+$I$118)&lt;=25000,(($I$118/+$AH347)*R347)*VLOOKUP('1. SUMMARY'!$C$20,rate,Sheet1!U$21,0),((IF(($F$118+$B$118+$C$118+$D$118+$E$118+$G$118+$H$118)&gt;=25000,0,(((25000-($B$118+$C$118+$D$118+$E$118+$F$118+$G$118+$H$118))/+$AH347)*R347)*(VLOOKUP('1. SUMMARY'!$C$20,rate,Sheet1!U$21,0))))))))</f>
        <v>0</v>
      </c>
      <c r="S348" s="419">
        <f>IF(S347=0,0,(IF(($B$118+$C$118+$D$118+$E$118+$F$118+$G$118+$H$118+$I$118)&lt;=25000,(($I$118/+$AH347)*S347)*VLOOKUP('1. SUMMARY'!$C$20,rate,Sheet1!V$21,0),((IF(($F$118+$B$118+$C$118+$D$118+$E$118+$G$118+$H$118)&gt;=25000,0,(((25000-($B$118+$C$118+$D$118+$E$118+$F$118+$G$118+$H$118))/+$AH347)*S347)*(VLOOKUP('1. SUMMARY'!$C$20,rate,Sheet1!V$21,0))))))))</f>
        <v>0</v>
      </c>
      <c r="T348" s="419">
        <f>IF(T347=0,0,(IF(($B$118+$C$118+$D$118+$E$118+$F$118+$G$118+$H$118+$I$118)&lt;=25000,(($I$118/+$AH347)*T347)*VLOOKUP('1. SUMMARY'!$C$20,rate,Sheet1!W$21,0),((IF(($F$118+$B$118+$C$118+$D$118+$E$118+$G$118+$H$118)&gt;=25000,0,(((25000-($B$118+$C$118+$D$118+$E$118+$F$118+$G$118+$H$118))/+$AH347)*T347)*(VLOOKUP('1. SUMMARY'!$C$20,rate,Sheet1!W$21,0))))))))</f>
        <v>0</v>
      </c>
      <c r="U348" s="419">
        <f>IF(U347=0,0,(IF(($B$118+$C$118+$D$118+$E$118+$F$118+$G$118+$H$118+$I$118)&lt;=25000,(($I$118/+$AH347)*U347)*VLOOKUP('1. SUMMARY'!$C$20,rate,Sheet1!X$21,0),((IF(($F$118+$B$118+$C$118+$D$118+$E$118+$G$118+$H$118)&gt;=25000,0,(((25000-($B$118+$C$118+$D$118+$E$118+$F$118+$G$118+$H$118))/+$AH347)*U347)*(VLOOKUP('1. SUMMARY'!$C$20,rate,Sheet1!X$21,0))))))))</f>
        <v>0</v>
      </c>
      <c r="V348" s="419">
        <f>IF(V347=0,0,(IF(($B$118+$C$118+$D$118+$E$118+$F$118+$G$118+$H$118+$I$118)&lt;=25000,(($I$118/+$AH347)*V347)*VLOOKUP('1. SUMMARY'!$C$20,rate,Sheet1!Y$21,0),((IF(($F$118+$B$118+$C$118+$D$118+$E$118+$G$118+$H$118)&gt;=25000,0,(((25000-($B$118+$C$118+$D$118+$E$118+$F$118+$G$118+$H$118))/+$AH347)*V347)*(VLOOKUP('1. SUMMARY'!$C$20,rate,Sheet1!Y$21,0))))))))</f>
        <v>0</v>
      </c>
      <c r="W348" s="419">
        <f>IF(W347=0,0,(IF(($B$118+$C$118+$D$118+$E$118+$F$118+$G$118+$H$118+$I$118)&lt;=25000,(($I$118/+$AH347)*W347)*VLOOKUP('1. SUMMARY'!$C$20,rate,Sheet1!Z$21,0),((IF(($F$118+$B$118+$C$118+$D$118+$E$118+$G$118+$H$118)&gt;=25000,0,(((25000-($B$118+$C$118+$D$118+$E$118+$F$118+$G$118+$H$118))/+$AH347)*W347)*(VLOOKUP('1. SUMMARY'!$C$20,rate,Sheet1!Z$21,0))))))))</f>
        <v>0</v>
      </c>
      <c r="X348" s="419">
        <f>IF(X347=0,0,(IF(($B$118+$C$118+$D$118+$E$118+$F$118+$G$118+$H$118+$I$118)&lt;=25000,(($I$118/+$AH347)*X347)*VLOOKUP('1. SUMMARY'!$C$20,rate,Sheet1!AA$21,0),((IF(($F$118+$B$118+$C$118+$D$118+$E$118+$G$118+$H$118)&gt;=25000,0,(((25000-($B$118+$C$118+$D$118+$E$118+$F$118+$G$118+$H$118))/+$AH347)*X347)*(VLOOKUP('1. SUMMARY'!$C$20,rate,Sheet1!AA$21,0))))))))</f>
        <v>0</v>
      </c>
      <c r="Y348" s="419">
        <f>IF(Y347=0,0,(IF(($B$118+$C$118+$D$118+$E$118+$F$118+$G$118+$H$118+$I$118)&lt;=25000,(($I$118/+$AH347)*Y347)*VLOOKUP('1. SUMMARY'!$C$20,rate,Sheet1!AB$21,0),((IF(($F$118+$B$118+$C$118+$D$118+$E$118+$G$118+$H$118)&gt;=25000,0,(((25000-($B$118+$C$118+$D$118+$E$118+$F$118+$G$118+$H$118))/+$AH347)*Y347)*(VLOOKUP('1. SUMMARY'!$C$20,rate,Sheet1!AB$21,0))))))))</f>
        <v>0</v>
      </c>
      <c r="Z348" s="419">
        <f>IF(Z347=0,0,(IF(($B$118+$C$118+$D$118+$E$118+$F$118+$G$118+$H$118+$I$118)&lt;=25000,(($I$118/+$AH347)*Z347)*VLOOKUP('1. SUMMARY'!$C$20,rate,Sheet1!AC$21,0),((IF(($F$118+$B$118+$C$118+$D$118+$E$118+$G$118+$H$118)&gt;=25000,0,(((25000-($B$118+$C$118+$D$118+$E$118+$F$118+$G$118+$H$118))/+$AH347)*Z347)*(VLOOKUP('1. SUMMARY'!$C$20,rate,Sheet1!AC$21,0))))))))</f>
        <v>0</v>
      </c>
      <c r="AA348" s="419">
        <f>IF(AA347=0,0,(IF(($B$118+$C$118+$D$118+$E$118+$F$118+$G$118+$H$118+$I$118)&lt;=25000,(($I$118/+$AH347)*AA347)*VLOOKUP('1. SUMMARY'!$C$20,rate,Sheet1!AD$21,0),((IF(($F$118+$B$118+$C$118+$D$118+$E$118+$G$118+$H$118)&gt;=25000,0,(((25000-($B$118+$C$118+$D$118+$E$118+$F$118+$G$118+$H$118))/+$AH347)*AA347)*(VLOOKUP('1. SUMMARY'!$C$20,rate,Sheet1!AD$21,0))))))))</f>
        <v>0</v>
      </c>
      <c r="AB348" s="419">
        <f>IF(AB347=0,0,(IF(($B$118+$C$118+$D$118+$E$118+$F$118+$G$118+$H$118+$I$118)&lt;=25000,(($I$118/+$AH347)*AB347)*VLOOKUP('1. SUMMARY'!$C$20,rate,Sheet1!AE$21,0),((IF(($F$118+$B$118+$C$118+$D$118+$E$118+$G$118+$H$118)&gt;=25000,0,(((25000-($B$118+$C$118+$D$118+$E$118+$F$118+$G$118+$H$118))/+$AH347)*AB347)*(VLOOKUP('1. SUMMARY'!$C$20,rate,Sheet1!AE$21,0))))))))</f>
        <v>0</v>
      </c>
      <c r="AC348" s="419">
        <f>IF(AC347=0,0,(IF(($B$118+$C$118+$D$118+$E$118+$F$118+$G$118+$H$118+$I$118)&lt;=25000,(($I$118/+$AH347)*AC347)*VLOOKUP('1. SUMMARY'!$C$20,rate,Sheet1!AF$21,0),((IF(($F$118+$B$118+$C$118+$D$118+$E$118+$G$118+$H$118)&gt;=25000,0,(((25000-($B$118+$C$118+$D$118+$E$118+$F$118+$G$118+$H$118))/+$AH347)*AC347)*(VLOOKUP('1. SUMMARY'!$C$20,rate,Sheet1!AF$21,0))))))))</f>
        <v>0</v>
      </c>
      <c r="AD348" s="419">
        <f>IF(AD347=0,0,(IF(($B$118+$C$118+$D$118+$E$118+$F$118+$G$118+$H$118+$I$118)&lt;=25000,(($I$118/+$AH347)*AD347)*VLOOKUP('1. SUMMARY'!$C$20,rate,Sheet1!AG$21,0),((IF(($F$118+$B$118+$C$118+$D$118+$E$118+$G$118+$H$118)&gt;=25000,0,(((25000-($B$118+$C$118+$D$118+$E$118+$F$118+$G$118+$H$118))/+$AH347)*AD347)*(VLOOKUP('1. SUMMARY'!$C$20,rate,Sheet1!AG$21,0))))))))</f>
        <v>0</v>
      </c>
      <c r="AE348" s="419">
        <f>IF(AE347=0,0,(IF(($B$118+$C$118+$D$118+$E$118+$F$118+$G$118+$H$118+$I$118)&lt;=25000,(($I$118/+$AH347)*AE347)*VLOOKUP('1. SUMMARY'!$C$20,rate,Sheet1!AH$21,0),((IF(($F$118+$B$118+$C$118+$D$118+$E$118+$G$118+$H$118)&gt;=25000,0,(((25000-($B$118+$C$118+$D$118+$E$118+$F$118+$G$118+$H$118))/+$AH347)*AE347)*(VLOOKUP('1. SUMMARY'!$C$20,rate,Sheet1!AH$21,0))))))))</f>
        <v>0</v>
      </c>
      <c r="AF348" s="419">
        <f>IF(AF347=0,0,(IF(($B$118+$C$118+$D$118+$E$118+$F$118+$G$118+$H$118+$I$118)&lt;=25000,(($I$118/+$AH347)*AF347)*VLOOKUP('1. SUMMARY'!$C$20,rate,Sheet1!AI$21,0),((IF(($F$118+$B$118+$C$118+$D$118+$E$118+$G$118+$H$118)&gt;=25000,0,(((25000-($B$118+$C$118+$D$118+$E$118+$F$118+$G$118+$H$118))/+$AH347)*AF347)*(VLOOKUP('1. SUMMARY'!$C$20,rate,Sheet1!AI$21,0))))))))</f>
        <v>0</v>
      </c>
      <c r="AG348" s="419">
        <f>IF(AG347=0,0,(IF(($B$118+$C$118+$D$118+$E$118+$F$118+$G$118+$H$118+$I$118)&lt;=25000,(($I$118/+$AH347)*AG347)*VLOOKUP('1. SUMMARY'!$C$20,rate,Sheet1!AJ$21,0),((IF(($F$118+$B$118+$C$118+$D$118+$E$118+$G$118+$H$118)&gt;=25000,0,(((25000-($B$118+$C$118+$D$118+$E$118+$F$118+$G$118+$H$118))/+$AH347)*AG347)*(VLOOKUP('1. SUMMARY'!$C$20,rate,Sheet1!AJ$21,0))))))))</f>
        <v>0</v>
      </c>
      <c r="AH348" s="219">
        <f>SUM(Q348:AG348)</f>
        <v>0</v>
      </c>
      <c r="AI348" s="419">
        <f>IF(AI347=0,0,((+$I118/$AZ347)*AI347)*VLOOKUP('1. SUMMARY'!$C$20,rate,Sheet1!T$21,0))</f>
        <v>0</v>
      </c>
      <c r="AJ348" s="419">
        <f>IF(AJ347=0,0,((+$I118/$AZ347)*AJ347)*VLOOKUP('1. SUMMARY'!$C$20,rate,Sheet1!U$21,0))</f>
        <v>0</v>
      </c>
      <c r="AK348" s="419">
        <f>IF(AK347=0,0,((+$I118/$AZ347)*AK347)*VLOOKUP('1. SUMMARY'!$C$20,rate,Sheet1!V$21,0))</f>
        <v>0</v>
      </c>
      <c r="AL348" s="419">
        <f>IF(AL347=0,0,((+$I118/$AZ347)*AL347)*VLOOKUP('1. SUMMARY'!$C$20,rate,Sheet1!W$21,0))</f>
        <v>0</v>
      </c>
      <c r="AM348" s="419">
        <f>IF(AM347=0,0,((+$I118/$AZ347)*AM347)*VLOOKUP('1. SUMMARY'!$C$20,rate,Sheet1!X$21,0))</f>
        <v>0</v>
      </c>
      <c r="AN348" s="419">
        <f>IF(AN347=0,0,((+$I118/$AZ347)*AN347)*VLOOKUP('1. SUMMARY'!$C$20,rate,Sheet1!Y$21,0))</f>
        <v>0</v>
      </c>
      <c r="AO348" s="419">
        <f>IF(AO347=0,0,((+$I118/$AZ347)*AO347)*VLOOKUP('1. SUMMARY'!$C$20,rate,Sheet1!Z$21,0))</f>
        <v>0</v>
      </c>
      <c r="AP348" s="419">
        <f>IF(AP347=0,0,((+$I118/$AZ347)*AP347)*VLOOKUP('1. SUMMARY'!$C$20,rate,Sheet1!AA$21,0))</f>
        <v>0</v>
      </c>
      <c r="AQ348" s="419">
        <f>IF(AQ347=0,0,((+$I118/$AZ347)*AQ347)*VLOOKUP('1. SUMMARY'!$C$20,rate,Sheet1!AB$21,0))</f>
        <v>0</v>
      </c>
      <c r="AR348" s="419">
        <f>IF(AR347=0,0,((+$I118/$AZ347)*AR347)*VLOOKUP('1. SUMMARY'!$C$20,rate,Sheet1!AC$21,0))</f>
        <v>0</v>
      </c>
      <c r="AS348" s="419">
        <f>IF(AS347=0,0,((+$I118/$AZ347)*AS347)*VLOOKUP('1. SUMMARY'!$C$20,rate,Sheet1!AD$21,0))</f>
        <v>0</v>
      </c>
      <c r="AT348" s="419">
        <f>IF(AT347=0,0,((+$I118/$AZ347)*AT347)*VLOOKUP('1. SUMMARY'!$C$20,rate,Sheet1!AE$21,0))</f>
        <v>0</v>
      </c>
      <c r="AU348" s="419">
        <f>IF(AU347=0,0,((+$I118/$AZ347)*AU347)*VLOOKUP('1. SUMMARY'!$C$20,rate,Sheet1!AF$21,0))</f>
        <v>0</v>
      </c>
      <c r="AV348" s="419">
        <f>IF(AV347=0,0,((+$I118/$AZ347)*AV347)*VLOOKUP('1. SUMMARY'!$C$20,rate,Sheet1!AG$21,0))</f>
        <v>0</v>
      </c>
      <c r="AW348" s="419">
        <f>IF(AW347=0,0,((+$I118/$AZ347)*AW347)*VLOOKUP('1. SUMMARY'!$C$20,rate,Sheet1!AH$21,0))</f>
        <v>0</v>
      </c>
      <c r="AX348" s="419">
        <f>IF(AX347=0,0,((+$I118/$AZ347)*AX347)*VLOOKUP('1. SUMMARY'!$C$20,rate,Sheet1!AI$21,0))</f>
        <v>0</v>
      </c>
      <c r="AY348" s="419">
        <f>IF(AY347=0,0,((+$I118/$AZ347)*AY347)*VLOOKUP('1. SUMMARY'!$C$20,rate,Sheet1!AJ$21,0))</f>
        <v>0</v>
      </c>
      <c r="AZ348" s="419">
        <f>SUM(AI348:AY348)</f>
        <v>0</v>
      </c>
    </row>
    <row r="349" spans="15:52" hidden="1">
      <c r="Q349" s="419">
        <f>+Q348/VLOOKUP('1. SUMMARY'!$C$20,rate,Sheet1!T$21,0)</f>
        <v>0</v>
      </c>
      <c r="R349" s="419">
        <f>+R348/VLOOKUP('1. SUMMARY'!$C$20,rate,Sheet1!U$21,0)</f>
        <v>0</v>
      </c>
      <c r="S349" s="419">
        <f>+S348/VLOOKUP('1. SUMMARY'!$C$20,rate,Sheet1!V$21,0)</f>
        <v>0</v>
      </c>
      <c r="T349" s="419">
        <f>+T348/VLOOKUP('1. SUMMARY'!$C$20,rate,Sheet1!W$21,0)</f>
        <v>0</v>
      </c>
      <c r="U349" s="419">
        <f>+U348/VLOOKUP('1. SUMMARY'!$C$20,rate,Sheet1!X$21,0)</f>
        <v>0</v>
      </c>
      <c r="V349" s="419">
        <f>+V348/VLOOKUP('1. SUMMARY'!$C$20,rate,Sheet1!Y$21,0)</f>
        <v>0</v>
      </c>
      <c r="W349" s="419">
        <f>+W348/VLOOKUP('1. SUMMARY'!$C$20,rate,Sheet1!Z$21,0)</f>
        <v>0</v>
      </c>
      <c r="X349" s="419">
        <f>+X348/VLOOKUP('1. SUMMARY'!$C$20,rate,Sheet1!AA$21,0)</f>
        <v>0</v>
      </c>
      <c r="Y349" s="419">
        <f>+Y348/VLOOKUP('1. SUMMARY'!$C$20,rate,Sheet1!AB$21,0)</f>
        <v>0</v>
      </c>
      <c r="Z349" s="419">
        <f>+Z348/VLOOKUP('1. SUMMARY'!$C$20,rate,Sheet1!AC$21,0)</f>
        <v>0</v>
      </c>
      <c r="AA349" s="419">
        <f>+AA348/VLOOKUP('1. SUMMARY'!$C$20,rate,Sheet1!AD$21,0)</f>
        <v>0</v>
      </c>
      <c r="AB349" s="419">
        <f>+AB348/VLOOKUP('1. SUMMARY'!$C$20,rate,Sheet1!AE$21,0)</f>
        <v>0</v>
      </c>
      <c r="AC349" s="419">
        <f>+AC348/VLOOKUP('1. SUMMARY'!$C$20,rate,Sheet1!AF$21,0)</f>
        <v>0</v>
      </c>
      <c r="AD349" s="419">
        <f>+AD348/VLOOKUP('1. SUMMARY'!$C$20,rate,Sheet1!AG$21,0)</f>
        <v>0</v>
      </c>
      <c r="AE349" s="419">
        <f>+AE348/VLOOKUP('1. SUMMARY'!$C$20,rate,Sheet1!AH$21,0)</f>
        <v>0</v>
      </c>
      <c r="AF349" s="419">
        <f>+AF348/VLOOKUP('1. SUMMARY'!$C$20,rate,Sheet1!AI$21,0)</f>
        <v>0</v>
      </c>
      <c r="AG349" s="419">
        <f>+AG348/VLOOKUP('1. SUMMARY'!$C$20,rate,Sheet1!AJ$21,0)</f>
        <v>0</v>
      </c>
      <c r="AH349" s="219"/>
      <c r="AI349" s="419"/>
      <c r="AJ349" s="419"/>
      <c r="AK349" s="419"/>
      <c r="AL349" s="419"/>
      <c r="AM349" s="419"/>
      <c r="AN349" s="419"/>
      <c r="AO349" s="419"/>
      <c r="AP349" s="419"/>
      <c r="AQ349" s="419"/>
      <c r="AR349" s="419"/>
      <c r="AS349" s="419"/>
      <c r="AT349" s="419"/>
      <c r="AU349" s="419"/>
      <c r="AV349" s="419"/>
      <c r="AW349" s="419"/>
      <c r="AX349" s="419"/>
      <c r="AY349" s="419"/>
      <c r="AZ349" s="419"/>
    </row>
    <row r="350" spans="15:52" hidden="1">
      <c r="Q350" s="416">
        <f>Sheet1!$T$8</f>
        <v>44105</v>
      </c>
      <c r="R350" s="416">
        <f>Sheet1!$U$8</f>
        <v>44470</v>
      </c>
      <c r="S350" s="416">
        <f>Sheet1!$V$8</f>
        <v>44835</v>
      </c>
      <c r="T350" s="416">
        <f>Sheet1!$W$8</f>
        <v>45200</v>
      </c>
      <c r="U350" s="416">
        <f>Sheet1!$X$8</f>
        <v>45566</v>
      </c>
      <c r="V350" s="416">
        <f>Sheet1!$Y$8</f>
        <v>45931</v>
      </c>
      <c r="W350" s="416">
        <f>Sheet1!$Z$8</f>
        <v>46296</v>
      </c>
      <c r="X350" s="416">
        <f>Sheet1!$AA$8</f>
        <v>46661</v>
      </c>
      <c r="Y350" s="416">
        <f>Sheet1!$AB$8</f>
        <v>47027</v>
      </c>
      <c r="Z350" s="416">
        <f>Sheet1!$AC$8</f>
        <v>47392</v>
      </c>
      <c r="AA350" s="416">
        <f>$AA$5</f>
        <v>47757</v>
      </c>
      <c r="AB350" s="416">
        <f>$AB$5</f>
        <v>48122</v>
      </c>
      <c r="AC350" s="416">
        <f>$AC$5</f>
        <v>48488</v>
      </c>
      <c r="AD350" s="416">
        <f>$AD$5</f>
        <v>48853</v>
      </c>
      <c r="AE350" s="416">
        <f>$AE$5</f>
        <v>49218</v>
      </c>
      <c r="AF350" s="416">
        <f>$AF$5</f>
        <v>49583</v>
      </c>
      <c r="AG350" s="416">
        <f>$AG$5</f>
        <v>49949</v>
      </c>
      <c r="AH350" s="219"/>
      <c r="AI350" s="416">
        <f t="shared" ref="AI350:AR352" si="166">+Q350</f>
        <v>44105</v>
      </c>
      <c r="AJ350" s="416">
        <f t="shared" si="166"/>
        <v>44470</v>
      </c>
      <c r="AK350" s="416">
        <f t="shared" si="166"/>
        <v>44835</v>
      </c>
      <c r="AL350" s="416">
        <f t="shared" si="166"/>
        <v>45200</v>
      </c>
      <c r="AM350" s="416">
        <f t="shared" si="166"/>
        <v>45566</v>
      </c>
      <c r="AN350" s="416">
        <f t="shared" si="166"/>
        <v>45931</v>
      </c>
      <c r="AO350" s="416">
        <f t="shared" si="166"/>
        <v>46296</v>
      </c>
      <c r="AP350" s="416">
        <f t="shared" si="166"/>
        <v>46661</v>
      </c>
      <c r="AQ350" s="416">
        <f t="shared" si="166"/>
        <v>47027</v>
      </c>
      <c r="AR350" s="416">
        <f t="shared" si="166"/>
        <v>47392</v>
      </c>
      <c r="AS350" s="416">
        <f t="shared" ref="AS350:AY352" si="167">+AA350</f>
        <v>47757</v>
      </c>
      <c r="AT350" s="416">
        <f t="shared" si="167"/>
        <v>48122</v>
      </c>
      <c r="AU350" s="416">
        <f t="shared" si="167"/>
        <v>48488</v>
      </c>
      <c r="AV350" s="416">
        <f t="shared" si="167"/>
        <v>48853</v>
      </c>
      <c r="AW350" s="416">
        <f t="shared" si="167"/>
        <v>49218</v>
      </c>
      <c r="AX350" s="416">
        <f t="shared" si="167"/>
        <v>49583</v>
      </c>
      <c r="AY350" s="416">
        <f t="shared" si="167"/>
        <v>49949</v>
      </c>
      <c r="AZ350" s="416"/>
    </row>
    <row r="351" spans="15:52" hidden="1">
      <c r="Q351" s="416">
        <f>Sheet1!$T$9</f>
        <v>44469</v>
      </c>
      <c r="R351" s="416">
        <f>Sheet1!$U$9</f>
        <v>44834</v>
      </c>
      <c r="S351" s="416">
        <f>Sheet1!$V$9</f>
        <v>45199</v>
      </c>
      <c r="T351" s="416">
        <f>Sheet1!$W$9</f>
        <v>45565</v>
      </c>
      <c r="U351" s="416">
        <f>Sheet1!$X$9</f>
        <v>45930</v>
      </c>
      <c r="V351" s="416">
        <f>Sheet1!$Y$9</f>
        <v>46295</v>
      </c>
      <c r="W351" s="416">
        <f>Sheet1!$Z$9</f>
        <v>46660</v>
      </c>
      <c r="X351" s="416">
        <f>Sheet1!$AA$9</f>
        <v>47026</v>
      </c>
      <c r="Y351" s="416">
        <f>Sheet1!$AB$9</f>
        <v>47391</v>
      </c>
      <c r="Z351" s="416">
        <f>Sheet1!$AC$9</f>
        <v>47756</v>
      </c>
      <c r="AA351" s="416">
        <f>$AA$6</f>
        <v>48121</v>
      </c>
      <c r="AB351" s="416">
        <f>$AB$6</f>
        <v>48487</v>
      </c>
      <c r="AC351" s="416">
        <f>$AC$6</f>
        <v>48852</v>
      </c>
      <c r="AD351" s="416">
        <f>$AD$6</f>
        <v>49217</v>
      </c>
      <c r="AE351" s="416">
        <f>$AE$6</f>
        <v>49582</v>
      </c>
      <c r="AF351" s="416">
        <f>$AF$6</f>
        <v>49948</v>
      </c>
      <c r="AG351" s="416">
        <f>$AG$6</f>
        <v>50313</v>
      </c>
      <c r="AH351" s="219"/>
      <c r="AI351" s="416">
        <f t="shared" si="166"/>
        <v>44469</v>
      </c>
      <c r="AJ351" s="416">
        <f t="shared" si="166"/>
        <v>44834</v>
      </c>
      <c r="AK351" s="416">
        <f t="shared" si="166"/>
        <v>45199</v>
      </c>
      <c r="AL351" s="416">
        <f t="shared" si="166"/>
        <v>45565</v>
      </c>
      <c r="AM351" s="416">
        <f t="shared" si="166"/>
        <v>45930</v>
      </c>
      <c r="AN351" s="416">
        <f t="shared" si="166"/>
        <v>46295</v>
      </c>
      <c r="AO351" s="416">
        <f t="shared" si="166"/>
        <v>46660</v>
      </c>
      <c r="AP351" s="416">
        <f t="shared" si="166"/>
        <v>47026</v>
      </c>
      <c r="AQ351" s="416">
        <f t="shared" si="166"/>
        <v>47391</v>
      </c>
      <c r="AR351" s="416">
        <f t="shared" si="166"/>
        <v>47756</v>
      </c>
      <c r="AS351" s="416">
        <f t="shared" si="167"/>
        <v>48121</v>
      </c>
      <c r="AT351" s="416">
        <f t="shared" si="167"/>
        <v>48487</v>
      </c>
      <c r="AU351" s="416">
        <f t="shared" si="167"/>
        <v>48852</v>
      </c>
      <c r="AV351" s="416">
        <f t="shared" si="167"/>
        <v>49217</v>
      </c>
      <c r="AW351" s="416">
        <f t="shared" si="167"/>
        <v>49582</v>
      </c>
      <c r="AX351" s="416">
        <f t="shared" si="167"/>
        <v>49948</v>
      </c>
      <c r="AY351" s="416">
        <f t="shared" si="167"/>
        <v>50313</v>
      </c>
      <c r="AZ351" s="416"/>
    </row>
    <row r="352" spans="15:52" hidden="1">
      <c r="O352" s="207" t="s">
        <v>246</v>
      </c>
      <c r="Q352" s="417">
        <f>IF(IF(Q351&lt;$J$27,0,DATEDIF($J$27,Q351+1,"m"))&lt;0,0,IF(Q351&lt;$J$27,0,DATEDIF($J$27,Q351+1,"m")))</f>
        <v>0</v>
      </c>
      <c r="R352" s="417">
        <f>IF(IF(Q352=12,0,IF(R351&gt;$J$28,12-DATEDIF($J$28,R351+1,"m"),IF(R351&lt;$J$27,0,DATEDIF($J$27,R351+1,"m"))))&lt;0,0,IF(Q352=12,0,IF(R351&gt;$J$28,12-DATEDIF($J$28,R351+1,"m"),IF(R351&lt;$J$27,0,DATEDIF($J$27,R351+1,"m")))))</f>
        <v>0</v>
      </c>
      <c r="S352" s="417">
        <f>IF(IF(Q352+R352=12,0,IF(S351&gt;$J$28,12-DATEDIF($J$28,S351+1,"m"),IF(S351&lt;$J$27,0,DATEDIF($J$27,S351+1,"m"))))&lt;0,0,IF(Q352+R352=12,0,IF(S351&gt;$J$28,12-DATEDIF($J$28,S351+1,"m"),IF(S351&lt;$J$27,0,DATEDIF($J$27,S351+1,"m")))))</f>
        <v>0</v>
      </c>
      <c r="T352" s="417">
        <f>IF(IF(R352+S352+Q352=12,0,IF(T351&gt;$J$28,12-DATEDIF($J$28,T351+1,"m"),IF(T351&lt;$J$27,0,DATEDIF($J$27,T351+1,"m"))))&lt;0,0,IF(R352+S352+Q352=12,0,IF(T351&gt;$J$28,12-DATEDIF($J$28,T351+1,"m"),IF(T351&lt;$J$27,0,DATEDIF($J$27,T351+1,"m")))))</f>
        <v>0</v>
      </c>
      <c r="U352" s="417">
        <f>IF(IF(S352+T352+R352+Q352=12,0,IF(U351&gt;$J$28,12-DATEDIF($J$28,U351+1,"m"),IF(U351&lt;$J$27,0,DATEDIF($J$27,U351+1,"m"))))&lt;0,0,IF(S352+T352+R352+Q352=12,0,IF(U351&gt;$J$28,12-DATEDIF($J$28,U351+1,"m"),IF(U351&lt;$J$27,0,DATEDIF($J$27,U351+1,"m")))))</f>
        <v>0</v>
      </c>
      <c r="V352" s="417">
        <f>IF(IF(T352+U352+S352+R352+Q352=12,0,IF(V351&gt;$J$28,12-DATEDIF($J$28,V351+1,"m"),IF(V351&lt;$J$27,0,DATEDIF($J$27,V351+1,"m"))))&lt;0,0,IF(T352+U352+S352+R352+Q352=12,0,IF(V351&gt;$J$28,12-DATEDIF($J$28,V351+1,"m"),IF(V351&lt;$J$27,0,DATEDIF($J$27,V351+1,"m")))))</f>
        <v>0</v>
      </c>
      <c r="W352" s="417">
        <f>IF(IF(U352+V352+T352+S352+R352+Q352=12,0,IF(W351&gt;$J$28,12-DATEDIF($J$28,W351+1,"m"),IF(W351&lt;$J$27,0,DATEDIF($J$27,W351+1,"m"))))&lt;0,0,IF(U352+V352+T352+S352+R352+Q352=12,0,IF(W351&gt;$J$28,12-DATEDIF($J$28,W351+1,"m"),IF(W351&lt;$J$27,0,DATEDIF($J$27,W351+1,"m")))))</f>
        <v>0</v>
      </c>
      <c r="X352" s="417">
        <f>IF(IF(V352+W352+U352+T352+S352+R352+Q352=12,0,IF(X351&gt;$J$28,12-DATEDIF($J$28,X351+1,"m"),IF(X351&lt;$J$27,0,DATEDIF($J$27,X351+1,"m"))))&lt;0,0,IF(V352+W352+U352+T352+S352+R352+Q352=12,0,IF(X351&gt;$J$28,12-DATEDIF($J$28,X351+1,"m"),IF(X351&lt;$J$27,0,DATEDIF($J$27,X351+1,"m")))))</f>
        <v>0</v>
      </c>
      <c r="Y352" s="417">
        <f>IF(IF(W352+X352+V352+U352+T352+S352+R352+Q352=12,0,IF(Y351&gt;$J$28,12-DATEDIF($J$28,Y351+1,"m"),IF(Y351&lt;$J$27,0,DATEDIF($J$27,Y351+1,"m"))))&lt;0,0,IF(W352+X352+V352+U352+T352+S352+R352+Q352=12,0,IF(Y351&gt;$J$28,12-DATEDIF($J$28,Y351+1,"m"),IF(Y351&lt;$J$27,0,DATEDIF($J$27,Y351+1,"m")))))</f>
        <v>0</v>
      </c>
      <c r="Z352" s="417">
        <f>IF(IF(X352+Y352+W352+V352+U352+T352+S352+R352+Q352=12,0,IF(Z351&gt;$J$28,12-DATEDIF($J$28,Z351+1,"m"),IF(Z351&lt;$J$27,0,DATEDIF($J$27,Z351+1,"m"))))&lt;0,0,IF(X352+Y352+W352+V352+U352+T352+S352+R352+Q352=12,0,IF(Z351&gt;$J$28,12-DATEDIF($J$28,Z351+1,"m"),IF(Z351&lt;$J$27,0,DATEDIF($J$27,Z351+1,"m")))))</f>
        <v>0</v>
      </c>
      <c r="AA352" s="417">
        <f>IF(IF(Q352+R352+S352+Y352+Z352+X352+W352+V352+U352+T352=12,0,IF(AA351&gt;$J$28,12-DATEDIF($J$28,AA351+1,"m"),IF(AA351&lt;$J$27,0,DATEDIF($J$27,AA351+1,"m"))))&lt;0,0,IF(Q352+R352+S352+Y352+Z352+X352+W352+V352+U352+T352=12,0,IF(AA351&gt;$J$28,12-DATEDIF($J$28,AA351+1,"m"),IF(AA351&lt;$J$27,0,DATEDIF($J$27,AA351+1,"m")))))</f>
        <v>0</v>
      </c>
      <c r="AB352" s="417">
        <f>IF(IF(Q352+R352+S352+T352+Z352+AA352+Y352+X352+W352+V352+U352=12,0,IF(AB351&gt;$J$28,12-DATEDIF($J$28,AB351+1,"m"),IF(AB351&lt;$J$27,0,DATEDIF($J$27,AB351+1,"m"))))&lt;0,0,IF(Q352+R352+S352+T352+Z352+AA352+Y352+X352+W352+V352+U352=12,0,IF(AB351&gt;$J$28,12-DATEDIF($J$28,AB351+1,"m"),IF(AB351&lt;$J$27,0,DATEDIF($J$27,AB351+1,"m")))))</f>
        <v>0</v>
      </c>
      <c r="AC352" s="417">
        <f>IF(IF(Q352+R352+S352+T352+U352+AA352+AB352+Z352+Y352+X352+W352+V352=12,0,IF(AC351&gt;$J$28,12-DATEDIF($J$28,AC351+1,"m"),IF(AC351&lt;$J$27,0,DATEDIF($J$27,AC351+1,"m"))))&lt;0,0,IF(Q352+R352+S352+T352+U352+AA352+AB352+Z352+Y352+X352+W352+V352=12,0,IF(AC351&gt;$J$28,12-DATEDIF($J$28,AC351+1,"m"),IF(AC351&lt;$J$27,0,DATEDIF($J$27,AC351+1,"m")))))</f>
        <v>0</v>
      </c>
      <c r="AD352" s="417">
        <f>IF(IF(Q352+R352+S352+T352+U352+V352+AB352+AC352+AA352+Z352+Y352+X352+W352=12,0,IF(AD351&gt;$J$28,12-DATEDIF($J$28,AD351+1,"m"),IF(AD351&lt;$J$27,0,DATEDIF($J$27,AD351+1,"m"))))&lt;0,0,IF(Q352+R352+S352+T352+U352+V352+AB352+AC352+AA352+Z352+Y352+X352+W352=12,0,IF(AD351&gt;$J$28,12-DATEDIF($J$28,AD351+1,"m"),IF(AD351&lt;$J$27,0,DATEDIF($J$27,AD351+1,"m")))))</f>
        <v>0</v>
      </c>
      <c r="AE352" s="417">
        <f>IF(IF(Q352+R352+S352+T352+U352+V352+W352+AC352+AD352+AB352+AA352+Z352+Y352+X352=12,0,IF(AE351&gt;$J$28,12-DATEDIF($J$28,AE351+1,"m"),IF(AE351&lt;$J$27,0,DATEDIF($J$27,AE351+1,"m"))))&lt;0,0,IF(Q352+R352+S352+T352+U352+V352+W352+AC352+AD352+AB352+AA352+Z352+Y352+X352=12,0,IF(AE351&gt;$J$28,12-DATEDIF($J$28,AE351+1,"m"),IF(AE351&lt;$J$27,0,DATEDIF($J$27,AE351+1,"m")))))</f>
        <v>0</v>
      </c>
      <c r="AF352" s="417">
        <f>IF(IF(Q352+R352+S352+T352+U352+V352+W352+X352+AD352+AE352+AC352+AB352+AA352+Z352+Y352=12,0,IF(AF351&gt;$J$28,12-DATEDIF($J$28,AF351+1,"m"),IF(AF351&lt;$J$27,0,DATEDIF($J$27,AF351+1,"m"))))&lt;0,0,IF(Q352+R352+S352+T352+U352+V352+W352+X352+AD352+AE352+AC352+AB352+AA352+Z352+Y352=12,0,IF(AF351&gt;$J$28,12-DATEDIF($J$28,AF351+1,"m"),IF(AF351&lt;$J$27,0,DATEDIF($J$27,AF351+1,"m")))))</f>
        <v>0</v>
      </c>
      <c r="AG352" s="417">
        <f>IF(IF(Q352+R352+S352+T352+U352+V352+W352+X352+Y352+AE352+AF352+AD352+AC352+AB352+AA352+Z352=12,0,IF(AG351&gt;$J$28,12-DATEDIF($J$28,AG351+1,"m"),IF(AG351&lt;$J$27,0,DATEDIF($J$27,AG351+1,"m"))))&lt;0,0,IF(Q352+R352+S352+T352+U352+V352+W352+X352+Y352+AE352+AF352+AD352+AC352+AB352+AA352+Z352=12,0,IF(AG351&gt;$J$28,12-DATEDIF($J$28,AG351+1,"m"),IF(AG351&lt;$J$27,0,DATEDIF($J$27,AG351+1,"m")))))</f>
        <v>0</v>
      </c>
      <c r="AH352" s="423">
        <f>SUM(Q352:AG352)</f>
        <v>0</v>
      </c>
      <c r="AI352" s="427">
        <f t="shared" si="166"/>
        <v>0</v>
      </c>
      <c r="AJ352" s="427">
        <f t="shared" si="166"/>
        <v>0</v>
      </c>
      <c r="AK352" s="427">
        <f t="shared" si="166"/>
        <v>0</v>
      </c>
      <c r="AL352" s="427">
        <f t="shared" si="166"/>
        <v>0</v>
      </c>
      <c r="AM352" s="427">
        <f t="shared" si="166"/>
        <v>0</v>
      </c>
      <c r="AN352" s="427">
        <f t="shared" si="166"/>
        <v>0</v>
      </c>
      <c r="AO352" s="427">
        <f t="shared" si="166"/>
        <v>0</v>
      </c>
      <c r="AP352" s="427">
        <f t="shared" si="166"/>
        <v>0</v>
      </c>
      <c r="AQ352" s="427">
        <f t="shared" si="166"/>
        <v>0</v>
      </c>
      <c r="AR352" s="427">
        <f t="shared" si="166"/>
        <v>0</v>
      </c>
      <c r="AS352" s="427">
        <f t="shared" si="167"/>
        <v>0</v>
      </c>
      <c r="AT352" s="427">
        <f t="shared" si="167"/>
        <v>0</v>
      </c>
      <c r="AU352" s="427">
        <f t="shared" si="167"/>
        <v>0</v>
      </c>
      <c r="AV352" s="427">
        <f t="shared" si="167"/>
        <v>0</v>
      </c>
      <c r="AW352" s="427">
        <f t="shared" si="167"/>
        <v>0</v>
      </c>
      <c r="AX352" s="427">
        <f t="shared" si="167"/>
        <v>0</v>
      </c>
      <c r="AY352" s="427">
        <f t="shared" si="167"/>
        <v>0</v>
      </c>
      <c r="AZ352" s="427">
        <f>SUM(AI352:AY352)</f>
        <v>0</v>
      </c>
    </row>
    <row r="353" spans="15:52" hidden="1">
      <c r="Q353" s="417">
        <f>IF(Q352=0,0,(IF(($B$118+$C$118+$D$118+$E$118+$F$118+$G$118+$H$118+$I$118+$J$118)&lt;=25000,(($J$118/+$AH352)*Q352)*VLOOKUP('1. SUMMARY'!$C$20,rate,Sheet1!T$21,0),((IF(($F$118+$B$118+$C$118+$D$118+$E$118+$G$118+$H$118+$I$118)&gt;=25000,0,(((25000-($B$118+$C$118+$D$118+$E$118+$F$118+$G$118+$H$118+$I$118))/+$AH352)*Q352)*(VLOOKUP('1. SUMMARY'!$C$20,rate,Sheet1!T$21,0))))))))</f>
        <v>0</v>
      </c>
      <c r="R353" s="417">
        <f>IF(R352=0,0,(IF(($B$118+$C$118+$D$118+$E$118+$F$118+$G$118+$H$118+$I$118+$J$118)&lt;=25000,(($J$118/+$AH352)*R352)*VLOOKUP('1. SUMMARY'!$C$20,rate,Sheet1!U$21,0),((IF(($F$118+$B$118+$C$118+$D$118+$E$118+$G$118+$H$118+$I$118)&gt;=25000,0,(((25000-($B$118+$C$118+$D$118+$E$118+$F$118+$G$118+$H$118+$I$118))/+$AH352)*R352)*(VLOOKUP('1. SUMMARY'!$C$20,rate,Sheet1!U$21,0))))))))</f>
        <v>0</v>
      </c>
      <c r="S353" s="417">
        <f>IF(S352=0,0,(IF(($B$118+$C$118+$D$118+$E$118+$F$118+$G$118+$H$118+$I$118+$J$118)&lt;=25000,(($J$118/+$AH352)*S352)*VLOOKUP('1. SUMMARY'!$C$20,rate,Sheet1!V$21,0),((IF(($F$118+$B$118+$C$118+$D$118+$E$118+$G$118+$H$118+$I$118)&gt;=25000,0,(((25000-($B$118+$C$118+$D$118+$E$118+$F$118+$G$118+$H$118+$I$118))/+$AH352)*S352)*(VLOOKUP('1. SUMMARY'!$C$20,rate,Sheet1!V$21,0))))))))</f>
        <v>0</v>
      </c>
      <c r="T353" s="417">
        <f>IF(T352=0,0,(IF(($B$118+$C$118+$D$118+$E$118+$F$118+$G$118+$H$118+$I$118+$J$118)&lt;=25000,(($J$118/+$AH352)*T352)*VLOOKUP('1. SUMMARY'!$C$20,rate,Sheet1!W$21,0),((IF(($F$118+$B$118+$C$118+$D$118+$E$118+$G$118+$H$118+$I$118)&gt;=25000,0,(((25000-($B$118+$C$118+$D$118+$E$118+$F$118+$G$118+$H$118+$I$118))/+$AH352)*T352)*(VLOOKUP('1. SUMMARY'!$C$20,rate,Sheet1!W$21,0))))))))</f>
        <v>0</v>
      </c>
      <c r="U353" s="417">
        <f>IF(U352=0,0,(IF(($B$118+$C$118+$D$118+$E$118+$F$118+$G$118+$H$118+$I$118+$J$118)&lt;=25000,(($J$118/+$AH352)*U352)*VLOOKUP('1. SUMMARY'!$C$20,rate,Sheet1!X$21,0),((IF(($F$118+$B$118+$C$118+$D$118+$E$118+$G$118+$H$118+$I$118)&gt;=25000,0,(((25000-($B$118+$C$118+$D$118+$E$118+$F$118+$G$118+$H$118+$I$118))/+$AH352)*U352)*(VLOOKUP('1. SUMMARY'!$C$20,rate,Sheet1!X$21,0))))))))</f>
        <v>0</v>
      </c>
      <c r="V353" s="417">
        <f>IF(V352=0,0,(IF(($B$118+$C$118+$D$118+$E$118+$F$118+$G$118+$H$118+$I$118+$J$118)&lt;=25000,(($J$118/+$AH352)*V352)*VLOOKUP('1. SUMMARY'!$C$20,rate,Sheet1!Y$21,0),((IF(($F$118+$B$118+$C$118+$D$118+$E$118+$G$118+$H$118+$I$118)&gt;=25000,0,(((25000-($B$118+$C$118+$D$118+$E$118+$F$118+$G$118+$H$118+$I$118))/+$AH352)*V352)*(VLOOKUP('1. SUMMARY'!$C$20,rate,Sheet1!Y$21,0))))))))</f>
        <v>0</v>
      </c>
      <c r="W353" s="417">
        <f>IF(W352=0,0,(IF(($B$118+$C$118+$D$118+$E$118+$F$118+$G$118+$H$118+$I$118+$J$118)&lt;=25000,(($J$118/+$AH352)*W352)*VLOOKUP('1. SUMMARY'!$C$20,rate,Sheet1!Z$21,0),((IF(($F$118+$B$118+$C$118+$D$118+$E$118+$G$118+$H$118+$I$118)&gt;=25000,0,(((25000-($B$118+$C$118+$D$118+$E$118+$F$118+$G$118+$H$118+$I$118))/+$AH352)*W352)*(VLOOKUP('1. SUMMARY'!$C$20,rate,Sheet1!Z$21,0))))))))</f>
        <v>0</v>
      </c>
      <c r="X353" s="417">
        <f>IF(X352=0,0,(IF(($B$118+$C$118+$D$118+$E$118+$F$118+$G$118+$H$118+$I$118+$J$118)&lt;=25000,(($J$118/+$AH352)*X352)*VLOOKUP('1. SUMMARY'!$C$20,rate,Sheet1!AA$21,0),((IF(($F$118+$B$118+$C$118+$D$118+$E$118+$G$118+$H$118+$I$118)&gt;=25000,0,(((25000-($B$118+$C$118+$D$118+$E$118+$F$118+$G$118+$H$118+$I$118))/+$AH352)*X352)*(VLOOKUP('1. SUMMARY'!$C$20,rate,Sheet1!AA$21,0))))))))</f>
        <v>0</v>
      </c>
      <c r="Y353" s="417">
        <f>IF(Y352=0,0,(IF(($B$118+$C$118+$D$118+$E$118+$F$118+$G$118+$H$118+$I$118+$J$118)&lt;=25000,(($J$118/+$AH352)*Y352)*VLOOKUP('1. SUMMARY'!$C$20,rate,Sheet1!AB$21,0),((IF(($F$118+$B$118+$C$118+$D$118+$E$118+$G$118+$H$118+$I$118)&gt;=25000,0,(((25000-($B$118+$C$118+$D$118+$E$118+$F$118+$G$118+$H$118+$I$118))/+$AH352)*Y352)*(VLOOKUP('1. SUMMARY'!$C$20,rate,Sheet1!AB$21,0))))))))</f>
        <v>0</v>
      </c>
      <c r="Z353" s="417">
        <f>IF(Z352=0,0,(IF(($B$118+$C$118+$D$118+$E$118+$F$118+$G$118+$H$118+$I$118+$J$118)&lt;=25000,(($J$118/+$AH352)*Z352)*VLOOKUP('1. SUMMARY'!$C$20,rate,Sheet1!AC$21,0),((IF(($F$118+$B$118+$C$118+$D$118+$E$118+$G$118+$H$118+$I$118)&gt;=25000,0,(((25000-($B$118+$C$118+$D$118+$E$118+$F$118+$G$118+$H$118+$I$118))/+$AH352)*Z352)*(VLOOKUP('1. SUMMARY'!$C$20,rate,Sheet1!AC$21,0))))))))</f>
        <v>0</v>
      </c>
      <c r="AA353" s="417">
        <f>IF(AA352=0,0,(IF(($B$118+$C$118+$D$118+$E$118+$F$118+$G$118+$H$118+$I$118+$J$118)&lt;=25000,(($J$118/+$AH352)*AA352)*VLOOKUP('1. SUMMARY'!$C$20,rate,Sheet1!AD$21,0),((IF(($F$118+$B$118+$C$118+$D$118+$E$118+$G$118+$H$118+$I$118)&gt;=25000,0,(((25000-($B$118+$C$118+$D$118+$E$118+$F$118+$G$118+$H$118+$I$118))/+$AH352)*AA352)*(VLOOKUP('1. SUMMARY'!$C$20,rate,Sheet1!AD$21,0))))))))</f>
        <v>0</v>
      </c>
      <c r="AB353" s="417">
        <f>IF(AB352=0,0,(IF(($B$118+$C$118+$D$118+$E$118+$F$118+$G$118+$H$118+$I$118+$J$118)&lt;=25000,(($J$118/+$AH352)*AB352)*VLOOKUP('1. SUMMARY'!$C$20,rate,Sheet1!AE$21,0),((IF(($F$118+$B$118+$C$118+$D$118+$E$118+$G$118+$H$118+$I$118)&gt;=25000,0,(((25000-($B$118+$C$118+$D$118+$E$118+$F$118+$G$118+$H$118+$I$118))/+$AH352)*AB352)*(VLOOKUP('1. SUMMARY'!$C$20,rate,Sheet1!AE$21,0))))))))</f>
        <v>0</v>
      </c>
      <c r="AC353" s="417">
        <f>IF(AC352=0,0,(IF(($B$118+$C$118+$D$118+$E$118+$F$118+$G$118+$H$118+$I$118+$J$118)&lt;=25000,(($J$118/+$AH352)*AC352)*VLOOKUP('1. SUMMARY'!$C$20,rate,Sheet1!AF$21,0),((IF(($F$118+$B$118+$C$118+$D$118+$E$118+$G$118+$H$118+$I$118)&gt;=25000,0,(((25000-($B$118+$C$118+$D$118+$E$118+$F$118+$G$118+$H$118+$I$118))/+$AH352)*AC352)*(VLOOKUP('1. SUMMARY'!$C$20,rate,Sheet1!AF$21,0))))))))</f>
        <v>0</v>
      </c>
      <c r="AD353" s="417">
        <f>IF(AD352=0,0,(IF(($B$118+$C$118+$D$118+$E$118+$F$118+$G$118+$H$118+$I$118+$J$118)&lt;=25000,(($J$118/+$AH352)*AD352)*VLOOKUP('1. SUMMARY'!$C$20,rate,Sheet1!AG$21,0),((IF(($F$118+$B$118+$C$118+$D$118+$E$118+$G$118+$H$118+$I$118)&gt;=25000,0,(((25000-($B$118+$C$118+$D$118+$E$118+$F$118+$G$118+$H$118+$I$118))/+$AH352)*AD352)*(VLOOKUP('1. SUMMARY'!$C$20,rate,Sheet1!AG$21,0))))))))</f>
        <v>0</v>
      </c>
      <c r="AE353" s="417">
        <f>IF(AE352=0,0,(IF(($B$118+$C$118+$D$118+$E$118+$F$118+$G$118+$H$118+$I$118+$J$118)&lt;=25000,(($J$118/+$AH352)*AE352)*VLOOKUP('1. SUMMARY'!$C$20,rate,Sheet1!AH$21,0),((IF(($F$118+$B$118+$C$118+$D$118+$E$118+$G$118+$H$118+$I$118)&gt;=25000,0,(((25000-($B$118+$C$118+$D$118+$E$118+$F$118+$G$118+$H$118+$I$118))/+$AH352)*AE352)*(VLOOKUP('1. SUMMARY'!$C$20,rate,Sheet1!AH$21,0))))))))</f>
        <v>0</v>
      </c>
      <c r="AF353" s="417">
        <f>IF(AF352=0,0,(IF(($B$118+$C$118+$D$118+$E$118+$F$118+$G$118+$H$118+$I$118+$J$118)&lt;=25000,(($J$118/+$AH352)*AF352)*VLOOKUP('1. SUMMARY'!$C$20,rate,Sheet1!AI$21,0),((IF(($F$118+$B$118+$C$118+$D$118+$E$118+$G$118+$H$118+$I$118)&gt;=25000,0,(((25000-($B$118+$C$118+$D$118+$E$118+$F$118+$G$118+$H$118+$I$118))/+$AH352)*AF352)*(VLOOKUP('1. SUMMARY'!$C$20,rate,Sheet1!AI$21,0))))))))</f>
        <v>0</v>
      </c>
      <c r="AG353" s="417">
        <f>IF(AG352=0,0,(IF(($B$118+$C$118+$D$118+$E$118+$F$118+$G$118+$H$118+$I$118+$J$118)&lt;=25000,(($J$118/+$AH352)*AG352)*VLOOKUP('1. SUMMARY'!$C$20,rate,Sheet1!AJ$21,0),((IF(($F$118+$B$118+$C$118+$D$118+$E$118+$G$118+$H$118+$I$118)&gt;=25000,0,(((25000-($B$118+$C$118+$D$118+$E$118+$F$118+$G$118+$H$118+$I$118))/+$AH352)*AG352)*(VLOOKUP('1. SUMMARY'!$C$20,rate,Sheet1!AJ$21,0))))))))</f>
        <v>0</v>
      </c>
      <c r="AH353" s="219">
        <f>SUM(Q353:AG353)</f>
        <v>0</v>
      </c>
      <c r="AI353" s="417">
        <f>IF(AI352=0,0,((+$J118/$AZ352)*AI352)*VLOOKUP('1. SUMMARY'!$C$20,rate,Sheet1!T$21,0))</f>
        <v>0</v>
      </c>
      <c r="AJ353" s="417">
        <f>IF(AJ352=0,0,((+$J118/$AZ352)*AJ352)*VLOOKUP('1. SUMMARY'!$C$20,rate,Sheet1!U$21,0))</f>
        <v>0</v>
      </c>
      <c r="AK353" s="417">
        <f>IF(AK352=0,0,((+$J118/$AZ352)*AK352)*VLOOKUP('1. SUMMARY'!$C$20,rate,Sheet1!V$21,0))</f>
        <v>0</v>
      </c>
      <c r="AL353" s="417">
        <f>IF(AL352=0,0,((+$J118/$AZ352)*AL352)*VLOOKUP('1. SUMMARY'!$C$20,rate,Sheet1!W$21,0))</f>
        <v>0</v>
      </c>
      <c r="AM353" s="417">
        <f>IF(AM352=0,0,((+$J118/$AZ352)*AM352)*VLOOKUP('1. SUMMARY'!$C$20,rate,Sheet1!X$21,0))</f>
        <v>0</v>
      </c>
      <c r="AN353" s="417">
        <f>IF(AN352=0,0,((+$J118/$AZ352)*AN352)*VLOOKUP('1. SUMMARY'!$C$20,rate,Sheet1!Y$21,0))</f>
        <v>0</v>
      </c>
      <c r="AO353" s="417">
        <f>IF(AO352=0,0,((+$J118/$AZ352)*AO352)*VLOOKUP('1. SUMMARY'!$C$20,rate,Sheet1!Z$21,0))</f>
        <v>0</v>
      </c>
      <c r="AP353" s="417">
        <f>IF(AP352=0,0,((+$J118/$AZ352)*AP352)*VLOOKUP('1. SUMMARY'!$C$20,rate,Sheet1!AA$21,0))</f>
        <v>0</v>
      </c>
      <c r="AQ353" s="417">
        <f>IF(AQ352=0,0,((+$J118/$AZ352)*AQ352)*VLOOKUP('1. SUMMARY'!$C$20,rate,Sheet1!AB$21,0))</f>
        <v>0</v>
      </c>
      <c r="AR353" s="417">
        <f>IF(AR352=0,0,((+$J118/$AZ352)*AR352)*VLOOKUP('1. SUMMARY'!$C$20,rate,Sheet1!AC$21,0))</f>
        <v>0</v>
      </c>
      <c r="AS353" s="417">
        <f>IF(AS352=0,0,((+$J118/$AZ352)*AS352)*VLOOKUP('1. SUMMARY'!$C$20,rate,Sheet1!AD$21,0))</f>
        <v>0</v>
      </c>
      <c r="AT353" s="417">
        <f>IF(AT352=0,0,((+$J118/$AZ352)*AT352)*VLOOKUP('1. SUMMARY'!$C$20,rate,Sheet1!AE$21,0))</f>
        <v>0</v>
      </c>
      <c r="AU353" s="417">
        <f>IF(AU352=0,0,((+$J118/$AZ352)*AU352)*VLOOKUP('1. SUMMARY'!$C$20,rate,Sheet1!AF$21,0))</f>
        <v>0</v>
      </c>
      <c r="AV353" s="417">
        <f>IF(AV352=0,0,((+$J118/$AZ352)*AV352)*VLOOKUP('1. SUMMARY'!$C$20,rate,Sheet1!AG$21,0))</f>
        <v>0</v>
      </c>
      <c r="AW353" s="417">
        <f>IF(AW352=0,0,((+$J118/$AZ352)*AW352)*VLOOKUP('1. SUMMARY'!$C$20,rate,Sheet1!AH$21,0))</f>
        <v>0</v>
      </c>
      <c r="AX353" s="417">
        <f>IF(AX352=0,0,((+$J118/$AZ352)*AX352)*VLOOKUP('1. SUMMARY'!$C$20,rate,Sheet1!AI$21,0))</f>
        <v>0</v>
      </c>
      <c r="AY353" s="417">
        <f>IF(AY352=0,0,((+$J118/$AZ352)*AY352)*VLOOKUP('1. SUMMARY'!$C$20,rate,Sheet1!AJ$21,0))</f>
        <v>0</v>
      </c>
      <c r="AZ353" s="417">
        <f>SUM(AI353:AY353)</f>
        <v>0</v>
      </c>
    </row>
    <row r="354" spans="15:52" hidden="1">
      <c r="Q354" s="417">
        <f>+Q353/VLOOKUP('1. SUMMARY'!$C$20,rate,Sheet1!T$21,0)</f>
        <v>0</v>
      </c>
      <c r="R354" s="417">
        <f>+R353/VLOOKUP('1. SUMMARY'!$C$20,rate,Sheet1!U$21,0)</f>
        <v>0</v>
      </c>
      <c r="S354" s="417">
        <f>+S353/VLOOKUP('1. SUMMARY'!$C$20,rate,Sheet1!V$21,0)</f>
        <v>0</v>
      </c>
      <c r="T354" s="417">
        <f>+T353/VLOOKUP('1. SUMMARY'!$C$20,rate,Sheet1!W$21,0)</f>
        <v>0</v>
      </c>
      <c r="U354" s="417">
        <f>+U353/VLOOKUP('1. SUMMARY'!$C$20,rate,Sheet1!X$21,0)</f>
        <v>0</v>
      </c>
      <c r="V354" s="417">
        <f>+V353/VLOOKUP('1. SUMMARY'!$C$20,rate,Sheet1!Y$21,0)</f>
        <v>0</v>
      </c>
      <c r="W354" s="417">
        <f>+W353/VLOOKUP('1. SUMMARY'!$C$20,rate,Sheet1!Z$21,0)</f>
        <v>0</v>
      </c>
      <c r="X354" s="417">
        <f>+X353/VLOOKUP('1. SUMMARY'!$C$20,rate,Sheet1!AA$21,0)</f>
        <v>0</v>
      </c>
      <c r="Y354" s="417">
        <f>+Y353/VLOOKUP('1. SUMMARY'!$C$20,rate,Sheet1!AB$21,0)</f>
        <v>0</v>
      </c>
      <c r="Z354" s="417">
        <f>+Z353/VLOOKUP('1. SUMMARY'!$C$20,rate,Sheet1!AC$21,0)</f>
        <v>0</v>
      </c>
      <c r="AA354" s="417">
        <f>+AA353/VLOOKUP('1. SUMMARY'!$C$20,rate,Sheet1!AD$21,0)</f>
        <v>0</v>
      </c>
      <c r="AB354" s="417">
        <f>+AB353/VLOOKUP('1. SUMMARY'!$C$20,rate,Sheet1!AE$21,0)</f>
        <v>0</v>
      </c>
      <c r="AC354" s="417">
        <f>+AC353/VLOOKUP('1. SUMMARY'!$C$20,rate,Sheet1!AF$21,0)</f>
        <v>0</v>
      </c>
      <c r="AD354" s="417">
        <f>+AD353/VLOOKUP('1. SUMMARY'!$C$20,rate,Sheet1!AG$21,0)</f>
        <v>0</v>
      </c>
      <c r="AE354" s="417">
        <f>+AE353/VLOOKUP('1. SUMMARY'!$C$20,rate,Sheet1!AH$21,0)</f>
        <v>0</v>
      </c>
      <c r="AF354" s="417">
        <f>+AF353/VLOOKUP('1. SUMMARY'!$C$20,rate,Sheet1!AI$21,0)</f>
        <v>0</v>
      </c>
      <c r="AG354" s="417">
        <f>+AG353/VLOOKUP('1. SUMMARY'!$C$20,rate,Sheet1!AJ$21,0)</f>
        <v>0</v>
      </c>
      <c r="AH354" s="219"/>
      <c r="AI354" s="417"/>
      <c r="AJ354" s="417"/>
      <c r="AK354" s="417"/>
      <c r="AL354" s="417"/>
      <c r="AM354" s="417"/>
      <c r="AN354" s="417"/>
      <c r="AO354" s="417"/>
      <c r="AP354" s="417"/>
      <c r="AQ354" s="417"/>
      <c r="AR354" s="417"/>
      <c r="AS354" s="417"/>
      <c r="AT354" s="417"/>
      <c r="AU354" s="417"/>
      <c r="AV354" s="417"/>
      <c r="AW354" s="417"/>
      <c r="AX354" s="417"/>
      <c r="AY354" s="417"/>
      <c r="AZ354" s="417"/>
    </row>
    <row r="355" spans="15:52" hidden="1">
      <c r="Q355" s="420">
        <f>Sheet1!$T$8</f>
        <v>44105</v>
      </c>
      <c r="R355" s="420">
        <f>Sheet1!$U$8</f>
        <v>44470</v>
      </c>
      <c r="S355" s="420">
        <f>Sheet1!$V$8</f>
        <v>44835</v>
      </c>
      <c r="T355" s="420">
        <f>Sheet1!$W$8</f>
        <v>45200</v>
      </c>
      <c r="U355" s="420">
        <f>Sheet1!$X$8</f>
        <v>45566</v>
      </c>
      <c r="V355" s="420">
        <f>Sheet1!$Y$8</f>
        <v>45931</v>
      </c>
      <c r="W355" s="420">
        <f>Sheet1!$Z$8</f>
        <v>46296</v>
      </c>
      <c r="X355" s="420">
        <f>Sheet1!$AA$8</f>
        <v>46661</v>
      </c>
      <c r="Y355" s="420">
        <f>Sheet1!$AB$8</f>
        <v>47027</v>
      </c>
      <c r="Z355" s="420">
        <f>Sheet1!$AC$8</f>
        <v>47392</v>
      </c>
      <c r="AA355" s="420">
        <f>$AA$5</f>
        <v>47757</v>
      </c>
      <c r="AB355" s="420">
        <f>$AB$5</f>
        <v>48122</v>
      </c>
      <c r="AC355" s="420">
        <f>$AC$5</f>
        <v>48488</v>
      </c>
      <c r="AD355" s="420">
        <f>$AD$5</f>
        <v>48853</v>
      </c>
      <c r="AE355" s="420">
        <f>$AE$5</f>
        <v>49218</v>
      </c>
      <c r="AF355" s="420">
        <f>$AF$5</f>
        <v>49583</v>
      </c>
      <c r="AG355" s="420">
        <f>$AG$5</f>
        <v>49949</v>
      </c>
      <c r="AH355" s="219"/>
      <c r="AI355" s="420">
        <f t="shared" ref="AI355:AR357" si="168">+Q355</f>
        <v>44105</v>
      </c>
      <c r="AJ355" s="420">
        <f t="shared" si="168"/>
        <v>44470</v>
      </c>
      <c r="AK355" s="420">
        <f t="shared" si="168"/>
        <v>44835</v>
      </c>
      <c r="AL355" s="420">
        <f t="shared" si="168"/>
        <v>45200</v>
      </c>
      <c r="AM355" s="420">
        <f t="shared" si="168"/>
        <v>45566</v>
      </c>
      <c r="AN355" s="420">
        <f t="shared" si="168"/>
        <v>45931</v>
      </c>
      <c r="AO355" s="420">
        <f t="shared" si="168"/>
        <v>46296</v>
      </c>
      <c r="AP355" s="420">
        <f t="shared" si="168"/>
        <v>46661</v>
      </c>
      <c r="AQ355" s="420">
        <f t="shared" si="168"/>
        <v>47027</v>
      </c>
      <c r="AR355" s="420">
        <f t="shared" si="168"/>
        <v>47392</v>
      </c>
      <c r="AS355" s="420">
        <f t="shared" ref="AS355:AY357" si="169">+AA355</f>
        <v>47757</v>
      </c>
      <c r="AT355" s="420">
        <f t="shared" si="169"/>
        <v>48122</v>
      </c>
      <c r="AU355" s="420">
        <f t="shared" si="169"/>
        <v>48488</v>
      </c>
      <c r="AV355" s="420">
        <f t="shared" si="169"/>
        <v>48853</v>
      </c>
      <c r="AW355" s="420">
        <f t="shared" si="169"/>
        <v>49218</v>
      </c>
      <c r="AX355" s="420">
        <f t="shared" si="169"/>
        <v>49583</v>
      </c>
      <c r="AY355" s="420">
        <f t="shared" si="169"/>
        <v>49949</v>
      </c>
      <c r="AZ355" s="420"/>
    </row>
    <row r="356" spans="15:52" hidden="1">
      <c r="O356" s="207" t="s">
        <v>247</v>
      </c>
      <c r="Q356" s="420">
        <f>Sheet1!$T$9</f>
        <v>44469</v>
      </c>
      <c r="R356" s="420">
        <f>Sheet1!$U$9</f>
        <v>44834</v>
      </c>
      <c r="S356" s="420">
        <f>Sheet1!$V$9</f>
        <v>45199</v>
      </c>
      <c r="T356" s="420">
        <f>Sheet1!$W$9</f>
        <v>45565</v>
      </c>
      <c r="U356" s="420">
        <f>Sheet1!$X$9</f>
        <v>45930</v>
      </c>
      <c r="V356" s="420">
        <f>Sheet1!$Y$9</f>
        <v>46295</v>
      </c>
      <c r="W356" s="420">
        <f>Sheet1!$Z$9</f>
        <v>46660</v>
      </c>
      <c r="X356" s="420">
        <f>Sheet1!$AA$9</f>
        <v>47026</v>
      </c>
      <c r="Y356" s="420">
        <f>Sheet1!$AB$9</f>
        <v>47391</v>
      </c>
      <c r="Z356" s="420">
        <f>Sheet1!$AC$9</f>
        <v>47756</v>
      </c>
      <c r="AA356" s="420">
        <f>$AA$6</f>
        <v>48121</v>
      </c>
      <c r="AB356" s="420">
        <f>$AB$6</f>
        <v>48487</v>
      </c>
      <c r="AC356" s="420">
        <f>$AC$6</f>
        <v>48852</v>
      </c>
      <c r="AD356" s="420">
        <f>$AD$6</f>
        <v>49217</v>
      </c>
      <c r="AE356" s="420">
        <f>$AE$6</f>
        <v>49582</v>
      </c>
      <c r="AF356" s="420">
        <f>$AF$6</f>
        <v>49948</v>
      </c>
      <c r="AG356" s="420">
        <f>$AG$6</f>
        <v>50313</v>
      </c>
      <c r="AH356" s="219"/>
      <c r="AI356" s="420">
        <f t="shared" si="168"/>
        <v>44469</v>
      </c>
      <c r="AJ356" s="420">
        <f t="shared" si="168"/>
        <v>44834</v>
      </c>
      <c r="AK356" s="420">
        <f t="shared" si="168"/>
        <v>45199</v>
      </c>
      <c r="AL356" s="420">
        <f t="shared" si="168"/>
        <v>45565</v>
      </c>
      <c r="AM356" s="420">
        <f t="shared" si="168"/>
        <v>45930</v>
      </c>
      <c r="AN356" s="420">
        <f t="shared" si="168"/>
        <v>46295</v>
      </c>
      <c r="AO356" s="420">
        <f t="shared" si="168"/>
        <v>46660</v>
      </c>
      <c r="AP356" s="420">
        <f t="shared" si="168"/>
        <v>47026</v>
      </c>
      <c r="AQ356" s="420">
        <f t="shared" si="168"/>
        <v>47391</v>
      </c>
      <c r="AR356" s="420">
        <f t="shared" si="168"/>
        <v>47756</v>
      </c>
      <c r="AS356" s="420">
        <f t="shared" si="169"/>
        <v>48121</v>
      </c>
      <c r="AT356" s="420">
        <f t="shared" si="169"/>
        <v>48487</v>
      </c>
      <c r="AU356" s="420">
        <f t="shared" si="169"/>
        <v>48852</v>
      </c>
      <c r="AV356" s="420">
        <f t="shared" si="169"/>
        <v>49217</v>
      </c>
      <c r="AW356" s="420">
        <f t="shared" si="169"/>
        <v>49582</v>
      </c>
      <c r="AX356" s="420">
        <f t="shared" si="169"/>
        <v>49948</v>
      </c>
      <c r="AY356" s="420">
        <f t="shared" si="169"/>
        <v>50313</v>
      </c>
      <c r="AZ356" s="420"/>
    </row>
    <row r="357" spans="15:52" hidden="1">
      <c r="Q357" s="421">
        <f>IF(IF(Q356&lt;$K$27,0,DATEDIF($K$27,Q356+1,"m"))&lt;0,0,IF(Q356&lt;$K$27,0,DATEDIF($K$27,Q356+1,"m")))</f>
        <v>0</v>
      </c>
      <c r="R357" s="421">
        <f>IF(IF(Q357=12,0,IF(R356&gt;$K$28,12-DATEDIF($K$28,R356+1,"m"),IF(R356&lt;$K$27,0,DATEDIF($K$27,R356+1,"m"))))&lt;0,0,IF(Q357=12,0,IF(R356&gt;$K$28,12-DATEDIF($K$28,R356+1,"m"),IF(R356&lt;$K$27,0,DATEDIF($K$27,R356+1,"m")))))</f>
        <v>0</v>
      </c>
      <c r="S357" s="421">
        <f>IF(IF(Q357+R357=12,0,IF(S356&gt;$K$28,12-DATEDIF($K$28,S356+1,"m"),IF(S356&lt;$K$27,0,DATEDIF($K$27,S356+1,"m"))))&lt;0,0,IF(Q357+R357=12,0,IF(S356&gt;$K$28,12-DATEDIF($K$28,S356+1,"m"),IF(S356&lt;$K$27,0,DATEDIF($K$27,S356+1,"m")))))</f>
        <v>0</v>
      </c>
      <c r="T357" s="421">
        <f>IF(IF(R357+S357+Q357=12,0,IF(T356&gt;$K$28,12-DATEDIF($K$28,T356+1,"m"),IF(T356&lt;$K$27,0,DATEDIF($K$27,T356+1,"m"))))&lt;0,0,IF(R357+S357+Q357=12,0,IF(T356&gt;$K$28,12-DATEDIF($K$28,T356+1,"m"),IF(T356&lt;$K$27,0,DATEDIF($K$27,T356+1,"m")))))</f>
        <v>0</v>
      </c>
      <c r="U357" s="421">
        <f>IF(IF(S357+T357+R357+Q357=12,0,IF(U356&gt;$K$28,12-DATEDIF($K$28,U356+1,"m"),IF(U356&lt;$K$27,0,DATEDIF($K$27,U356+1,"m"))))&lt;0,0,IF(S357+T357+R357+Q357=12,0,IF(U356&gt;$K$28,12-DATEDIF($K$28,U356+1,"m"),IF(U356&lt;$K$27,0,DATEDIF($K$27,U356+1,"m")))))</f>
        <v>0</v>
      </c>
      <c r="V357" s="421">
        <f>IF(IF(T357+U357+S357+R357+Q357=12,0,IF(V356&gt;$K$28,12-DATEDIF($K$28,V356+1,"m"),IF(V356&lt;$K$27,0,DATEDIF($K$27,V356+1,"m"))))&lt;0,0,IF(T357+U357+S357+R357+Q357=12,0,IF(V356&gt;$K$28,12-DATEDIF($K$28,V356+1,"m"),IF(V356&lt;$K$27,0,DATEDIF($K$27,V356+1,"m")))))</f>
        <v>0</v>
      </c>
      <c r="W357" s="421">
        <f>IF(IF(U357+V357+T357+S357+R357+Q357=12,0,IF(W356&gt;$K$28,12-DATEDIF($K$28,W356+1,"m"),IF(W356&lt;$K$27,0,DATEDIF($K$27,W356+1,"m"))))&lt;0,0,IF(U357+V357+T357+S357+R357+Q357=12,0,IF(W356&gt;$K$28,12-DATEDIF($K$28,W356+1,"m"),IF(W356&lt;$K$27,0,DATEDIF($K$27,W356+1,"m")))))</f>
        <v>0</v>
      </c>
      <c r="X357" s="421">
        <f>IF(IF(V357+W357+U357+T357+S357+R357+Q357=12,0,IF(X356&gt;$K$28,12-DATEDIF($K$28,X356+1,"m"),IF(X356&lt;$K$27,0,DATEDIF($K$27,X356+1,"m"))))&lt;0,0,IF(V357+W357+U357+T357+S357+R357+Q357=12,0,IF(X356&gt;$K$28,12-DATEDIF($K$28,X356+1,"m"),IF(X356&lt;$K$27,0,DATEDIF($K$27,X356+1,"m")))))</f>
        <v>0</v>
      </c>
      <c r="Y357" s="421">
        <f>IF(IF(W357+X357+V357+U357+T357+S357+R357+Q357=12,0,IF(Y356&gt;$K$28,12-DATEDIF($K$28,Y356+1,"m"),IF(Y356&lt;$K$27,0,DATEDIF($K$27,Y356+1,"m"))))&lt;0,0,IF(W357+X357+V357+U357+T357+S357+R357+Q357=12,0,IF(Y356&gt;$K$28,12-DATEDIF($K$28,Y356+1,"m"),IF(Y356&lt;$K$27,0,DATEDIF($K$27,Y356+1,"m")))))</f>
        <v>0</v>
      </c>
      <c r="Z357" s="421">
        <f>IF(IF(X357+Y357+W357+V357+U357+T357+S357+R357+Q357=12,0,IF(Z356&gt;$K$28,12-DATEDIF($K$28,Z356+1,"m"),IF(Z356&lt;$K$27,0,DATEDIF($K$27,Z356+1,"m"))))&lt;0,0,IF(X357+Y357+W357+V357+U357+T357+S357+R357+Q357=12,0,IF(Z356&gt;$K$28,12-DATEDIF($K$28,Z356+1,"m"),IF(Z356&lt;$K$27,0,DATEDIF($K$27,Z356+1,"m")))))</f>
        <v>0</v>
      </c>
      <c r="AA357" s="421">
        <f>IF(IF(Q357+R357+S357+Y357+Z357+X357+W357+V357+U357+T357=12,0,IF(AA356&gt;$K$28,12-DATEDIF($K$28,AA356+1,"m"),IF(AA356&lt;$K$27,0,DATEDIF($K$27,AA356+1,"m"))))&lt;0,0,IF(Q357+R357+S357+Y357+Z357+X357+W357+V357+U357+T357=12,0,IF(AA356&gt;$K$28,12-DATEDIF($K$28,AA356+1,"m"),IF(AA356&lt;$K$27,0,DATEDIF($K$27,AA356+1,"m")))))</f>
        <v>0</v>
      </c>
      <c r="AB357" s="421">
        <f>IF(IF(Q357+R357+S357+T357+Z357+AA357+Y357+X357+W357+V357+U357=12,0,IF(AB356&gt;$K$28,12-DATEDIF($K$28,AB356+1,"m"),IF(AB356&lt;$K$27,0,DATEDIF($K$27,AB356+1,"m"))))&lt;0,0,IF(Q357+R357+S357+T357+Z357+AA357+Y357+X357+W357+V357+U357=12,0,IF(AB356&gt;$K$28,12-DATEDIF($K$28,AB356+1,"m"),IF(AB356&lt;$K$27,0,DATEDIF($K$27,AB356+1,"m")))))</f>
        <v>0</v>
      </c>
      <c r="AC357" s="421">
        <f>IF(IF(Q357+R357+S357+T357+U357+AA357+AB357+Z357+Y357+X357+W357+V357=12,0,IF(AC356&gt;$K$28,12-DATEDIF($K$28,AC356+1,"m"),IF(AC356&lt;$K$27,0,DATEDIF($K$27,AC356+1,"m"))))&lt;0,0,IF(Q357+R357+S357+T357+U357+AA357+AB357+Z357+Y357+X357+W357+V357=12,0,IF(AC356&gt;$K$28,12-DATEDIF($K$28,AC356+1,"m"),IF(AC356&lt;$K$27,0,DATEDIF($K$27,AC356+1,"m")))))</f>
        <v>0</v>
      </c>
      <c r="AD357" s="421">
        <f>IF(IF(Q357+R357+S357+T357+U357+V357+AB357+AC357+AA357+Z357+Y357+X357+W357=12,0,IF(AD356&gt;$K$28,12-DATEDIF($K$28,AD356+1,"m"),IF(AD356&lt;$K$27,0,DATEDIF($K$27,AD356+1,"m"))))&lt;0,0,IF(Q357+R357+S357+T357+U357+V357+AB357+AC357+AA357+Z357+Y357+X357+W357=12,0,IF(AD356&gt;$K$28,12-DATEDIF($K$28,AD356+1,"m"),IF(AD356&lt;$K$27,0,DATEDIF($K$27,AD356+1,"m")))))</f>
        <v>0</v>
      </c>
      <c r="AE357" s="421">
        <f>IF(IF(Q357+R357+S357+T357+U357+V357+W357+AC357+AD357+AB357+AA357+Z357+Y357+X357=12,0,IF(AE356&gt;$K$28,12-DATEDIF($K$28,AE356+1,"m"),IF(AE356&lt;$K$27,0,DATEDIF($K$27,AE356+1,"m"))))&lt;0,0,IF(Q357+R357+S357+T357+U357+V357+W357+AC357+AD357+AB357+AA357+Z357+Y357+X357=12,0,IF(AE356&gt;$K$28,12-DATEDIF($K$28,AE356+1,"m"),IF(AE356&lt;$K$27,0,DATEDIF($K$27,AE356+1,"m")))))</f>
        <v>0</v>
      </c>
      <c r="AF357" s="421">
        <f>IF(IF(Q357+R357+S357+T357+U357+V357+W357+X357+AD357+AE357+AC357+AB357+AA357+Z357+Y357=12,0,IF(AF356&gt;$K$28,12-DATEDIF($K$28,AF356+1,"m"),IF(AF356&lt;$K$27,0,DATEDIF($K$27,AF356+1,"m"))))&lt;0,0,IF(Q357+R357+S357+T357+U357+V357+W357+X357+AD357+AE357+AC357+AB357+AA357+Z357+Y357=12,0,IF(AF356&gt;$K$28,12-DATEDIF($K$28,AF356+1,"m"),IF(AF356&lt;$K$27,0,DATEDIF($K$27,AF356+1,"m")))))</f>
        <v>0</v>
      </c>
      <c r="AG357" s="421">
        <f>IF(IF(Q357+R357+S357+T357+U357+V357+W357+X357+Y357+AE357+AF357+AD357+AC357+AB357+AA357+Z357=12,0,IF(AG356&gt;$K$28,12-DATEDIF($K$28,AG356+1,"m"),IF(AG356&lt;$K$27,0,DATEDIF($K$27,AG356+1,"m"))))&lt;0,0,IF(Q357+R357+S357+T357+U357+V357+W357+X357+Y357+AE357+AF357+AD357+AC357+AB357+AA357+Z357=12,0,IF(AG356&gt;$K$28,12-DATEDIF($K$28,AG356+1,"m"),IF(AG356&lt;$K$27,0,DATEDIF($K$27,AG356+1,"m")))))</f>
        <v>0</v>
      </c>
      <c r="AH357" s="423">
        <f>SUM(Q357:AG357)</f>
        <v>0</v>
      </c>
      <c r="AI357" s="428">
        <f t="shared" si="168"/>
        <v>0</v>
      </c>
      <c r="AJ357" s="428">
        <f t="shared" si="168"/>
        <v>0</v>
      </c>
      <c r="AK357" s="428">
        <f t="shared" si="168"/>
        <v>0</v>
      </c>
      <c r="AL357" s="428">
        <f t="shared" si="168"/>
        <v>0</v>
      </c>
      <c r="AM357" s="428">
        <f t="shared" si="168"/>
        <v>0</v>
      </c>
      <c r="AN357" s="428">
        <f t="shared" si="168"/>
        <v>0</v>
      </c>
      <c r="AO357" s="428">
        <f t="shared" si="168"/>
        <v>0</v>
      </c>
      <c r="AP357" s="428">
        <f t="shared" si="168"/>
        <v>0</v>
      </c>
      <c r="AQ357" s="428">
        <f t="shared" si="168"/>
        <v>0</v>
      </c>
      <c r="AR357" s="428">
        <f t="shared" si="168"/>
        <v>0</v>
      </c>
      <c r="AS357" s="428">
        <f t="shared" si="169"/>
        <v>0</v>
      </c>
      <c r="AT357" s="428">
        <f t="shared" si="169"/>
        <v>0</v>
      </c>
      <c r="AU357" s="428">
        <f t="shared" si="169"/>
        <v>0</v>
      </c>
      <c r="AV357" s="428">
        <f t="shared" si="169"/>
        <v>0</v>
      </c>
      <c r="AW357" s="428">
        <f t="shared" si="169"/>
        <v>0</v>
      </c>
      <c r="AX357" s="428">
        <f t="shared" si="169"/>
        <v>0</v>
      </c>
      <c r="AY357" s="428">
        <f t="shared" si="169"/>
        <v>0</v>
      </c>
      <c r="AZ357" s="428">
        <f>SUM(AI357:AY357)</f>
        <v>0</v>
      </c>
    </row>
    <row r="358" spans="15:52" hidden="1">
      <c r="Q358" s="421">
        <f>IF(Q357=0,0,(IF(($B$118+$C$118+$D$118+$E$118+$F$118+$G$118+$H$118+$I$118+$J$118+$K$118)&lt;=25000,(($K$118/+$AH357)*Q357)*VLOOKUP('1. SUMMARY'!$C$20,rate,Sheet1!T$21,0),((IF(($F$118+$B$118+$C$118+$D$118+$E$118+$G$118+$H$118+$I$118+$J$118)&gt;=25000,0,(((25000-($B$118+$C$118+$D$118+$E$118+$F$118+$G$118+$H$118+$I$118+$J$118))/+$AH357)*Q357)*(VLOOKUP('1. SUMMARY'!$C$20,rate,Sheet1!T$21,0))))))))</f>
        <v>0</v>
      </c>
      <c r="R358" s="421">
        <f>IF(R357=0,0,(IF(($B$118+$C$118+$D$118+$E$118+$F$118+$G$118+$H$118+$I$118+$J$118+$K$118)&lt;=25000,(($K$118/+$AH357)*R357)*VLOOKUP('1. SUMMARY'!$C$20,rate,Sheet1!U$21,0),((IF(($F$118+$B$118+$C$118+$D$118+$E$118+$G$118+$H$118+$I$118+$J$118)&gt;=25000,0,(((25000-($B$118+$C$118+$D$118+$E$118+$F$118+$G$118+$H$118+$I$118+$J$118))/+$AH357)*R357)*(VLOOKUP('1. SUMMARY'!$C$20,rate,Sheet1!U$21,0))))))))</f>
        <v>0</v>
      </c>
      <c r="S358" s="421">
        <f>IF(S357=0,0,(IF(($B$118+$C$118+$D$118+$E$118+$F$118+$G$118+$H$118+$I$118+$J$118+$K$118)&lt;=25000,(($K$118/+$AH357)*S357)*VLOOKUP('1. SUMMARY'!$C$20,rate,Sheet1!V$21,0),((IF(($F$118+$B$118+$C$118+$D$118+$E$118+$G$118+$H$118+$I$118+$J$118)&gt;=25000,0,(((25000-($B$118+$C$118+$D$118+$E$118+$F$118+$G$118+$H$118+$I$118+$J$118))/+$AH357)*S357)*(VLOOKUP('1. SUMMARY'!$C$20,rate,Sheet1!V$21,0))))))))</f>
        <v>0</v>
      </c>
      <c r="T358" s="421">
        <f>IF(T357=0,0,(IF(($B$118+$C$118+$D$118+$E$118+$F$118+$G$118+$H$118+$I$118+$J$118+$K$118)&lt;=25000,(($K$118/+$AH357)*T357)*VLOOKUP('1. SUMMARY'!$C$20,rate,Sheet1!W$21,0),((IF(($F$118+$B$118+$C$118+$D$118+$E$118+$G$118+$H$118+$I$118+$J$118)&gt;=25000,0,(((25000-($B$118+$C$118+$D$118+$E$118+$F$118+$G$118+$H$118+$I$118+$J$118))/+$AH357)*T357)*(VLOOKUP('1. SUMMARY'!$C$20,rate,Sheet1!W$21,0))))))))</f>
        <v>0</v>
      </c>
      <c r="U358" s="421">
        <f>IF(U357=0,0,(IF(($B$118+$C$118+$D$118+$E$118+$F$118+$G$118+$H$118+$I$118+$J$118+$K$118)&lt;=25000,(($K$118/+$AH357)*U357)*VLOOKUP('1. SUMMARY'!$C$20,rate,Sheet1!X$21,0),((IF(($F$118+$B$118+$C$118+$D$118+$E$118+$G$118+$H$118+$I$118+$J$118)&gt;=25000,0,(((25000-($B$118+$C$118+$D$118+$E$118+$F$118+$G$118+$H$118+$I$118+$J$118))/+$AH357)*U357)*(VLOOKUP('1. SUMMARY'!$C$20,rate,Sheet1!X$21,0))))))))</f>
        <v>0</v>
      </c>
      <c r="V358" s="421">
        <f>IF(V357=0,0,(IF(($B$118+$C$118+$D$118+$E$118+$F$118+$G$118+$H$118+$I$118+$J$118+$K$118)&lt;=25000,(($K$118/+$AH357)*V357)*VLOOKUP('1. SUMMARY'!$C$20,rate,Sheet1!Y$21,0),((IF(($F$118+$B$118+$C$118+$D$118+$E$118+$G$118+$H$118+$I$118+$J$118)&gt;=25000,0,(((25000-($B$118+$C$118+$D$118+$E$118+$F$118+$G$118+$H$118+$I$118+$J$118))/+$AH357)*V357)*(VLOOKUP('1. SUMMARY'!$C$20,rate,Sheet1!Y$21,0))))))))</f>
        <v>0</v>
      </c>
      <c r="W358" s="421">
        <f>IF(W357=0,0,(IF(($B$118+$C$118+$D$118+$E$118+$F$118+$G$118+$H$118+$I$118+$J$118+$K$118)&lt;=25000,(($K$118/+$AH357)*W357)*VLOOKUP('1. SUMMARY'!$C$20,rate,Sheet1!Z$21,0),((IF(($F$118+$B$118+$C$118+$D$118+$E$118+$G$118+$H$118+$I$118+$J$118)&gt;=25000,0,(((25000-($B$118+$C$118+$D$118+$E$118+$F$118+$G$118+$H$118+$I$118+$J$118))/+$AH357)*W357)*(VLOOKUP('1. SUMMARY'!$C$20,rate,Sheet1!Z$21,0))))))))</f>
        <v>0</v>
      </c>
      <c r="X358" s="421">
        <f>IF(X357=0,0,(IF(($B$118+$C$118+$D$118+$E$118+$F$118+$G$118+$H$118+$I$118+$J$118+$K$118)&lt;=25000,(($K$118/+$AH357)*X357)*VLOOKUP('1. SUMMARY'!$C$20,rate,Sheet1!AA$21,0),((IF(($F$118+$B$118+$C$118+$D$118+$E$118+$G$118+$H$118+$I$118+$J$118)&gt;=25000,0,(((25000-($B$118+$C$118+$D$118+$E$118+$F$118+$G$118+$H$118+$I$118+$J$118))/+$AH357)*X357)*(VLOOKUP('1. SUMMARY'!$C$20,rate,Sheet1!AA$21,0))))))))</f>
        <v>0</v>
      </c>
      <c r="Y358" s="421">
        <f>IF(Y357=0,0,(IF(($B$118+$C$118+$D$118+$E$118+$F$118+$G$118+$H$118+$I$118+$J$118+$K$118)&lt;=25000,(($K$118/+$AH357)*Y357)*VLOOKUP('1. SUMMARY'!$C$20,rate,Sheet1!AB$21,0),((IF(($F$118+$B$118+$C$118+$D$118+$E$118+$G$118+$H$118+$I$118+$J$118)&gt;=25000,0,(((25000-($B$118+$C$118+$D$118+$E$118+$F$118+$G$118+$H$118+$I$118+$J$118))/+$AH357)*Y357)*(VLOOKUP('1. SUMMARY'!$C$20,rate,Sheet1!AB$21,0))))))))</f>
        <v>0</v>
      </c>
      <c r="Z358" s="421">
        <f>IF(Z357=0,0,(IF(($B$118+$C$118+$D$118+$E$118+$F$118+$G$118+$H$118+$I$118+$J$118+$K$118)&lt;=25000,(($K$118/+$AH357)*Z357)*VLOOKUP('1. SUMMARY'!$C$20,rate,Sheet1!AC$21,0),((IF(($F$118+$B$118+$C$118+$D$118+$E$118+$G$118+$H$118+$I$118+$J$118)&gt;=25000,0,(((25000-($B$118+$C$118+$D$118+$E$118+$F$118+$G$118+$H$118+$I$118+$J$118))/+$AH357)*Z357)*(VLOOKUP('1. SUMMARY'!$C$20,rate,Sheet1!AC$21,0))))))))</f>
        <v>0</v>
      </c>
      <c r="AA358" s="421">
        <f>IF(AA357=0,0,(IF(($B$118+$C$118+$D$118+$E$118+$F$118+$G$118+$H$118+$I$118+$J$118+$K$118)&lt;=25000,(($K$118/+$AH357)*AA357)*VLOOKUP('1. SUMMARY'!$C$20,rate,Sheet1!AD$21,0),((IF(($F$118+$B$118+$C$118+$D$118+$E$118+$G$118+$H$118+$I$118+$J$118)&gt;=25000,0,(((25000-($B$118+$C$118+$D$118+$E$118+$F$118+$G$118+$H$118+$I$118+$J$118))/+$AH357)*AA357)*(VLOOKUP('1. SUMMARY'!$C$20,rate,Sheet1!AD$21,0))))))))</f>
        <v>0</v>
      </c>
      <c r="AB358" s="421">
        <f>IF(AB357=0,0,(IF(($B$118+$C$118+$D$118+$E$118+$F$118+$G$118+$H$118+$I$118+$J$118+$K$118)&lt;=25000,(($K$118/+$AH357)*AB357)*VLOOKUP('1. SUMMARY'!$C$20,rate,Sheet1!AE$21,0),((IF(($F$118+$B$118+$C$118+$D$118+$E$118+$G$118+$H$118+$I$118+$J$118)&gt;=25000,0,(((25000-($B$118+$C$118+$D$118+$E$118+$F$118+$G$118+$H$118+$I$118+$J$118))/+$AH357)*AB357)*(VLOOKUP('1. SUMMARY'!$C$20,rate,Sheet1!AE$21,0))))))))</f>
        <v>0</v>
      </c>
      <c r="AC358" s="421">
        <f>IF(AC357=0,0,(IF(($B$118+$C$118+$D$118+$E$118+$F$118+$G$118+$H$118+$I$118+$J$118+$K$118)&lt;=25000,(($K$118/+$AH357)*AC357)*VLOOKUP('1. SUMMARY'!$C$20,rate,Sheet1!AF$21,0),((IF(($F$118+$B$118+$C$118+$D$118+$E$118+$G$118+$H$118+$I$118+$J$118)&gt;=25000,0,(((25000-($B$118+$C$118+$D$118+$E$118+$F$118+$G$118+$H$118+$I$118+$J$118))/+$AH357)*AC357)*(VLOOKUP('1. SUMMARY'!$C$20,rate,Sheet1!AF$21,0))))))))</f>
        <v>0</v>
      </c>
      <c r="AD358" s="421">
        <f>IF(AD357=0,0,(IF(($B$118+$C$118+$D$118+$E$118+$F$118+$G$118+$H$118+$I$118+$J$118+$K$118)&lt;=25000,(($K$118/+$AH357)*AD357)*VLOOKUP('1. SUMMARY'!$C$20,rate,Sheet1!AG$21,0),((IF(($F$118+$B$118+$C$118+$D$118+$E$118+$G$118+$H$118+$I$118+$J$118)&gt;=25000,0,(((25000-($B$118+$C$118+$D$118+$E$118+$F$118+$G$118+$H$118+$I$118+$J$118))/+$AH357)*AD357)*(VLOOKUP('1. SUMMARY'!$C$20,rate,Sheet1!AG$21,0))))))))</f>
        <v>0</v>
      </c>
      <c r="AE358" s="421">
        <f>IF(AE357=0,0,(IF(($B$118+$C$118+$D$118+$E$118+$F$118+$G$118+$H$118+$I$118+$J$118+$K$118)&lt;=25000,(($K$118/+$AH357)*AE357)*VLOOKUP('1. SUMMARY'!$C$20,rate,Sheet1!AH$21,0),((IF(($F$118+$B$118+$C$118+$D$118+$E$118+$G$118+$H$118+$I$118+$J$118)&gt;=25000,0,(((25000-($B$118+$C$118+$D$118+$E$118+$F$118+$G$118+$H$118+$I$118+$J$118))/+$AH357)*AE357)*(VLOOKUP('1. SUMMARY'!$C$20,rate,Sheet1!AH$21,0))))))))</f>
        <v>0</v>
      </c>
      <c r="AF358" s="421">
        <f>IF(AF357=0,0,(IF(($B$118+$C$118+$D$118+$E$118+$F$118+$G$118+$H$118+$I$118+$J$118+$K$118)&lt;=25000,(($K$118/+$AH357)*AF357)*VLOOKUP('1. SUMMARY'!$C$20,rate,Sheet1!AI$21,0),((IF(($F$118+$B$118+$C$118+$D$118+$E$118+$G$118+$H$118+$I$118+$J$118)&gt;=25000,0,(((25000-($B$118+$C$118+$D$118+$E$118+$F$118+$G$118+$H$118+$I$118+$J$118))/+$AH357)*AF357)*(VLOOKUP('1. SUMMARY'!$C$20,rate,Sheet1!AI$21,0))))))))</f>
        <v>0</v>
      </c>
      <c r="AG358" s="421">
        <f>IF(AG357=0,0,(IF(($B$118+$C$118+$D$118+$E$118+$F$118+$G$118+$H$118+$I$118+$J$118+$K$118)&lt;=25000,(($K$118/+$AH357)*AG357)*VLOOKUP('1. SUMMARY'!$C$20,rate,Sheet1!AJ$21,0),((IF(($F$118+$B$118+$C$118+$D$118+$E$118+$G$118+$H$118+$I$118+$J$118)&gt;=25000,0,(((25000-($B$118+$C$118+$D$118+$E$118+$F$118+$G$118+$H$118+$I$118+$J$118))/+$AH357)*AG357)*(VLOOKUP('1. SUMMARY'!$C$20,rate,Sheet1!AJ$21,0))))))))</f>
        <v>0</v>
      </c>
      <c r="AH358" s="219">
        <f>SUM(Q358:AG358)</f>
        <v>0</v>
      </c>
      <c r="AI358" s="421">
        <f>IF(AI357=0,0,((+$K118/$AZ357)*AI357)*VLOOKUP('1. SUMMARY'!$C$20,rate,Sheet1!T$21,0))</f>
        <v>0</v>
      </c>
      <c r="AJ358" s="421">
        <f>IF(AJ357=0,0,((+$K118/$AZ357)*AJ357)*VLOOKUP('1. SUMMARY'!$C$20,rate,Sheet1!U$21,0))</f>
        <v>0</v>
      </c>
      <c r="AK358" s="421">
        <f>IF(AK357=0,0,((+$K118/$AZ357)*AK357)*VLOOKUP('1. SUMMARY'!$C$20,rate,Sheet1!V$21,0))</f>
        <v>0</v>
      </c>
      <c r="AL358" s="421">
        <f>IF(AL357=0,0,((+$K118/$AZ357)*AL357)*VLOOKUP('1. SUMMARY'!$C$20,rate,Sheet1!W$21,0))</f>
        <v>0</v>
      </c>
      <c r="AM358" s="421">
        <f>IF(AM357=0,0,((+$K118/$AZ357)*AM357)*VLOOKUP('1. SUMMARY'!$C$20,rate,Sheet1!X$21,0))</f>
        <v>0</v>
      </c>
      <c r="AN358" s="421">
        <f>IF(AN357=0,0,((+$K118/$AZ357)*AN357)*VLOOKUP('1. SUMMARY'!$C$20,rate,Sheet1!Y$21,0))</f>
        <v>0</v>
      </c>
      <c r="AO358" s="421">
        <f>IF(AO357=0,0,((+$K118/$AZ357)*AO357)*VLOOKUP('1. SUMMARY'!$C$20,rate,Sheet1!Z$21,0))</f>
        <v>0</v>
      </c>
      <c r="AP358" s="421">
        <f>IF(AP357=0,0,((+$K118/$AZ357)*AP357)*VLOOKUP('1. SUMMARY'!$C$20,rate,Sheet1!AA$21,0))</f>
        <v>0</v>
      </c>
      <c r="AQ358" s="421">
        <f>IF(AQ357=0,0,((+$K118/$AZ357)*AQ357)*VLOOKUP('1. SUMMARY'!$C$20,rate,Sheet1!AB$21,0))</f>
        <v>0</v>
      </c>
      <c r="AR358" s="421">
        <f>IF(AR357=0,0,((+$K118/$AZ357)*AR357)*VLOOKUP('1. SUMMARY'!$C$20,rate,Sheet1!AC$21,0))</f>
        <v>0</v>
      </c>
      <c r="AS358" s="421">
        <f>IF(AS357=0,0,((+$K118/$AZ357)*AS357)*VLOOKUP('1. SUMMARY'!$C$20,rate,Sheet1!AD$21,0))</f>
        <v>0</v>
      </c>
      <c r="AT358" s="421">
        <f>IF(AT357=0,0,((+$K118/$AZ357)*AT357)*VLOOKUP('1. SUMMARY'!$C$20,rate,Sheet1!AE$21,0))</f>
        <v>0</v>
      </c>
      <c r="AU358" s="421">
        <f>IF(AU357=0,0,((+$K118/$AZ357)*AU357)*VLOOKUP('1. SUMMARY'!$C$20,rate,Sheet1!AF$21,0))</f>
        <v>0</v>
      </c>
      <c r="AV358" s="421">
        <f>IF(AV357=0,0,((+$K118/$AZ357)*AV357)*VLOOKUP('1. SUMMARY'!$C$20,rate,Sheet1!AG$21,0))</f>
        <v>0</v>
      </c>
      <c r="AW358" s="421">
        <f>IF(AW357=0,0,((+$K118/$AZ357)*AW357)*VLOOKUP('1. SUMMARY'!$C$20,rate,Sheet1!AH$21,0))</f>
        <v>0</v>
      </c>
      <c r="AX358" s="421">
        <f>IF(AX357=0,0,((+$K118/$AZ357)*AX357)*VLOOKUP('1. SUMMARY'!$C$20,rate,Sheet1!AI$21,0))</f>
        <v>0</v>
      </c>
      <c r="AY358" s="421">
        <f>IF(AY357=0,0,((+$K118/$AZ357)*AY357)*VLOOKUP('1. SUMMARY'!$C$20,rate,Sheet1!AJ$21,0))</f>
        <v>0</v>
      </c>
      <c r="AZ358" s="421">
        <f>SUM(AI358:AY358)</f>
        <v>0</v>
      </c>
    </row>
    <row r="359" spans="15:52" hidden="1">
      <c r="Q359" s="421">
        <f>+Q358/VLOOKUP('1. SUMMARY'!$C$20,rate,Sheet1!T$21,0)</f>
        <v>0</v>
      </c>
      <c r="R359" s="421">
        <f>+R358/VLOOKUP('1. SUMMARY'!$C$20,rate,Sheet1!U$21,0)</f>
        <v>0</v>
      </c>
      <c r="S359" s="421">
        <f>+S358/VLOOKUP('1. SUMMARY'!$C$20,rate,Sheet1!V$21,0)</f>
        <v>0</v>
      </c>
      <c r="T359" s="421">
        <f>+T358/VLOOKUP('1. SUMMARY'!$C$20,rate,Sheet1!W$21,0)</f>
        <v>0</v>
      </c>
      <c r="U359" s="421">
        <f>+U358/VLOOKUP('1. SUMMARY'!$C$20,rate,Sheet1!X$21,0)</f>
        <v>0</v>
      </c>
      <c r="V359" s="421">
        <f>+V358/VLOOKUP('1. SUMMARY'!$C$20,rate,Sheet1!Y$21,0)</f>
        <v>0</v>
      </c>
      <c r="W359" s="421">
        <f>+W358/VLOOKUP('1. SUMMARY'!$C$20,rate,Sheet1!Z$21,0)</f>
        <v>0</v>
      </c>
      <c r="X359" s="421">
        <f>+X358/VLOOKUP('1. SUMMARY'!$C$20,rate,Sheet1!AA$21,0)</f>
        <v>0</v>
      </c>
      <c r="Y359" s="421">
        <f>+Y358/VLOOKUP('1. SUMMARY'!$C$20,rate,Sheet1!AB$21,0)</f>
        <v>0</v>
      </c>
      <c r="Z359" s="421">
        <f>+Z358/VLOOKUP('1. SUMMARY'!$C$20,rate,Sheet1!AC$21,0)</f>
        <v>0</v>
      </c>
      <c r="AA359" s="421">
        <f>+AA358/VLOOKUP('1. SUMMARY'!$C$20,rate,Sheet1!AD$21,0)</f>
        <v>0</v>
      </c>
      <c r="AB359" s="421">
        <f>+AB358/VLOOKUP('1. SUMMARY'!$C$20,rate,Sheet1!AE$21,0)</f>
        <v>0</v>
      </c>
      <c r="AC359" s="421">
        <f>+AC358/VLOOKUP('1. SUMMARY'!$C$20,rate,Sheet1!AF$21,0)</f>
        <v>0</v>
      </c>
      <c r="AD359" s="421">
        <f>+AD358/VLOOKUP('1. SUMMARY'!$C$20,rate,Sheet1!AG$21,0)</f>
        <v>0</v>
      </c>
      <c r="AE359" s="421">
        <f>+AE358/VLOOKUP('1. SUMMARY'!$C$20,rate,Sheet1!AH$21,0)</f>
        <v>0</v>
      </c>
      <c r="AF359" s="421">
        <f>+AF358/VLOOKUP('1. SUMMARY'!$C$20,rate,Sheet1!AI$21,0)</f>
        <v>0</v>
      </c>
      <c r="AG359" s="421">
        <f>+AG358/VLOOKUP('1. SUMMARY'!$C$20,rate,Sheet1!AJ$21,0)</f>
        <v>0</v>
      </c>
      <c r="AH359" s="219"/>
      <c r="AI359" s="421"/>
      <c r="AJ359" s="421"/>
      <c r="AK359" s="421"/>
      <c r="AL359" s="421"/>
      <c r="AM359" s="421"/>
      <c r="AN359" s="421"/>
      <c r="AO359" s="421"/>
      <c r="AP359" s="421"/>
      <c r="AQ359" s="421"/>
      <c r="AR359" s="421"/>
      <c r="AS359" s="421"/>
      <c r="AT359" s="421"/>
      <c r="AU359" s="421"/>
      <c r="AV359" s="421"/>
      <c r="AW359" s="421"/>
      <c r="AX359" s="421"/>
      <c r="AY359" s="421"/>
      <c r="AZ359" s="421"/>
    </row>
    <row r="360" spans="15:52" hidden="1">
      <c r="P360" s="207">
        <f>IF(Q485=39356,(+P334+1),P334)</f>
        <v>1</v>
      </c>
      <c r="Q360" s="396">
        <f>Sheet1!$T$8</f>
        <v>44105</v>
      </c>
      <c r="R360" s="396">
        <f>Sheet1!$U$8</f>
        <v>44470</v>
      </c>
      <c r="S360" s="396">
        <f>Sheet1!$V$8</f>
        <v>44835</v>
      </c>
      <c r="T360" s="396">
        <f>Sheet1!$W$8</f>
        <v>45200</v>
      </c>
      <c r="U360" s="396">
        <f>Sheet1!$X$8</f>
        <v>45566</v>
      </c>
      <c r="V360" s="396">
        <f>Sheet1!$Y$8</f>
        <v>45931</v>
      </c>
      <c r="W360" s="396">
        <f>Sheet1!$Z$8</f>
        <v>46296</v>
      </c>
      <c r="X360" s="396">
        <f>Sheet1!$AA$8</f>
        <v>46661</v>
      </c>
      <c r="Y360" s="396">
        <f>Sheet1!$AB$8</f>
        <v>47027</v>
      </c>
      <c r="Z360" s="396">
        <f>Sheet1!$AC$8</f>
        <v>47392</v>
      </c>
      <c r="AA360" s="396">
        <f>$AA$5</f>
        <v>47757</v>
      </c>
      <c r="AB360" s="396">
        <f>$AB$5</f>
        <v>48122</v>
      </c>
      <c r="AC360" s="396">
        <f>$AC$5</f>
        <v>48488</v>
      </c>
      <c r="AD360" s="396">
        <f>$AD$5</f>
        <v>48853</v>
      </c>
      <c r="AE360" s="396">
        <f>$AE$5</f>
        <v>49218</v>
      </c>
      <c r="AF360" s="396">
        <f>$AF$5</f>
        <v>49583</v>
      </c>
      <c r="AG360" s="396">
        <f>$AG$5</f>
        <v>49949</v>
      </c>
      <c r="AH360" s="211"/>
      <c r="AI360" s="396">
        <f t="shared" ref="AI360:AR362" si="170">+Q360</f>
        <v>44105</v>
      </c>
      <c r="AJ360" s="396">
        <f t="shared" si="170"/>
        <v>44470</v>
      </c>
      <c r="AK360" s="396">
        <f t="shared" si="170"/>
        <v>44835</v>
      </c>
      <c r="AL360" s="396">
        <f t="shared" si="170"/>
        <v>45200</v>
      </c>
      <c r="AM360" s="396">
        <f t="shared" si="170"/>
        <v>45566</v>
      </c>
      <c r="AN360" s="396">
        <f t="shared" si="170"/>
        <v>45931</v>
      </c>
      <c r="AO360" s="396">
        <f t="shared" si="170"/>
        <v>46296</v>
      </c>
      <c r="AP360" s="396">
        <f t="shared" si="170"/>
        <v>46661</v>
      </c>
      <c r="AQ360" s="396">
        <f t="shared" si="170"/>
        <v>47027</v>
      </c>
      <c r="AR360" s="396">
        <f t="shared" si="170"/>
        <v>47392</v>
      </c>
      <c r="AS360" s="396">
        <f t="shared" ref="AS360:AY362" si="171">+AA360</f>
        <v>47757</v>
      </c>
      <c r="AT360" s="396">
        <f t="shared" si="171"/>
        <v>48122</v>
      </c>
      <c r="AU360" s="396">
        <f t="shared" si="171"/>
        <v>48488</v>
      </c>
      <c r="AV360" s="396">
        <f t="shared" si="171"/>
        <v>48853</v>
      </c>
      <c r="AW360" s="396">
        <f t="shared" si="171"/>
        <v>49218</v>
      </c>
      <c r="AX360" s="396">
        <f t="shared" si="171"/>
        <v>49583</v>
      </c>
      <c r="AY360" s="396">
        <f t="shared" si="171"/>
        <v>49949</v>
      </c>
      <c r="AZ360" s="396"/>
    </row>
    <row r="361" spans="15:52" hidden="1">
      <c r="P361" s="207">
        <f t="shared" ref="P361:P369" si="172">IF(Q486=39356,(+P360+1),P360)</f>
        <v>1</v>
      </c>
      <c r="Q361" s="396">
        <f>Sheet1!$T$9</f>
        <v>44469</v>
      </c>
      <c r="R361" s="396">
        <f>Sheet1!$U$9</f>
        <v>44834</v>
      </c>
      <c r="S361" s="396">
        <f>Sheet1!$V$9</f>
        <v>45199</v>
      </c>
      <c r="T361" s="396">
        <f>Sheet1!$W$9</f>
        <v>45565</v>
      </c>
      <c r="U361" s="396">
        <f>Sheet1!$X$9</f>
        <v>45930</v>
      </c>
      <c r="V361" s="396">
        <f>Sheet1!$Y$9</f>
        <v>46295</v>
      </c>
      <c r="W361" s="396">
        <f>Sheet1!$Z$9</f>
        <v>46660</v>
      </c>
      <c r="X361" s="396">
        <f>Sheet1!$AA$9</f>
        <v>47026</v>
      </c>
      <c r="Y361" s="396">
        <f>Sheet1!$AB$9</f>
        <v>47391</v>
      </c>
      <c r="Z361" s="396">
        <f>Sheet1!$AC$9</f>
        <v>47756</v>
      </c>
      <c r="AA361" s="396">
        <f>$AA$6</f>
        <v>48121</v>
      </c>
      <c r="AB361" s="396">
        <f>$AB$6</f>
        <v>48487</v>
      </c>
      <c r="AC361" s="396">
        <f>$AC$6</f>
        <v>48852</v>
      </c>
      <c r="AD361" s="396">
        <f>$AD$6</f>
        <v>49217</v>
      </c>
      <c r="AE361" s="396">
        <f>$AE$6</f>
        <v>49582</v>
      </c>
      <c r="AF361" s="396">
        <f>$AF$6</f>
        <v>49948</v>
      </c>
      <c r="AG361" s="396">
        <f>$AG$6</f>
        <v>50313</v>
      </c>
      <c r="AH361" s="211"/>
      <c r="AI361" s="396">
        <f t="shared" si="170"/>
        <v>44469</v>
      </c>
      <c r="AJ361" s="396">
        <f t="shared" si="170"/>
        <v>44834</v>
      </c>
      <c r="AK361" s="396">
        <f t="shared" si="170"/>
        <v>45199</v>
      </c>
      <c r="AL361" s="396">
        <f t="shared" si="170"/>
        <v>45565</v>
      </c>
      <c r="AM361" s="396">
        <f t="shared" si="170"/>
        <v>45930</v>
      </c>
      <c r="AN361" s="396">
        <f t="shared" si="170"/>
        <v>46295</v>
      </c>
      <c r="AO361" s="396">
        <f t="shared" si="170"/>
        <v>46660</v>
      </c>
      <c r="AP361" s="396">
        <f t="shared" si="170"/>
        <v>47026</v>
      </c>
      <c r="AQ361" s="396">
        <f t="shared" si="170"/>
        <v>47391</v>
      </c>
      <c r="AR361" s="396">
        <f t="shared" si="170"/>
        <v>47756</v>
      </c>
      <c r="AS361" s="396">
        <f t="shared" si="171"/>
        <v>48121</v>
      </c>
      <c r="AT361" s="396">
        <f t="shared" si="171"/>
        <v>48487</v>
      </c>
      <c r="AU361" s="396">
        <f t="shared" si="171"/>
        <v>48852</v>
      </c>
      <c r="AV361" s="396">
        <f t="shared" si="171"/>
        <v>49217</v>
      </c>
      <c r="AW361" s="396">
        <f t="shared" si="171"/>
        <v>49582</v>
      </c>
      <c r="AX361" s="396">
        <f t="shared" si="171"/>
        <v>49948</v>
      </c>
      <c r="AY361" s="396">
        <f t="shared" si="171"/>
        <v>50313</v>
      </c>
      <c r="AZ361" s="396"/>
    </row>
    <row r="362" spans="15:52" hidden="1">
      <c r="O362" s="207" t="s">
        <v>248</v>
      </c>
      <c r="P362" s="207">
        <f t="shared" si="172"/>
        <v>1</v>
      </c>
      <c r="Q362" s="397">
        <f>IF(IF(Q361&lt;$B$27,0,DATEDIF($B$27,Q361+1,"m"))&lt;0,0,IF(Q361&lt;$B$27,0,DATEDIF($B$27,Q361+1,"m")))</f>
        <v>1461</v>
      </c>
      <c r="R362" s="397">
        <f>IF(IF(Q362=12,0,IF(R361&gt;$B$28,12-DATEDIF($B$28,R361+1,"m"),IF(R361&lt;$B$27,0,DATEDIF($B$27,R361+1,"m"))))&lt;0,0,IF(Q362=12,0,IF(R361&gt;$B$28,12-DATEDIF($B$28,R361+1,"m"),IF(R361&lt;$B$27,0,DATEDIF($B$27,R361+1,"m")))))</f>
        <v>0</v>
      </c>
      <c r="S362" s="397">
        <f>IF(IF(Q362+R362=12,0,IF(S361&gt;$B$28,12-DATEDIF($B$28,S361+1,"m"),IF(S361&lt;$B$27,0,DATEDIF($B$27,S361+1,"m"))))&lt;0,0,IF(Q362+R362=12,0,IF(S361&gt;$B$28,12-DATEDIF($B$28,S361+1,"m"),IF(S361&lt;$B$27,0,DATEDIF($B$27,S361+1,"m")))))</f>
        <v>0</v>
      </c>
      <c r="T362" s="397">
        <f>IF(IF(R362+S362+Q362=12,0,IF(T361&gt;$B$28,12-DATEDIF($B$28,T361+1,"m"),IF(T361&lt;$B$27,0,DATEDIF($B$27,T361+1,"m"))))&lt;0,0,IF(R362+S362+Q362=12,0,IF(T361&gt;$B$28,12-DATEDIF($B$28,T361+1,"m"),IF(T361&lt;$B$27,0,DATEDIF($B$27,T361+1,"m")))))</f>
        <v>0</v>
      </c>
      <c r="U362" s="397">
        <f>IF(IF(S362+T362+R362+Q362=12,0,IF(U361&gt;$B$28,12-DATEDIF($B$28,U361+1,"m"),IF(U361&lt;$B$27,0,DATEDIF($B$27,U361+1,"m"))))&lt;0,0,IF(S362+T362+R362+Q362=12,0,IF(U361&gt;$B$28,12-DATEDIF($B$28,U361+1,"m"),IF(U361&lt;$B$27,0,DATEDIF($B$27,U361+1,"m")))))</f>
        <v>0</v>
      </c>
      <c r="V362" s="397">
        <f>IF(IF(T362+U362+S362+R362+Q362=12,0,IF(V361&gt;$B$28,12-DATEDIF($B$28,V361+1,"m"),IF(V361&lt;$B$27,0,DATEDIF($B$27,V361+1,"m"))))&lt;0,0,IF(T362+U362+S362+R362+Q362=12,0,IF(V361&gt;$B$28,12-DATEDIF($B$28,V361+1,"m"),IF(V361&lt;$B$27,0,DATEDIF($B$27,V361+1,"m")))))</f>
        <v>0</v>
      </c>
      <c r="W362" s="397">
        <f>IF(IF(U362+V362+T362+S362+R362+Q362=12,0,IF(W361&gt;$B$28,12-DATEDIF($B$28,W361+1,"m"),IF(W361&lt;$B$27,0,DATEDIF($B$27,W361+1,"m"))))&lt;0,0,IF(U362+V362+T362+S362+R362+Q362=12,0,IF(W361&gt;$B$28,12-DATEDIF($B$28,W361+1,"m"),IF(W361&lt;$B$27,0,DATEDIF($B$27,W361+1,"m")))))</f>
        <v>0</v>
      </c>
      <c r="X362" s="397">
        <f>IF(IF(V362+W362+U362+T362+S362+R362+Q362=12,0,IF(X361&gt;$B$28,12-DATEDIF($B$28,X361+1,"m"),IF(X361&lt;$B$27,0,DATEDIF($B$27,X361+1,"m"))))&lt;0,0,IF(V362+W362+U362+T362+S362+R362+Q362=12,0,IF(X361&gt;$B$28,12-DATEDIF($B$28,X361+1,"m"),IF(X361&lt;$B$27,0,DATEDIF($B$27,X361+1,"m")))))</f>
        <v>0</v>
      </c>
      <c r="Y362" s="397">
        <f>IF(IF(W362+X362+V362+U362+T362+S362+R362=12,0,IF(Y361&gt;$B$28,12-DATEDIF($B$28,Y361+1,"m"),IF(Y361&lt;$B$27,0,DATEDIF($B$27,Y361+1,"m"))))&lt;0,0,IF(W362+X362+V362+U362+T362+S362+R362=12,0,IF(Y361&gt;$B$28,12-DATEDIF($B$28,Y361+1,"m"),IF(Y361&lt;$B$27,0,DATEDIF($B$27,Y361+1,"m")))))</f>
        <v>0</v>
      </c>
      <c r="Z362" s="397">
        <f>IF(IF(X362+Y362+W362+V362+U362+T362+S362=12,0,IF(Z361&gt;$B$28,12-DATEDIF($B$28,Z361+1,"m"),IF(Z361&lt;$B$27,0,DATEDIF($B$27,Z361+1,"m"))))&lt;0,0,IF(X362+Y362+W362+V362+U362+T362+S362=12,0,IF(Z361&gt;$B$28,12-DATEDIF($B$28,Z361+1,"m"),IF(Z361&lt;$B$27,0,DATEDIF($B$27,Z361+1,"m")))))</f>
        <v>0</v>
      </c>
      <c r="AA362" s="397"/>
      <c r="AB362" s="397"/>
      <c r="AC362" s="397"/>
      <c r="AD362" s="397"/>
      <c r="AE362" s="397"/>
      <c r="AF362" s="397"/>
      <c r="AG362" s="397"/>
      <c r="AH362" s="423">
        <f>SUM(Q362:AG362)</f>
        <v>1461</v>
      </c>
      <c r="AI362" s="397">
        <f t="shared" si="170"/>
        <v>1461</v>
      </c>
      <c r="AJ362" s="397">
        <f t="shared" si="170"/>
        <v>0</v>
      </c>
      <c r="AK362" s="397">
        <f t="shared" si="170"/>
        <v>0</v>
      </c>
      <c r="AL362" s="397">
        <f t="shared" si="170"/>
        <v>0</v>
      </c>
      <c r="AM362" s="397">
        <f t="shared" si="170"/>
        <v>0</v>
      </c>
      <c r="AN362" s="397">
        <f t="shared" si="170"/>
        <v>0</v>
      </c>
      <c r="AO362" s="397">
        <f t="shared" si="170"/>
        <v>0</v>
      </c>
      <c r="AP362" s="397">
        <f t="shared" si="170"/>
        <v>0</v>
      </c>
      <c r="AQ362" s="397">
        <f t="shared" si="170"/>
        <v>0</v>
      </c>
      <c r="AR362" s="397">
        <f t="shared" si="170"/>
        <v>0</v>
      </c>
      <c r="AS362" s="397">
        <f t="shared" si="171"/>
        <v>0</v>
      </c>
      <c r="AT362" s="397">
        <f t="shared" si="171"/>
        <v>0</v>
      </c>
      <c r="AU362" s="397">
        <f t="shared" si="171"/>
        <v>0</v>
      </c>
      <c r="AV362" s="397">
        <f t="shared" si="171"/>
        <v>0</v>
      </c>
      <c r="AW362" s="397">
        <f t="shared" si="171"/>
        <v>0</v>
      </c>
      <c r="AX362" s="397">
        <f t="shared" si="171"/>
        <v>0</v>
      </c>
      <c r="AY362" s="397">
        <f t="shared" si="171"/>
        <v>0</v>
      </c>
      <c r="AZ362" s="397">
        <f>SUM(AI362:AY362)</f>
        <v>1461</v>
      </c>
    </row>
    <row r="363" spans="15:52" hidden="1">
      <c r="P363" s="207">
        <f t="shared" si="172"/>
        <v>1</v>
      </c>
      <c r="Q363" s="398">
        <f>IF(Q362=0,0,(IF($B$135&gt;25000,((25000/+$AH362)*Q362)*VLOOKUP('1. SUMMARY'!$C$20,rate,Sheet1!T$21,0),(($B$135/+$AH362)*Q362)*VLOOKUP('1. SUMMARY'!$C$20,rate,Sheet1!T$21,0))))</f>
        <v>0</v>
      </c>
      <c r="R363" s="398">
        <f>IF(R362=0,0,(IF($B$135&gt;25000,((25000/+$AH362)*R362)*VLOOKUP('1. SUMMARY'!$C$20,rate,Sheet1!U$21,0),(($B$135/+$AH362)*R362)*VLOOKUP('1. SUMMARY'!$C$20,rate,Sheet1!U$21,0))))</f>
        <v>0</v>
      </c>
      <c r="S363" s="398">
        <f>IF(S362=0,0,(IF($B$135&gt;25000,((25000/+$AH362)*S362)*VLOOKUP('1. SUMMARY'!$C$20,rate,Sheet1!V$21,0),(($B$135/+$AH362)*S362)*VLOOKUP('1. SUMMARY'!$C$20,rate,Sheet1!V$21,0))))</f>
        <v>0</v>
      </c>
      <c r="T363" s="398">
        <f>IF(T362=0,0,(IF($B$135&gt;25000,((25000/+$AH362)*T362)*VLOOKUP('1. SUMMARY'!$C$20,rate,Sheet1!W$21,0),(($B$135/+$AH362)*T362)*VLOOKUP('1. SUMMARY'!$C$20,rate,Sheet1!W$21,0))))</f>
        <v>0</v>
      </c>
      <c r="U363" s="398">
        <f>IF(U362=0,0,(IF($B$135&gt;25000,((25000/+$AH362)*U362)*VLOOKUP('1. SUMMARY'!$C$20,rate,Sheet1!X$21,0),(($B$135/+$AH362)*U362)*VLOOKUP('1. SUMMARY'!$C$20,rate,Sheet1!X$21,0))))</f>
        <v>0</v>
      </c>
      <c r="V363" s="398">
        <f>IF(V362=0,0,(IF($B$135&gt;25000,((25000/+$AH362)*V362)*VLOOKUP('1. SUMMARY'!$C$20,rate,Sheet1!Y$21,0),(($B$135/+$AH362)*V362)*VLOOKUP('1. SUMMARY'!$C$20,rate,Sheet1!Y$21,0))))</f>
        <v>0</v>
      </c>
      <c r="W363" s="398">
        <f>IF(W362=0,0,(IF($B$135&gt;25000,((25000/+$AH362)*W362)*VLOOKUP('1. SUMMARY'!$C$20,rate,Sheet1!Z$21,0),(($B$135/+$AH362)*W362)*VLOOKUP('1. SUMMARY'!$C$20,rate,Sheet1!Z$21,0))))</f>
        <v>0</v>
      </c>
      <c r="X363" s="398">
        <f>IF(X362=0,0,(IF($B$135&gt;25000,((25000/+$AH362)*X362)*VLOOKUP('1. SUMMARY'!$C$20,rate,Sheet1!AA$21,0),(($B$135/+$AH362)*X362)*VLOOKUP('1. SUMMARY'!$C$20,rate,Sheet1!AA$21,0))))</f>
        <v>0</v>
      </c>
      <c r="Y363" s="398">
        <f>IF(Y362=0,0,(IF($B$135&gt;25000,((25000/+$AH362)*Y362)*VLOOKUP('1. SUMMARY'!$C$20,rate,Sheet1!AB$21,0),(($B$135/+$AH362)*Y362)*VLOOKUP('1. SUMMARY'!$C$20,rate,Sheet1!AB$21,0))))</f>
        <v>0</v>
      </c>
      <c r="Z363" s="398">
        <f>IF(Z362=0,0,(IF($B$135&gt;25000,((25000/+$AH362)*Z362)*VLOOKUP('1. SUMMARY'!$C$20,rate,Sheet1!AC$21,0),(($B$135/+$AH362)*Z362)*VLOOKUP('1. SUMMARY'!$C$20,rate,Sheet1!AC$21,0))))</f>
        <v>0</v>
      </c>
      <c r="AA363" s="398">
        <f>IF(AA362=0,0,(IF($B$135&gt;25000,((25000/+$AH362)*AA362)*VLOOKUP('1. SUMMARY'!$C$20,rate,Sheet1!AD$21,0),(($B$135/+$AH362)*AA362)*VLOOKUP('1. SUMMARY'!$C$20,rate,Sheet1!AD$21,0))))</f>
        <v>0</v>
      </c>
      <c r="AB363" s="398">
        <f>IF(AB362=0,0,(IF($B$135&gt;25000,((25000/+$AH362)*AB362)*VLOOKUP('1. SUMMARY'!$C$20,rate,Sheet1!AE$21,0),(($B$135/+$AH362)*AB362)*VLOOKUP('1. SUMMARY'!$C$20,rate,Sheet1!AE$21,0))))</f>
        <v>0</v>
      </c>
      <c r="AC363" s="398">
        <f>IF(AC362=0,0,(IF($B$135&gt;25000,((25000/+$AH362)*AC362)*VLOOKUP('1. SUMMARY'!$C$20,rate,Sheet1!AF$21,0),(($B$135/+$AH362)*AC362)*VLOOKUP('1. SUMMARY'!$C$20,rate,Sheet1!AF$21,0))))</f>
        <v>0</v>
      </c>
      <c r="AD363" s="398">
        <f>IF(AD362=0,0,(IF($B$135&gt;25000,((25000/+$AH362)*AD362)*VLOOKUP('1. SUMMARY'!$C$20,rate,Sheet1!AG$21,0),(($B$135/+$AH362)*AD362)*VLOOKUP('1. SUMMARY'!$C$20,rate,Sheet1!AG$21,0))))</f>
        <v>0</v>
      </c>
      <c r="AE363" s="398">
        <f>IF(AE362=0,0,(IF($B$135&gt;25000,((25000/+$AH362)*AE362)*VLOOKUP('1. SUMMARY'!$C$20,rate,Sheet1!AH$21,0),(($B$135/+$AH362)*AE362)*VLOOKUP('1. SUMMARY'!$C$20,rate,Sheet1!AH$21,0))))</f>
        <v>0</v>
      </c>
      <c r="AF363" s="398">
        <f>IF(AF362=0,0,(IF($B$135&gt;25000,((25000/+$AH362)*AF362)*VLOOKUP('1. SUMMARY'!$C$20,rate,Sheet1!AI$21,0),(($B$135/+$AH362)*AF362)*VLOOKUP('1. SUMMARY'!$C$20,rate,Sheet1!AI$21,0))))</f>
        <v>0</v>
      </c>
      <c r="AG363" s="398">
        <f>IF(AG362=0,0,(IF($B$135&gt;25000,((25000/+$AH362)*AG362)*VLOOKUP('1. SUMMARY'!$C$20,rate,Sheet1!AJ$21,0),(($B$135/+$AH362)*AG362)*VLOOKUP('1. SUMMARY'!$C$20,rate,Sheet1!AJ$21,0))))</f>
        <v>0</v>
      </c>
      <c r="AH363" s="219">
        <f>SUM(Q363:AG363)</f>
        <v>0</v>
      </c>
      <c r="AI363" s="398">
        <f>IF(Q362=0,0,((+$B135/$AZ362)*AI362)*VLOOKUP('1. SUMMARY'!$C$20,rate,Sheet1!T$21,0))</f>
        <v>0</v>
      </c>
      <c r="AJ363" s="398">
        <f>IF(R362=0,0,((+$B135/$AZ362)*AJ362)*VLOOKUP('1. SUMMARY'!$C$20,rate,Sheet1!U$21,0))</f>
        <v>0</v>
      </c>
      <c r="AK363" s="398">
        <f>IF(S362=0,0,((+$B135/$AZ362)*AK362)*VLOOKUP('1. SUMMARY'!$C$20,rate,Sheet1!V$21,0))</f>
        <v>0</v>
      </c>
      <c r="AL363" s="398">
        <f>IF(T362=0,0,((+$B135/$AZ362)*AL362)*VLOOKUP('1. SUMMARY'!$C$20,rate,Sheet1!W$21,0))</f>
        <v>0</v>
      </c>
      <c r="AM363" s="398">
        <f>IF(U362=0,0,((+$B135/$AZ362)*AM362)*VLOOKUP('1. SUMMARY'!$C$20,rate,Sheet1!X$21,0))</f>
        <v>0</v>
      </c>
      <c r="AN363" s="398">
        <f>IF(V362=0,0,((+$B135/$AZ362)*AN362)*VLOOKUP('1. SUMMARY'!$C$20,rate,Sheet1!Y$21,0))</f>
        <v>0</v>
      </c>
      <c r="AO363" s="398">
        <f>IF(W362=0,0,((+$B135/$AZ362)*AO362)*VLOOKUP('1. SUMMARY'!$C$20,rate,Sheet1!Z$21,0))</f>
        <v>0</v>
      </c>
      <c r="AP363" s="398">
        <f>IF(X362=0,0,((+$B135/$AZ362)*AP362)*VLOOKUP('1. SUMMARY'!$C$20,rate,Sheet1!AA$21,0))</f>
        <v>0</v>
      </c>
      <c r="AQ363" s="398">
        <f>IF(Y362=0,0,((+$B135/$AZ362)*AQ362)*VLOOKUP('1. SUMMARY'!$C$20,rate,Sheet1!AB$21,0))</f>
        <v>0</v>
      </c>
      <c r="AR363" s="398">
        <f>IF(Z362=0,0,((+$B135/$AZ362)*AR362)*VLOOKUP('1. SUMMARY'!$C$20,rate,Sheet1!AC$21,0))</f>
        <v>0</v>
      </c>
      <c r="AS363" s="398">
        <f>IF(AA362=0,0,((+$B135/$AZ362)*AS362)*VLOOKUP('1. SUMMARY'!$C$20,rate,Sheet1!AD$21,0))</f>
        <v>0</v>
      </c>
      <c r="AT363" s="398">
        <f>IF(AB362=0,0,((+$B135/$AZ362)*AT362)*VLOOKUP('1. SUMMARY'!$C$20,rate,Sheet1!AE$21,0))</f>
        <v>0</v>
      </c>
      <c r="AU363" s="398">
        <f>IF(AC362=0,0,((+$B135/$AZ362)*AU362)*VLOOKUP('1. SUMMARY'!$C$20,rate,Sheet1!AF$21,0))</f>
        <v>0</v>
      </c>
      <c r="AV363" s="398">
        <f>IF(AD362=0,0,((+$B135/$AZ362)*AV362)*VLOOKUP('1. SUMMARY'!$C$20,rate,Sheet1!AG$21,0))</f>
        <v>0</v>
      </c>
      <c r="AW363" s="398">
        <f>IF(AE362=0,0,((+$B135/$AZ362)*AW362)*VLOOKUP('1. SUMMARY'!$C$20,rate,Sheet1!AH$21,0))</f>
        <v>0</v>
      </c>
      <c r="AX363" s="398">
        <f>IF(AF362=0,0,((+$B135/$AZ362)*AX362)*VLOOKUP('1. SUMMARY'!$C$20,rate,Sheet1!AI$21,0))</f>
        <v>0</v>
      </c>
      <c r="AY363" s="398">
        <f>IF(AG362=0,0,((+$B135/$AZ362)*AY362)*VLOOKUP('1. SUMMARY'!$C$20,rate,Sheet1!AJ$21,0))</f>
        <v>0</v>
      </c>
      <c r="AZ363" s="398">
        <f>SUM(AI363:AY363)</f>
        <v>0</v>
      </c>
    </row>
    <row r="364" spans="15:52" hidden="1">
      <c r="P364" s="207">
        <f t="shared" si="172"/>
        <v>1</v>
      </c>
      <c r="Q364" s="398">
        <f>+Q363/VLOOKUP('1. SUMMARY'!$C$20,rate,Sheet1!T$21,0)</f>
        <v>0</v>
      </c>
      <c r="R364" s="398">
        <f>+R363/VLOOKUP('1. SUMMARY'!$C$20,rate,Sheet1!U$21,0)</f>
        <v>0</v>
      </c>
      <c r="S364" s="398">
        <f>+S363/VLOOKUP('1. SUMMARY'!$C$20,rate,Sheet1!V$21,0)</f>
        <v>0</v>
      </c>
      <c r="T364" s="398">
        <f>+T363/VLOOKUP('1. SUMMARY'!$C$20,rate,Sheet1!W$21,0)</f>
        <v>0</v>
      </c>
      <c r="U364" s="398">
        <f>+U363/VLOOKUP('1. SUMMARY'!$C$20,rate,Sheet1!X$21,0)</f>
        <v>0</v>
      </c>
      <c r="V364" s="398">
        <f>+V363/VLOOKUP('1. SUMMARY'!$C$20,rate,Sheet1!Y$21,0)</f>
        <v>0</v>
      </c>
      <c r="W364" s="398">
        <f>+W363/VLOOKUP('1. SUMMARY'!$C$20,rate,Sheet1!Z$21,0)</f>
        <v>0</v>
      </c>
      <c r="X364" s="398">
        <f>+X363/VLOOKUP('1. SUMMARY'!$C$20,rate,Sheet1!AA$21,0)</f>
        <v>0</v>
      </c>
      <c r="Y364" s="398">
        <f>+Y363/VLOOKUP('1. SUMMARY'!$C$20,rate,Sheet1!AB$21,0)</f>
        <v>0</v>
      </c>
      <c r="Z364" s="398">
        <f>+Z363/VLOOKUP('1. SUMMARY'!$C$20,rate,Sheet1!AC$21,0)</f>
        <v>0</v>
      </c>
      <c r="AA364" s="398">
        <f>+AA363/VLOOKUP('1. SUMMARY'!$C$20,rate,Sheet1!AD$21,0)</f>
        <v>0</v>
      </c>
      <c r="AB364" s="398">
        <f>+AB363/VLOOKUP('1. SUMMARY'!$C$20,rate,Sheet1!AE$21,0)</f>
        <v>0</v>
      </c>
      <c r="AC364" s="398">
        <f>+AC363/VLOOKUP('1. SUMMARY'!$C$20,rate,Sheet1!AF$21,0)</f>
        <v>0</v>
      </c>
      <c r="AD364" s="398">
        <f>+AD363/VLOOKUP('1. SUMMARY'!$C$20,rate,Sheet1!AG$21,0)</f>
        <v>0</v>
      </c>
      <c r="AE364" s="398">
        <f>+AE363/VLOOKUP('1. SUMMARY'!$C$20,rate,Sheet1!AH$21,0)</f>
        <v>0</v>
      </c>
      <c r="AF364" s="398">
        <f>+AF363/VLOOKUP('1. SUMMARY'!$C$20,rate,Sheet1!AI$21,0)</f>
        <v>0</v>
      </c>
      <c r="AG364" s="398">
        <f>+AG363/VLOOKUP('1. SUMMARY'!$C$20,rate,Sheet1!AJ$21,0)</f>
        <v>0</v>
      </c>
      <c r="AH364" s="219"/>
      <c r="AI364" s="398">
        <v>0</v>
      </c>
      <c r="AJ364" s="398">
        <v>0</v>
      </c>
      <c r="AK364" s="398">
        <v>0</v>
      </c>
      <c r="AL364" s="398">
        <v>0</v>
      </c>
      <c r="AM364" s="398">
        <v>0</v>
      </c>
      <c r="AN364" s="398">
        <v>0</v>
      </c>
      <c r="AO364" s="398">
        <v>0</v>
      </c>
      <c r="AP364" s="398">
        <v>0</v>
      </c>
      <c r="AQ364" s="398"/>
      <c r="AR364" s="398"/>
      <c r="AS364" s="398"/>
      <c r="AT364" s="398"/>
      <c r="AU364" s="398"/>
      <c r="AV364" s="398"/>
      <c r="AW364" s="398"/>
      <c r="AX364" s="398"/>
      <c r="AY364" s="398"/>
      <c r="AZ364" s="398"/>
    </row>
    <row r="365" spans="15:52" hidden="1">
      <c r="P365" s="207">
        <f t="shared" si="172"/>
        <v>1</v>
      </c>
      <c r="Q365" s="402">
        <f>Sheet1!$T$8</f>
        <v>44105</v>
      </c>
      <c r="R365" s="402">
        <f>Sheet1!$U$8</f>
        <v>44470</v>
      </c>
      <c r="S365" s="402">
        <f>Sheet1!$V$8</f>
        <v>44835</v>
      </c>
      <c r="T365" s="402">
        <f>Sheet1!$W$8</f>
        <v>45200</v>
      </c>
      <c r="U365" s="402">
        <f>Sheet1!$X$8</f>
        <v>45566</v>
      </c>
      <c r="V365" s="402">
        <f>Sheet1!$Y$8</f>
        <v>45931</v>
      </c>
      <c r="W365" s="402">
        <f>Sheet1!$Z$8</f>
        <v>46296</v>
      </c>
      <c r="X365" s="402">
        <f>Sheet1!$AA$8</f>
        <v>46661</v>
      </c>
      <c r="Y365" s="402">
        <f>Sheet1!$AB$8</f>
        <v>47027</v>
      </c>
      <c r="Z365" s="402">
        <f>Sheet1!$AC$8</f>
        <v>47392</v>
      </c>
      <c r="AA365" s="402">
        <f>$AA$5</f>
        <v>47757</v>
      </c>
      <c r="AB365" s="402">
        <f>$AB$5</f>
        <v>48122</v>
      </c>
      <c r="AC365" s="402">
        <f>$AC$5</f>
        <v>48488</v>
      </c>
      <c r="AD365" s="402">
        <f>$AD$5</f>
        <v>48853</v>
      </c>
      <c r="AE365" s="402">
        <f>$AE$5</f>
        <v>49218</v>
      </c>
      <c r="AF365" s="402">
        <f>$AF$5</f>
        <v>49583</v>
      </c>
      <c r="AG365" s="402">
        <f>$AG$5</f>
        <v>49949</v>
      </c>
      <c r="AH365" s="211"/>
      <c r="AI365" s="402">
        <f t="shared" ref="AI365:AR367" si="173">+Q365</f>
        <v>44105</v>
      </c>
      <c r="AJ365" s="402">
        <f t="shared" si="173"/>
        <v>44470</v>
      </c>
      <c r="AK365" s="402">
        <f t="shared" si="173"/>
        <v>44835</v>
      </c>
      <c r="AL365" s="402">
        <f t="shared" si="173"/>
        <v>45200</v>
      </c>
      <c r="AM365" s="402">
        <f t="shared" si="173"/>
        <v>45566</v>
      </c>
      <c r="AN365" s="402">
        <f t="shared" si="173"/>
        <v>45931</v>
      </c>
      <c r="AO365" s="402">
        <f t="shared" si="173"/>
        <v>46296</v>
      </c>
      <c r="AP365" s="402">
        <f t="shared" si="173"/>
        <v>46661</v>
      </c>
      <c r="AQ365" s="402">
        <f t="shared" si="173"/>
        <v>47027</v>
      </c>
      <c r="AR365" s="402">
        <f t="shared" si="173"/>
        <v>47392</v>
      </c>
      <c r="AS365" s="402">
        <f t="shared" ref="AS365:AY367" si="174">+AA365</f>
        <v>47757</v>
      </c>
      <c r="AT365" s="402">
        <f t="shared" si="174"/>
        <v>48122</v>
      </c>
      <c r="AU365" s="402">
        <f t="shared" si="174"/>
        <v>48488</v>
      </c>
      <c r="AV365" s="402">
        <f t="shared" si="174"/>
        <v>48853</v>
      </c>
      <c r="AW365" s="402">
        <f t="shared" si="174"/>
        <v>49218</v>
      </c>
      <c r="AX365" s="402">
        <f t="shared" si="174"/>
        <v>49583</v>
      </c>
      <c r="AY365" s="402">
        <f t="shared" si="174"/>
        <v>49949</v>
      </c>
      <c r="AZ365" s="402"/>
    </row>
    <row r="366" spans="15:52" hidden="1">
      <c r="P366" s="207">
        <f t="shared" si="172"/>
        <v>1</v>
      </c>
      <c r="Q366" s="402">
        <f>Sheet1!$T$9</f>
        <v>44469</v>
      </c>
      <c r="R366" s="402">
        <f>Sheet1!$U$9</f>
        <v>44834</v>
      </c>
      <c r="S366" s="402">
        <f>Sheet1!$V$9</f>
        <v>45199</v>
      </c>
      <c r="T366" s="402">
        <f>Sheet1!$W$9</f>
        <v>45565</v>
      </c>
      <c r="U366" s="402">
        <f>Sheet1!$X$9</f>
        <v>45930</v>
      </c>
      <c r="V366" s="402">
        <f>Sheet1!$Y$9</f>
        <v>46295</v>
      </c>
      <c r="W366" s="402">
        <f>Sheet1!$Z$9</f>
        <v>46660</v>
      </c>
      <c r="X366" s="402">
        <f>Sheet1!$AA$9</f>
        <v>47026</v>
      </c>
      <c r="Y366" s="402">
        <f>Sheet1!$AB$9</f>
        <v>47391</v>
      </c>
      <c r="Z366" s="402">
        <f>Sheet1!$AC$9</f>
        <v>47756</v>
      </c>
      <c r="AA366" s="402">
        <f>$AA$6</f>
        <v>48121</v>
      </c>
      <c r="AB366" s="402">
        <f>$AB$6</f>
        <v>48487</v>
      </c>
      <c r="AC366" s="402">
        <f>$AC$6</f>
        <v>48852</v>
      </c>
      <c r="AD366" s="402">
        <f>$AD$6</f>
        <v>49217</v>
      </c>
      <c r="AE366" s="402">
        <f>$AE$6</f>
        <v>49582</v>
      </c>
      <c r="AF366" s="402">
        <f>$AF$6</f>
        <v>49948</v>
      </c>
      <c r="AG366" s="402">
        <f>$AG$6</f>
        <v>50313</v>
      </c>
      <c r="AH366" s="211"/>
      <c r="AI366" s="402">
        <f t="shared" si="173"/>
        <v>44469</v>
      </c>
      <c r="AJ366" s="402">
        <f t="shared" si="173"/>
        <v>44834</v>
      </c>
      <c r="AK366" s="402">
        <f t="shared" si="173"/>
        <v>45199</v>
      </c>
      <c r="AL366" s="402">
        <f t="shared" si="173"/>
        <v>45565</v>
      </c>
      <c r="AM366" s="402">
        <f t="shared" si="173"/>
        <v>45930</v>
      </c>
      <c r="AN366" s="402">
        <f t="shared" si="173"/>
        <v>46295</v>
      </c>
      <c r="AO366" s="402">
        <f t="shared" si="173"/>
        <v>46660</v>
      </c>
      <c r="AP366" s="402">
        <f t="shared" si="173"/>
        <v>47026</v>
      </c>
      <c r="AQ366" s="402">
        <f t="shared" si="173"/>
        <v>47391</v>
      </c>
      <c r="AR366" s="402">
        <f t="shared" si="173"/>
        <v>47756</v>
      </c>
      <c r="AS366" s="402">
        <f t="shared" si="174"/>
        <v>48121</v>
      </c>
      <c r="AT366" s="402">
        <f t="shared" si="174"/>
        <v>48487</v>
      </c>
      <c r="AU366" s="402">
        <f t="shared" si="174"/>
        <v>48852</v>
      </c>
      <c r="AV366" s="402">
        <f t="shared" si="174"/>
        <v>49217</v>
      </c>
      <c r="AW366" s="402">
        <f t="shared" si="174"/>
        <v>49582</v>
      </c>
      <c r="AX366" s="402">
        <f t="shared" si="174"/>
        <v>49948</v>
      </c>
      <c r="AY366" s="402">
        <f t="shared" si="174"/>
        <v>50313</v>
      </c>
      <c r="AZ366" s="402"/>
    </row>
    <row r="367" spans="15:52" hidden="1">
      <c r="O367" s="207" t="s">
        <v>249</v>
      </c>
      <c r="P367" s="207">
        <f t="shared" si="172"/>
        <v>1</v>
      </c>
      <c r="Q367" s="403">
        <f>IF(IF(Q366&lt;$C$27,0,DATEDIF($C$27,Q366+1,"m"))&lt;0,0,IF(Q366&lt;$C$27,0,DATEDIF($C$27,Q366+1,"m")))</f>
        <v>0</v>
      </c>
      <c r="R367" s="403">
        <f>IF(IF(Q367=12,0,IF(R366&gt;$C$28,12-DATEDIF($C$28,R366+1,"m"),IF(R366&lt;$C$27,0,DATEDIF($C$27,R366+1,"m"))))&lt;0,0,IF(Q367=12,0,IF(R366&gt;$C$28,12-DATEDIF($C$28,R366+1,"m"),IF(R366&lt;$C$27,0,DATEDIF($C$27,R366+1,"m")))))</f>
        <v>0</v>
      </c>
      <c r="S367" s="403">
        <f>IF(IF(Q367+R367=12,0,IF(S366&gt;$C$28,12-DATEDIF($C$28,S366+1,"m"),IF(S366&lt;$C$27,0,DATEDIF($C$27,S366+1,"m"))))&lt;0,0,IF(Q367+R367=12,0,IF(S366&gt;$C$28,12-DATEDIF($C$28,S366+1,"m"),IF(S366&lt;$C$27,0,DATEDIF($C$27,S366+1,"m")))))</f>
        <v>0</v>
      </c>
      <c r="T367" s="403">
        <f>IF(IF(R367+S367+Q367=12,0,IF(T366&gt;$C$28,12-DATEDIF($C$28,T366+1,"m"),IF(T366&lt;$C$27,0,DATEDIF($C$27,T366+1,"m"))))&lt;0,0,IF(R367+S367+Q367=12,0,IF(T366&gt;$C$28,12-DATEDIF($C$28,T366+1,"m"),IF(T366&lt;$C$27,0,DATEDIF($C$27,T366+1,"m")))))</f>
        <v>0</v>
      </c>
      <c r="U367" s="403">
        <f>IF(IF(S367+T367+R367+Q367=12,0,IF(U366&gt;$C$28,12-DATEDIF($C$28,U366+1,"m"),IF(U366&lt;$C$27,0,DATEDIF($C$27,U366+1,"m"))))&lt;0,0,IF(S367+T367+R367+Q367=12,0,IF(U366&gt;$C$28,12-DATEDIF($C$28,U366+1,"m"),IF(U366&lt;$C$27,0,DATEDIF($C$27,U366+1,"m")))))</f>
        <v>0</v>
      </c>
      <c r="V367" s="403">
        <f>IF(IF(T367+U367+S367+R367+Q367=12,0,IF(V366&gt;$C$28,12-DATEDIF($C$28,V366+1,"m"),IF(V366&lt;$C$27,0,DATEDIF($C$27,V366+1,"m"))))&lt;0,0,IF(T367+U367+S367+R367+Q367=12,0,IF(V366&gt;$C$28,12-DATEDIF($C$28,V366+1,"m"),IF(V366&lt;$C$27,0,DATEDIF($C$27,V366+1,"m")))))</f>
        <v>0</v>
      </c>
      <c r="W367" s="403">
        <f>IF(IF(U367+V367+T367+S367+R367+Q367=12,0,IF(W366&gt;$C$28,12-DATEDIF($C$28,W366+1,"m"),IF(W366&lt;$C$27,0,DATEDIF($C$27,W366+1,"m"))))&lt;0,0,IF(U367+V367+T367+S367+R367+Q367=12,0,IF(W366&gt;$C$28,12-DATEDIF($C$28,W366+1,"m"),IF(W366&lt;$C$27,0,DATEDIF($C$27,W366+1,"m")))))</f>
        <v>0</v>
      </c>
      <c r="X367" s="403">
        <f>IF(IF(V367+W367+U367+T367+S367+R367+Q367=12,0,IF(X366&gt;$C$28,12-DATEDIF($C$28,X366+1,"m"),IF(X366&lt;$C$27,0,DATEDIF($C$27,X366+1,"m"))))&lt;0,0,IF(V367+W367+U367+T367+S367+R367+Q367=12,0,IF(X366&gt;$C$28,12-DATEDIF($C$28,X366+1,"m"),IF(X366&lt;$C$27,0,DATEDIF($C$27,X366+1,"m")))))</f>
        <v>0</v>
      </c>
      <c r="Y367" s="403">
        <f>IF(IF(Q367+W367+X367+V367+U367+T367+S367+R367=12,0,IF(Y366&gt;$C$28,12-DATEDIF($C$28,Y366+1,"m"),IF(Y366&lt;$C$27,0,DATEDIF($C$27,Y366+1,"m"))))&lt;0,0,IF(Q367+W367+X367+V367+U367+T367+S367+R367=12,0,IF(Y366&gt;$C$28,12-DATEDIF($C$28,Y366+1,"m"),IF(Y366&lt;$C$27,0,DATEDIF($C$27,Y366+1,"m")))))</f>
        <v>0</v>
      </c>
      <c r="Z367" s="403">
        <f>IF(IF(Q367+R367+X367+Y367+W367+V367+U367+T367+S367=12,0,IF(Z366&gt;$C$28,12-DATEDIF($C$28,Z366+1,"m"),IF(Z366&lt;$C$27,0,DATEDIF($C$27,Z366+1,"m"))))&lt;0,0,IF(+Q367+R367+X367+Y367+W367+V367+U367+T367+S367=12,0,IF(Z366&gt;$C$28,12-DATEDIF($C$28,Z366+1,"m"),IF(Z366&lt;$C$27,0,DATEDIF($C$27,Z366+1,"m")))))</f>
        <v>0</v>
      </c>
      <c r="AA367" s="403"/>
      <c r="AB367" s="403"/>
      <c r="AC367" s="403"/>
      <c r="AD367" s="403"/>
      <c r="AE367" s="403"/>
      <c r="AF367" s="403"/>
      <c r="AG367" s="403"/>
      <c r="AH367" s="423">
        <f>SUM(Q367:AG367)</f>
        <v>0</v>
      </c>
      <c r="AI367" s="403">
        <f t="shared" si="173"/>
        <v>0</v>
      </c>
      <c r="AJ367" s="403">
        <f t="shared" si="173"/>
        <v>0</v>
      </c>
      <c r="AK367" s="403">
        <f t="shared" si="173"/>
        <v>0</v>
      </c>
      <c r="AL367" s="403">
        <f t="shared" si="173"/>
        <v>0</v>
      </c>
      <c r="AM367" s="403">
        <f t="shared" si="173"/>
        <v>0</v>
      </c>
      <c r="AN367" s="403">
        <f t="shared" si="173"/>
        <v>0</v>
      </c>
      <c r="AO367" s="403">
        <f t="shared" si="173"/>
        <v>0</v>
      </c>
      <c r="AP367" s="403">
        <f t="shared" si="173"/>
        <v>0</v>
      </c>
      <c r="AQ367" s="403">
        <f t="shared" si="173"/>
        <v>0</v>
      </c>
      <c r="AR367" s="403">
        <f t="shared" si="173"/>
        <v>0</v>
      </c>
      <c r="AS367" s="403">
        <f t="shared" si="174"/>
        <v>0</v>
      </c>
      <c r="AT367" s="403">
        <f t="shared" si="174"/>
        <v>0</v>
      </c>
      <c r="AU367" s="403">
        <f t="shared" si="174"/>
        <v>0</v>
      </c>
      <c r="AV367" s="403">
        <f t="shared" si="174"/>
        <v>0</v>
      </c>
      <c r="AW367" s="403">
        <f t="shared" si="174"/>
        <v>0</v>
      </c>
      <c r="AX367" s="403">
        <f t="shared" si="174"/>
        <v>0</v>
      </c>
      <c r="AY367" s="403">
        <f t="shared" si="174"/>
        <v>0</v>
      </c>
      <c r="AZ367" s="403">
        <f>SUM(AI367:AY367)</f>
        <v>0</v>
      </c>
    </row>
    <row r="368" spans="15:52" hidden="1">
      <c r="P368" s="207">
        <f t="shared" si="172"/>
        <v>1</v>
      </c>
      <c r="Q368" s="404">
        <f>IF(Q367=0,0,(IF(($C$135+$B$135)&lt;=25000,(($C$135/+$AH367)*Q367)*VLOOKUP('1. SUMMARY'!$C$20,rate,Sheet1!T$21,0),((IF($B$135&gt;=25000,0,((25000-$B$135)/+$AH367)*Q367)*VLOOKUP('1. SUMMARY'!$C$20,rate,Sheet1!T$21,0))))))</f>
        <v>0</v>
      </c>
      <c r="R368" s="404">
        <f>IF(R367=0,0,(IF(($C$135+$B$135)&lt;=25000,(($C$135/+$AH367)*R367)*VLOOKUP('1. SUMMARY'!$C$20,rate,Sheet1!U$21,0),((IF($B$135&gt;=25000,0,((25000-$B$135)/+$AH367)*R367)*VLOOKUP('1. SUMMARY'!$C$20,rate,Sheet1!U$21,0))))))</f>
        <v>0</v>
      </c>
      <c r="S368" s="404">
        <f>IF(S367=0,0,(IF(($C$135+$B$135)&lt;=25000,(($C$135/+$AH367)*S367)*VLOOKUP('1. SUMMARY'!$C$20,rate,Sheet1!V$21,0),((IF($B$135&gt;=25000,0,((25000-$B$135)/+$AH367)*S367)*VLOOKUP('1. SUMMARY'!$C$20,rate,Sheet1!V$21,0))))))</f>
        <v>0</v>
      </c>
      <c r="T368" s="404">
        <f>IF(T367=0,0,(IF(($C$135+$B$135)&lt;=25000,(($C$135/+$AH367)*T367)*VLOOKUP('1. SUMMARY'!$C$20,rate,Sheet1!W$21,0),((IF($B$135&gt;=25000,0,((25000-$B$135)/+$AH367)*T367)*VLOOKUP('1. SUMMARY'!$C$20,rate,Sheet1!W$21,0))))))</f>
        <v>0</v>
      </c>
      <c r="U368" s="404">
        <f>IF(U367=0,0,(IF(($C$135+$B$135)&lt;=25000,(($C$135/+$AH367)*U367)*VLOOKUP('1. SUMMARY'!$C$20,rate,Sheet1!X$21,0),((IF($B$135&gt;=25000,0,((25000-$B$135)/+$AH367)*U367)*VLOOKUP('1. SUMMARY'!$C$20,rate,Sheet1!X$21,0))))))</f>
        <v>0</v>
      </c>
      <c r="V368" s="404">
        <f>IF(V367=0,0,(IF(($C$135+$B$135)&lt;=25000,(($C$135/+$AH367)*V367)*VLOOKUP('1. SUMMARY'!$C$20,rate,Sheet1!Y$21,0),((IF($B$135&gt;=25000,0,((25000-$B$135)/+$AH367)*V367)*VLOOKUP('1. SUMMARY'!$C$20,rate,Sheet1!Y$21,0))))))</f>
        <v>0</v>
      </c>
      <c r="W368" s="404">
        <f>IF(W367=0,0,(IF(($C$135+$B$135)&lt;=25000,(($C$135/+$AH367)*W367)*VLOOKUP('1. SUMMARY'!$C$20,rate,Sheet1!Z$21,0),((IF($B$135&gt;=25000,0,((25000-$B$135)/+$AH367)*W367)*VLOOKUP('1. SUMMARY'!$C$20,rate,Sheet1!Z$21,0))))))</f>
        <v>0</v>
      </c>
      <c r="X368" s="404">
        <f>IF(X367=0,0,(IF(($C$135+$B$135)&lt;=25000,(($C$135/+$AH367)*X367)*VLOOKUP('1. SUMMARY'!$C$20,rate,Sheet1!AA$21,0),((IF($B$135&gt;=25000,0,((25000-$B$135)/+$AH367)*X367)*VLOOKUP('1. SUMMARY'!$C$20,rate,Sheet1!AA$21,0))))))</f>
        <v>0</v>
      </c>
      <c r="Y368" s="404">
        <f>IF(Y367=0,0,(IF(($C$135+$B$135)&lt;=25000,(($C$135/+$AH367)*Y367)*VLOOKUP('1. SUMMARY'!$C$20,rate,Sheet1!AB$21,0),((IF($B$135&gt;=25000,0,((25000-$B$135)/+$AH367)*Y367)*VLOOKUP('1. SUMMARY'!$C$20,rate,Sheet1!AB$21,0))))))</f>
        <v>0</v>
      </c>
      <c r="Z368" s="404">
        <f>IF(Z367=0,0,(IF(($C$135+$B$135)&lt;=25000,(($C$135/+$AH367)*Z367)*VLOOKUP('1. SUMMARY'!$C$20,rate,Sheet1!AC$21,0),((IF($B$135&gt;=25000,0,((25000-$B$135)/+$AH367)*Z367)*VLOOKUP('1. SUMMARY'!$C$20,rate,Sheet1!AC$21,0))))))</f>
        <v>0</v>
      </c>
      <c r="AA368" s="404">
        <f>IF(AA367=0,0,(IF(($C$135+$B$135)&lt;=25000,(($C$135/+$AH367)*AA367)*VLOOKUP('1. SUMMARY'!$C$20,rate,Sheet1!AD$21,0),((IF($B$135&gt;=25000,0,((25000-$B$135)/+$AH367)*AA367)*VLOOKUP('1. SUMMARY'!$C$20,rate,Sheet1!AD$21,0))))))</f>
        <v>0</v>
      </c>
      <c r="AB368" s="404">
        <f>IF(AB367=0,0,(IF(($C$135+$B$135)&lt;=25000,(($C$135/+$AH367)*AB367)*VLOOKUP('1. SUMMARY'!$C$20,rate,Sheet1!AE$21,0),((IF($B$135&gt;=25000,0,((25000-$B$135)/+$AH367)*AB367)*VLOOKUP('1. SUMMARY'!$C$20,rate,Sheet1!AE$21,0))))))</f>
        <v>0</v>
      </c>
      <c r="AC368" s="404">
        <f>IF(AC367=0,0,(IF(($C$135+$B$135)&lt;=25000,(($C$135/+$AH367)*AC367)*VLOOKUP('1. SUMMARY'!$C$20,rate,Sheet1!AF$21,0),((IF($B$135&gt;=25000,0,((25000-$B$135)/+$AH367)*AC367)*VLOOKUP('1. SUMMARY'!$C$20,rate,Sheet1!AF$21,0))))))</f>
        <v>0</v>
      </c>
      <c r="AD368" s="404">
        <f>IF(AD367=0,0,(IF(($C$135+$B$135)&lt;=25000,(($C$135/+$AH367)*AD367)*VLOOKUP('1. SUMMARY'!$C$20,rate,Sheet1!AG$21,0),((IF($B$135&gt;=25000,0,((25000-$B$135)/+$AH367)*AD367)*VLOOKUP('1. SUMMARY'!$C$20,rate,Sheet1!AG$21,0))))))</f>
        <v>0</v>
      </c>
      <c r="AE368" s="404">
        <f>IF(AE367=0,0,(IF(($C$135+$B$135)&lt;=25000,(($C$135/+$AH367)*AE367)*VLOOKUP('1. SUMMARY'!$C$20,rate,Sheet1!AH$21,0),((IF($B$135&gt;=25000,0,((25000-$B$135)/+$AH367)*AE367)*VLOOKUP('1. SUMMARY'!$C$20,rate,Sheet1!AH$21,0))))))</f>
        <v>0</v>
      </c>
      <c r="AF368" s="404">
        <f>IF(AF367=0,0,(IF(($C$135+$B$135)&lt;=25000,(($C$135/+$AH367)*AF367)*VLOOKUP('1. SUMMARY'!$C$20,rate,Sheet1!AI$21,0),((IF($B$135&gt;=25000,0,((25000-$B$135)/+$AH367)*AF367)*VLOOKUP('1. SUMMARY'!$C$20,rate,Sheet1!AI$21,0))))))</f>
        <v>0</v>
      </c>
      <c r="AG368" s="404">
        <f>IF(AG367=0,0,(IF(($C$135+$B$135)&lt;=25000,(($C$135/+$AH367)*AG367)*VLOOKUP('1. SUMMARY'!$C$20,rate,Sheet1!AJ$21,0),((IF($B$135&gt;=25000,0,((25000-$B$135)/+$AH367)*AG367)*VLOOKUP('1. SUMMARY'!$C$20,rate,Sheet1!AJ$21,0))))))</f>
        <v>0</v>
      </c>
      <c r="AH368" s="219">
        <f>SUM(Q368:AG368)</f>
        <v>0</v>
      </c>
      <c r="AI368" s="404">
        <f>IF(AI367=0,0,((+$C135/$AZ367)*AI367)*VLOOKUP('1. SUMMARY'!$C$20,rate,Sheet1!T$21,0))</f>
        <v>0</v>
      </c>
      <c r="AJ368" s="404">
        <f>IF(AJ367=0,0,((+$C135/$AZ367)*AJ367)*VLOOKUP('1. SUMMARY'!$C$20,rate,Sheet1!U$21,0))</f>
        <v>0</v>
      </c>
      <c r="AK368" s="404">
        <f>IF(AK367=0,0,((+$C135/$AZ367)*AK367)*VLOOKUP('1. SUMMARY'!$C$20,rate,Sheet1!V$21,0))</f>
        <v>0</v>
      </c>
      <c r="AL368" s="404">
        <f>IF(AL367=0,0,((+$C135/$AZ367)*AL367)*VLOOKUP('1. SUMMARY'!$C$20,rate,Sheet1!W$21,0))</f>
        <v>0</v>
      </c>
      <c r="AM368" s="404">
        <f>IF(AM367=0,0,((+$C135/$AZ367)*AM367)*VLOOKUP('1. SUMMARY'!$C$20,rate,Sheet1!X$21,0))</f>
        <v>0</v>
      </c>
      <c r="AN368" s="404">
        <f>IF(AN367=0,0,((+$C135/$AZ367)*AN367)*VLOOKUP('1. SUMMARY'!$C$20,rate,Sheet1!Y$21,0))</f>
        <v>0</v>
      </c>
      <c r="AO368" s="404">
        <f>IF(AO367=0,0,((+$C135/$AZ367)*AO367)*VLOOKUP('1. SUMMARY'!$C$20,rate,Sheet1!Z$21,0))</f>
        <v>0</v>
      </c>
      <c r="AP368" s="404">
        <f>IF(AP367=0,0,((+$C135/$AZ367)*AP367)*VLOOKUP('1. SUMMARY'!$C$20,rate,Sheet1!AA$21,0))</f>
        <v>0</v>
      </c>
      <c r="AQ368" s="404">
        <f>IF(AQ367=0,0,((+$C135/$AZ367)*AQ367)*VLOOKUP('1. SUMMARY'!$C$20,rate,Sheet1!AB$21,0))</f>
        <v>0</v>
      </c>
      <c r="AR368" s="404">
        <f>IF(AR367=0,0,((+$C135/$AZ367)*AR367)*VLOOKUP('1. SUMMARY'!$C$20,rate,Sheet1!AC$21,0))</f>
        <v>0</v>
      </c>
      <c r="AS368" s="404">
        <f>IF(AS367=0,0,((+$C135/$AZ367)*AS367)*VLOOKUP('1. SUMMARY'!$C$20,rate,Sheet1!AD$21,0))</f>
        <v>0</v>
      </c>
      <c r="AT368" s="404">
        <f>IF(AT367=0,0,((+$C135/$AZ367)*AT367)*VLOOKUP('1. SUMMARY'!$C$20,rate,Sheet1!AE$21,0))</f>
        <v>0</v>
      </c>
      <c r="AU368" s="404">
        <f>IF(AU367=0,0,((+$C135/$AZ367)*AU367)*VLOOKUP('1. SUMMARY'!$C$20,rate,Sheet1!AF$21,0))</f>
        <v>0</v>
      </c>
      <c r="AV368" s="404">
        <f>IF(AV367=0,0,((+$C135/$AZ367)*AV367)*VLOOKUP('1. SUMMARY'!$C$20,rate,Sheet1!AG$21,0))</f>
        <v>0</v>
      </c>
      <c r="AW368" s="404">
        <f>IF(AW367=0,0,((+$C135/$AZ367)*AW367)*VLOOKUP('1. SUMMARY'!$C$20,rate,Sheet1!AH$21,0))</f>
        <v>0</v>
      </c>
      <c r="AX368" s="404">
        <f>IF(AX367=0,0,((+$C135/$AZ367)*AX367)*VLOOKUP('1. SUMMARY'!$C$20,rate,Sheet1!AI$21,0))</f>
        <v>0</v>
      </c>
      <c r="AY368" s="404">
        <f>IF(AY367=0,0,((+$C135/$AZ367)*AY367)*VLOOKUP('1. SUMMARY'!$C$20,rate,Sheet1!AJ$21,0))</f>
        <v>0</v>
      </c>
      <c r="AZ368" s="404">
        <f>SUM(AI368:AY368)</f>
        <v>0</v>
      </c>
    </row>
    <row r="369" spans="15:52" hidden="1">
      <c r="P369" s="207">
        <f t="shared" si="172"/>
        <v>1</v>
      </c>
      <c r="Q369" s="404">
        <f>+Q368/VLOOKUP('1. SUMMARY'!$C$20,rate,Sheet1!T$21,0)</f>
        <v>0</v>
      </c>
      <c r="R369" s="404">
        <f>+R368/VLOOKUP('1. SUMMARY'!$C$20,rate,Sheet1!U$21,0)</f>
        <v>0</v>
      </c>
      <c r="S369" s="404">
        <f>+S368/VLOOKUP('1. SUMMARY'!$C$20,rate,Sheet1!V$21,0)</f>
        <v>0</v>
      </c>
      <c r="T369" s="404">
        <f>+T368/VLOOKUP('1. SUMMARY'!$C$20,rate,Sheet1!W$21,0)</f>
        <v>0</v>
      </c>
      <c r="U369" s="404">
        <f>+U368/VLOOKUP('1. SUMMARY'!$C$20,rate,Sheet1!X$21,0)</f>
        <v>0</v>
      </c>
      <c r="V369" s="404">
        <f>+V368/VLOOKUP('1. SUMMARY'!$C$20,rate,Sheet1!Y$21,0)</f>
        <v>0</v>
      </c>
      <c r="W369" s="404">
        <f>+W368/VLOOKUP('1. SUMMARY'!$C$20,rate,Sheet1!Z$21,0)</f>
        <v>0</v>
      </c>
      <c r="X369" s="404">
        <f>+X368/VLOOKUP('1. SUMMARY'!$C$20,rate,Sheet1!AA$21,0)</f>
        <v>0</v>
      </c>
      <c r="Y369" s="404">
        <f>+Y368/VLOOKUP('1. SUMMARY'!$C$20,rate,Sheet1!AB$21,0)</f>
        <v>0</v>
      </c>
      <c r="Z369" s="404">
        <f>+Z368/VLOOKUP('1. SUMMARY'!$C$20,rate,Sheet1!AC$21,0)</f>
        <v>0</v>
      </c>
      <c r="AA369" s="404">
        <f>+AA368/VLOOKUP('1. SUMMARY'!$C$20,rate,Sheet1!AD$21,0)</f>
        <v>0</v>
      </c>
      <c r="AB369" s="404">
        <f>+AB368/VLOOKUP('1. SUMMARY'!$C$20,rate,Sheet1!AE$21,0)</f>
        <v>0</v>
      </c>
      <c r="AC369" s="404">
        <f>+AC368/VLOOKUP('1. SUMMARY'!$C$20,rate,Sheet1!AF$21,0)</f>
        <v>0</v>
      </c>
      <c r="AD369" s="404">
        <f>+AD368/VLOOKUP('1. SUMMARY'!$C$20,rate,Sheet1!AG$21,0)</f>
        <v>0</v>
      </c>
      <c r="AE369" s="404">
        <f>+AE368/VLOOKUP('1. SUMMARY'!$C$20,rate,Sheet1!AH$21,0)</f>
        <v>0</v>
      </c>
      <c r="AF369" s="404">
        <f>+AF368/VLOOKUP('1. SUMMARY'!$C$20,rate,Sheet1!AI$21,0)</f>
        <v>0</v>
      </c>
      <c r="AG369" s="404">
        <f>+AG368/VLOOKUP('1. SUMMARY'!$C$20,rate,Sheet1!AJ$21,0)</f>
        <v>0</v>
      </c>
      <c r="AH369" s="219"/>
      <c r="AI369" s="404">
        <v>0</v>
      </c>
      <c r="AJ369" s="404">
        <v>0</v>
      </c>
      <c r="AK369" s="404">
        <v>0</v>
      </c>
      <c r="AL369" s="404">
        <v>0</v>
      </c>
      <c r="AM369" s="404">
        <v>0</v>
      </c>
      <c r="AN369" s="404">
        <v>0</v>
      </c>
      <c r="AO369" s="404">
        <v>0</v>
      </c>
      <c r="AP369" s="404">
        <v>0</v>
      </c>
      <c r="AQ369" s="404"/>
      <c r="AR369" s="404"/>
      <c r="AS369" s="404"/>
      <c r="AT369" s="404"/>
      <c r="AU369" s="404"/>
      <c r="AV369" s="404"/>
      <c r="AW369" s="404"/>
      <c r="AX369" s="404"/>
      <c r="AY369" s="404"/>
      <c r="AZ369" s="404"/>
    </row>
    <row r="370" spans="15:52" hidden="1">
      <c r="P370" s="207">
        <f t="shared" ref="P370:P384" si="175">IF(Q520=39356,(+P369+1),P369)</f>
        <v>1</v>
      </c>
      <c r="Q370" s="399">
        <f>Sheet1!$T$8</f>
        <v>44105</v>
      </c>
      <c r="R370" s="399">
        <f>Sheet1!$U$8</f>
        <v>44470</v>
      </c>
      <c r="S370" s="399">
        <f>Sheet1!$V$8</f>
        <v>44835</v>
      </c>
      <c r="T370" s="399">
        <f>Sheet1!$W$8</f>
        <v>45200</v>
      </c>
      <c r="U370" s="399">
        <f>Sheet1!$X$8</f>
        <v>45566</v>
      </c>
      <c r="V370" s="399">
        <f>Sheet1!$Y$8</f>
        <v>45931</v>
      </c>
      <c r="W370" s="399">
        <f>Sheet1!$Z$8</f>
        <v>46296</v>
      </c>
      <c r="X370" s="399">
        <f>Sheet1!$AA$8</f>
        <v>46661</v>
      </c>
      <c r="Y370" s="399">
        <f>Sheet1!$AB$8</f>
        <v>47027</v>
      </c>
      <c r="Z370" s="399">
        <f>Sheet1!$AC$8</f>
        <v>47392</v>
      </c>
      <c r="AA370" s="399">
        <f>$AA$5</f>
        <v>47757</v>
      </c>
      <c r="AB370" s="399">
        <f>$AB$5</f>
        <v>48122</v>
      </c>
      <c r="AC370" s="399">
        <f>$AC$5</f>
        <v>48488</v>
      </c>
      <c r="AD370" s="399">
        <f>$AD$5</f>
        <v>48853</v>
      </c>
      <c r="AE370" s="399">
        <f>$AE$5</f>
        <v>49218</v>
      </c>
      <c r="AF370" s="399">
        <f>$AF$5</f>
        <v>49583</v>
      </c>
      <c r="AG370" s="399">
        <f>$AG$5</f>
        <v>49949</v>
      </c>
      <c r="AH370" s="211"/>
      <c r="AI370" s="399">
        <f t="shared" ref="AI370:AR372" si="176">+Q370</f>
        <v>44105</v>
      </c>
      <c r="AJ370" s="399">
        <f t="shared" si="176"/>
        <v>44470</v>
      </c>
      <c r="AK370" s="399">
        <f t="shared" si="176"/>
        <v>44835</v>
      </c>
      <c r="AL370" s="399">
        <f t="shared" si="176"/>
        <v>45200</v>
      </c>
      <c r="AM370" s="399">
        <f t="shared" si="176"/>
        <v>45566</v>
      </c>
      <c r="AN370" s="399">
        <f t="shared" si="176"/>
        <v>45931</v>
      </c>
      <c r="AO370" s="399">
        <f t="shared" si="176"/>
        <v>46296</v>
      </c>
      <c r="AP370" s="399">
        <f t="shared" si="176"/>
        <v>46661</v>
      </c>
      <c r="AQ370" s="399">
        <f t="shared" si="176"/>
        <v>47027</v>
      </c>
      <c r="AR370" s="399">
        <f t="shared" si="176"/>
        <v>47392</v>
      </c>
      <c r="AS370" s="399">
        <f t="shared" ref="AS370:AY372" si="177">+AA370</f>
        <v>47757</v>
      </c>
      <c r="AT370" s="399">
        <f t="shared" si="177"/>
        <v>48122</v>
      </c>
      <c r="AU370" s="399">
        <f t="shared" si="177"/>
        <v>48488</v>
      </c>
      <c r="AV370" s="399">
        <f t="shared" si="177"/>
        <v>48853</v>
      </c>
      <c r="AW370" s="399">
        <f t="shared" si="177"/>
        <v>49218</v>
      </c>
      <c r="AX370" s="399">
        <f t="shared" si="177"/>
        <v>49583</v>
      </c>
      <c r="AY370" s="399">
        <f t="shared" si="177"/>
        <v>49949</v>
      </c>
      <c r="AZ370" s="399"/>
    </row>
    <row r="371" spans="15:52" hidden="1">
      <c r="P371" s="207">
        <f t="shared" si="175"/>
        <v>1</v>
      </c>
      <c r="Q371" s="399">
        <f>Sheet1!$T$9</f>
        <v>44469</v>
      </c>
      <c r="R371" s="399">
        <f>Sheet1!$U$9</f>
        <v>44834</v>
      </c>
      <c r="S371" s="399">
        <f>Sheet1!$V$9</f>
        <v>45199</v>
      </c>
      <c r="T371" s="399">
        <f>Sheet1!$W$9</f>
        <v>45565</v>
      </c>
      <c r="U371" s="399">
        <f>Sheet1!$X$9</f>
        <v>45930</v>
      </c>
      <c r="V371" s="399">
        <f>Sheet1!$Y$9</f>
        <v>46295</v>
      </c>
      <c r="W371" s="399">
        <f>Sheet1!$Z$9</f>
        <v>46660</v>
      </c>
      <c r="X371" s="399">
        <f>Sheet1!$AA$9</f>
        <v>47026</v>
      </c>
      <c r="Y371" s="399">
        <f>Sheet1!$AB$9</f>
        <v>47391</v>
      </c>
      <c r="Z371" s="399">
        <f>Sheet1!$AC$9</f>
        <v>47756</v>
      </c>
      <c r="AA371" s="399">
        <f>$AA$6</f>
        <v>48121</v>
      </c>
      <c r="AB371" s="399">
        <f>$AB$6</f>
        <v>48487</v>
      </c>
      <c r="AC371" s="399">
        <f>$AC$6</f>
        <v>48852</v>
      </c>
      <c r="AD371" s="399">
        <f>$AD$6</f>
        <v>49217</v>
      </c>
      <c r="AE371" s="399">
        <f>$AE$6</f>
        <v>49582</v>
      </c>
      <c r="AF371" s="399">
        <f>$AF$6</f>
        <v>49948</v>
      </c>
      <c r="AG371" s="399">
        <f>$AG$6</f>
        <v>50313</v>
      </c>
      <c r="AH371" s="211"/>
      <c r="AI371" s="399">
        <f t="shared" si="176"/>
        <v>44469</v>
      </c>
      <c r="AJ371" s="399">
        <f t="shared" si="176"/>
        <v>44834</v>
      </c>
      <c r="AK371" s="399">
        <f t="shared" si="176"/>
        <v>45199</v>
      </c>
      <c r="AL371" s="399">
        <f t="shared" si="176"/>
        <v>45565</v>
      </c>
      <c r="AM371" s="399">
        <f t="shared" si="176"/>
        <v>45930</v>
      </c>
      <c r="AN371" s="399">
        <f t="shared" si="176"/>
        <v>46295</v>
      </c>
      <c r="AO371" s="399">
        <f t="shared" si="176"/>
        <v>46660</v>
      </c>
      <c r="AP371" s="399">
        <f t="shared" si="176"/>
        <v>47026</v>
      </c>
      <c r="AQ371" s="399">
        <f t="shared" si="176"/>
        <v>47391</v>
      </c>
      <c r="AR371" s="399">
        <f t="shared" si="176"/>
        <v>47756</v>
      </c>
      <c r="AS371" s="399">
        <f t="shared" si="177"/>
        <v>48121</v>
      </c>
      <c r="AT371" s="399">
        <f t="shared" si="177"/>
        <v>48487</v>
      </c>
      <c r="AU371" s="399">
        <f t="shared" si="177"/>
        <v>48852</v>
      </c>
      <c r="AV371" s="399">
        <f t="shared" si="177"/>
        <v>49217</v>
      </c>
      <c r="AW371" s="399">
        <f t="shared" si="177"/>
        <v>49582</v>
      </c>
      <c r="AX371" s="399">
        <f t="shared" si="177"/>
        <v>49948</v>
      </c>
      <c r="AY371" s="399">
        <f t="shared" si="177"/>
        <v>50313</v>
      </c>
      <c r="AZ371" s="399"/>
    </row>
    <row r="372" spans="15:52" hidden="1">
      <c r="O372" s="207" t="s">
        <v>250</v>
      </c>
      <c r="P372" s="207">
        <f t="shared" si="175"/>
        <v>1</v>
      </c>
      <c r="Q372" s="400">
        <f>IF(IF(Q371&lt;$D$27,0,DATEDIF($D$27,Q371+1,"m"))&lt;0,0,IF(Q371&lt;$D$27,0,DATEDIF($D$27,Q371+1,"m")))</f>
        <v>0</v>
      </c>
      <c r="R372" s="400">
        <f>IF(IF(Q372=12,0,IF(R371&gt;$D$28,12-DATEDIF($D$28,R371+1,"m"),IF(R371&lt;$D$27,0,DATEDIF($D$27,R371+1,"m"))))&lt;0,0,IF(Q372=12,0,IF(R371&gt;$D$28,12-DATEDIF($D$28,R371+1,"m"),IF(R371&lt;$D$27,0,DATEDIF($D$27,R371+1,"m")))))</f>
        <v>0</v>
      </c>
      <c r="S372" s="400">
        <f>IF(IF(Q372+R372=12,0,IF(S371&gt;$D$28,12-DATEDIF($D$28,S371+1,"m"),IF(S371&lt;$D$27,0,DATEDIF($D$27,S371+1,"m"))))&lt;0,0,IF(Q372+R372=12,0,IF(S371&gt;$D$28,12-DATEDIF($D$28,S371+1,"m"),IF(S371&lt;$D$27,0,DATEDIF($D$27,S371+1,"m")))))</f>
        <v>0</v>
      </c>
      <c r="T372" s="400">
        <f>IF(IF(R372+S372+Q372=12,0,IF(T371&gt;$D$28,12-DATEDIF($D$28,T371+1,"m"),IF(T371&lt;$D$27,0,DATEDIF($D$27,T371+1,"m"))))&lt;0,0,IF(R372+S372+Q372=12,0,IF(T371&gt;$D$28,12-DATEDIF($D$28,T371+1,"m"),IF(T371&lt;$D$27,0,DATEDIF($D$27,T371+1,"m")))))</f>
        <v>0</v>
      </c>
      <c r="U372" s="400">
        <f>IF(IF(S372+T372+R372+Q372=12,0,IF(U371&gt;$D$28,12-DATEDIF($D$28,U371+1,"m"),IF(U371&lt;$D$27,0,DATEDIF($D$27,U371+1,"m"))))&lt;0,0,IF(S372+T372+R372+Q372=12,0,IF(U371&gt;$D$28,12-DATEDIF($D$28,U371+1,"m"),IF(U371&lt;$D$27,0,DATEDIF($D$27,U371+1,"m")))))</f>
        <v>0</v>
      </c>
      <c r="V372" s="400">
        <f>IF(IF(T372+U372+S372+R372+Q372=12,0,IF(V371&gt;$D$28,12-DATEDIF($D$28,V371+1,"m"),IF(V371&lt;$D$27,0,DATEDIF($D$27,V371+1,"m"))))&lt;0,0,IF(T372+U372+S372+R372+Q372=12,0,IF(V371&gt;$D$28,12-DATEDIF($D$28,V371+1,"m"),IF(V371&lt;$D$27,0,DATEDIF($D$27,V371+1,"m")))))</f>
        <v>0</v>
      </c>
      <c r="W372" s="400">
        <f>IF(IF(U372+V372+T372+S372+R372+Q372=12,0,IF(W371&gt;$D$28,12-DATEDIF($D$28,W371+1,"m"),IF(W371&lt;$D$27,0,DATEDIF($D$27,W371+1,"m"))))&lt;0,0,IF(U372+V372+T372+S372+R372+Q372=12,0,IF(W371&gt;$D$28,12-DATEDIF($D$28,W371+1,"m"),IF(W371&lt;$D$27,0,DATEDIF($D$27,W371+1,"m")))))</f>
        <v>0</v>
      </c>
      <c r="X372" s="400">
        <f>IF(IF(V372+W372+U372+T372+S372+R372+Q372=12,0,IF(X371&gt;$D$28,12-DATEDIF($D$28,X371+1,"m"),IF(X371&lt;$D$27,0,DATEDIF($D$27,X371+1,"m"))))&lt;0,0,IF(V372+W372+U372+T372+S372+R372+Q372=12,0,IF(X371&gt;$D$28,1-DATEDIF($D$28,X371+1,"m"),IF(X371&lt;$D$27,0,DATEDIF($D$27,X371+1,"m")))))</f>
        <v>0</v>
      </c>
      <c r="Y372" s="400">
        <f>IF(IF(Q372+W372+X372+V372+U372+T372+S372+R372=12,0,IF(Y371&gt;E196,12-DATEDIF(E196,Y371+1,"m"),IF(Y371&lt;E195,0,DATEDIF(E195,Y371+1,"m"))))&lt;0,0,IF(Q372+W372+X372+V372+U372+T372+S372+R372=12,0,IF(Y371&gt;E196,12-DATEDIF(E196,Y371+1,"m"),IF(Y371&lt;E195,0,DATEDIF(E195,Y371+1,"m")))))</f>
        <v>1557</v>
      </c>
      <c r="Z372" s="400">
        <f>IF(IF(Q372+R372+X372+Y372+W372+V372+U372+T372+S372=12,0,IF(Z371&gt;F196,12-DATEDIF(F196,Z371+1,"m"),IF(Z371&lt;F195,0,DATEDIF(F195,Z371+1,"m"))))&lt;0,0,IF(Q372+R372+X372+Y372+W372+V372+U372+T372+S372=12,0,IF(Z371&gt;F196,12-DATEDIF(F196,Z371+1,"m"),IF(Z371&lt;F195,0,DATEDIF(F195,Z371+1,"m")))))</f>
        <v>1569</v>
      </c>
      <c r="AA372" s="400"/>
      <c r="AB372" s="400"/>
      <c r="AC372" s="400"/>
      <c r="AD372" s="400"/>
      <c r="AE372" s="400"/>
      <c r="AF372" s="400"/>
      <c r="AG372" s="400"/>
      <c r="AH372" s="423">
        <f>SUM(Q372:AG372)</f>
        <v>3126</v>
      </c>
      <c r="AI372" s="400">
        <f t="shared" si="176"/>
        <v>0</v>
      </c>
      <c r="AJ372" s="400">
        <f t="shared" si="176"/>
        <v>0</v>
      </c>
      <c r="AK372" s="400">
        <f t="shared" si="176"/>
        <v>0</v>
      </c>
      <c r="AL372" s="400">
        <f t="shared" si="176"/>
        <v>0</v>
      </c>
      <c r="AM372" s="400">
        <f t="shared" si="176"/>
        <v>0</v>
      </c>
      <c r="AN372" s="400">
        <f t="shared" si="176"/>
        <v>0</v>
      </c>
      <c r="AO372" s="400">
        <f t="shared" si="176"/>
        <v>0</v>
      </c>
      <c r="AP372" s="400">
        <f t="shared" si="176"/>
        <v>0</v>
      </c>
      <c r="AQ372" s="400">
        <f t="shared" si="176"/>
        <v>1557</v>
      </c>
      <c r="AR372" s="400">
        <f t="shared" si="176"/>
        <v>1569</v>
      </c>
      <c r="AS372" s="400">
        <f t="shared" si="177"/>
        <v>0</v>
      </c>
      <c r="AT372" s="400">
        <f t="shared" si="177"/>
        <v>0</v>
      </c>
      <c r="AU372" s="400">
        <f t="shared" si="177"/>
        <v>0</v>
      </c>
      <c r="AV372" s="400">
        <f t="shared" si="177"/>
        <v>0</v>
      </c>
      <c r="AW372" s="400">
        <f t="shared" si="177"/>
        <v>0</v>
      </c>
      <c r="AX372" s="400">
        <f t="shared" si="177"/>
        <v>0</v>
      </c>
      <c r="AY372" s="400">
        <f t="shared" si="177"/>
        <v>0</v>
      </c>
      <c r="AZ372" s="400">
        <f>SUM(AI372:AY372)</f>
        <v>3126</v>
      </c>
    </row>
    <row r="373" spans="15:52" hidden="1">
      <c r="P373" s="207">
        <f t="shared" si="175"/>
        <v>1</v>
      </c>
      <c r="Q373" s="401">
        <f>IF(Q372=0,0,(IF(($C$135+$B$135+$D$135)&lt;=25000,(($D$135/+$AH372)*Q372)*VLOOKUP('1. SUMMARY'!$C$20,rate,Sheet1!T$21,0),((IF(($B$135+$C$135)&gt;=25000,0,(((25000-($B$135+$C$135))/+$AH372)*Q372)*VLOOKUP('1. SUMMARY'!$C$20,rate,Sheet1!T$21,0)))))))</f>
        <v>0</v>
      </c>
      <c r="R373" s="401">
        <f>IF(R372=0,0,(IF(($C$135+$B$135+$D$135)&lt;=25000,(($D$135/+$AH372)*R372)*VLOOKUP('1. SUMMARY'!$C$20,rate,Sheet1!U$21,0),((IF(($B$135+$C$135)&gt;=25000,0,(((25000-($B$135+$C$135))/+$AH372)*R372)*VLOOKUP('1. SUMMARY'!$C$20,rate,Sheet1!U$21,0)))))))</f>
        <v>0</v>
      </c>
      <c r="S373" s="401">
        <f>IF(S372=0,0,(IF(($C$135+$B$135+$D$135)&lt;=25000,(($D$135/+$AH372)*S372)*VLOOKUP('1. SUMMARY'!$C$20,rate,Sheet1!V$21,0),((IF(($B$135+$C$135)&gt;=25000,0,(((25000-($B$135+$C$135))/+$AH372)*S372)*VLOOKUP('1. SUMMARY'!$C$20,rate,Sheet1!V$21,0)))))))</f>
        <v>0</v>
      </c>
      <c r="T373" s="401">
        <f>IF(T372=0,0,(IF(($C$135+$B$135+$D$135)&lt;=25000,(($D$135/+$AH372)*T372)*VLOOKUP('1. SUMMARY'!$C$20,rate,Sheet1!W$21,0),((IF(($B$135+$C$135)&gt;=25000,0,(((25000-($B$135+$C$135))/+$AH372)*T372)*VLOOKUP('1. SUMMARY'!$C$20,rate,Sheet1!W$21,0)))))))</f>
        <v>0</v>
      </c>
      <c r="U373" s="401">
        <f>IF(U372=0,0,(IF(($C$135+$B$135+$D$135)&lt;=25000,(($D$135/+$AH372)*U372)*VLOOKUP('1. SUMMARY'!$C$20,rate,Sheet1!X$21,0),((IF(($B$135+$C$135)&gt;=25000,0,(((25000-($B$135+$C$135))/+$AH372)*U372)*VLOOKUP('1. SUMMARY'!$C$20,rate,Sheet1!X$21,0)))))))</f>
        <v>0</v>
      </c>
      <c r="V373" s="401">
        <f>IF(V372=0,0,(IF(($C$135+$B$135+$D$135)&lt;=25000,(($D$135/+$AH372)*V372)*VLOOKUP('1. SUMMARY'!$C$20,rate,Sheet1!Y$21,0),((IF(($B$135+$C$135)&gt;=25000,0,(((25000-($B$135+$C$135))/+$AH372)*V372)*VLOOKUP('1. SUMMARY'!$C$20,rate,Sheet1!Y$21,0)))))))</f>
        <v>0</v>
      </c>
      <c r="W373" s="401">
        <f>IF(W372=0,0,(IF(($C$135+$B$135+$D$135)&lt;=25000,(($D$135/+$AH372)*W372)*VLOOKUP('1. SUMMARY'!$C$20,rate,Sheet1!Z$21,0),((IF(($B$135+$C$135)&gt;=25000,0,(((25000-($B$135+$C$135))/+$AH372)*W372)*VLOOKUP('1. SUMMARY'!$C$20,rate,Sheet1!Z$21,0)))))))</f>
        <v>0</v>
      </c>
      <c r="X373" s="401">
        <f>IF(X372=0,0,(IF(($C$135+$B$135+$D$135)&lt;=25000,(($D$135/+$AH372)*X372)*VLOOKUP('1. SUMMARY'!$C$20,rate,Sheet1!AA$21,0),((IF(($B$135+$C$135)&gt;=25000,0,(((25000-($B$135+$C$135))/+$AH372)*X372)*VLOOKUP('1. SUMMARY'!$C$20,rate,Sheet1!AA$21,0)))))))</f>
        <v>0</v>
      </c>
      <c r="Y373" s="401">
        <f>IF(Y372=0,0,(IF(($C$135+$B$135+$D$135)&lt;=25000,(($D$135/+$AH372)*Y372)*VLOOKUP('1. SUMMARY'!$C$20,rate,Sheet1!AB$21,0),((IF(($B$135+$C$135)&gt;=25000,0,(((25000-($B$135+$C$135))/+$AH372)*Y372)*VLOOKUP('1. SUMMARY'!$C$20,rate,Sheet1!AB$21,0)))))))</f>
        <v>0</v>
      </c>
      <c r="Z373" s="401">
        <f>IF(Z372=0,0,(IF(($C$135+$B$135+$D$135)&lt;=25000,(($D$135/+$AH372)*Z372)*VLOOKUP('1. SUMMARY'!$C$20,rate,Sheet1!AC$21,0),((IF(($B$135+$C$135)&gt;=25000,0,(((25000-($B$135+$C$135))/+$AH372)*Z372)*VLOOKUP('1. SUMMARY'!$C$20,rate,Sheet1!AC$21,0)))))))</f>
        <v>0</v>
      </c>
      <c r="AA373" s="401">
        <f>IF(AA372=0,0,(IF(($C$135+$B$135+$D$135)&lt;=25000,(($D$135/+$AH372)*AA372)*VLOOKUP('1. SUMMARY'!$C$20,rate,Sheet1!AD$21,0),((IF(($B$135+$C$135)&gt;=25000,0,(((25000-($B$135+$C$135))/+$AH372)*AA372)*VLOOKUP('1. SUMMARY'!$C$20,rate,Sheet1!AD$21,0)))))))</f>
        <v>0</v>
      </c>
      <c r="AB373" s="401">
        <f>IF(AB372=0,0,(IF(($C$135+$B$135+$D$135)&lt;=25000,(($D$135/+$AH372)*AB372)*VLOOKUP('1. SUMMARY'!$C$20,rate,Sheet1!AE$21,0),((IF(($B$135+$C$135)&gt;=25000,0,(((25000-($B$135+$C$135))/+$AH372)*AB372)*VLOOKUP('1. SUMMARY'!$C$20,rate,Sheet1!AE$21,0)))))))</f>
        <v>0</v>
      </c>
      <c r="AC373" s="401">
        <f>IF(AC372=0,0,(IF(($C$135+$B$135+$D$135)&lt;=25000,(($D$135/+$AH372)*AC372)*VLOOKUP('1. SUMMARY'!$C$20,rate,Sheet1!AF$21,0),((IF(($B$135+$C$135)&gt;=25000,0,(((25000-($B$135+$C$135))/+$AH372)*AC372)*VLOOKUP('1. SUMMARY'!$C$20,rate,Sheet1!AF$21,0)))))))</f>
        <v>0</v>
      </c>
      <c r="AD373" s="401">
        <f>IF(AD372=0,0,(IF(($C$135+$B$135+$D$135)&lt;=25000,(($D$135/+$AH372)*AD372)*VLOOKUP('1. SUMMARY'!$C$20,rate,Sheet1!AG$21,0),((IF(($B$135+$C$135)&gt;=25000,0,(((25000-($B$135+$C$135))/+$AH372)*AD372)*VLOOKUP('1. SUMMARY'!$C$20,rate,Sheet1!AG$21,0)))))))</f>
        <v>0</v>
      </c>
      <c r="AE373" s="401">
        <f>IF(AE372=0,0,(IF(($C$135+$B$135+$D$135)&lt;=25000,(($D$135/+$AH372)*AE372)*VLOOKUP('1. SUMMARY'!$C$20,rate,Sheet1!AH$21,0),((IF(($B$135+$C$135)&gt;=25000,0,(((25000-($B$135+$C$135))/+$AH372)*AE372)*VLOOKUP('1. SUMMARY'!$C$20,rate,Sheet1!AH$21,0)))))))</f>
        <v>0</v>
      </c>
      <c r="AF373" s="401">
        <f>IF(AF372=0,0,(IF(($C$135+$B$135+$D$135)&lt;=25000,(($D$135/+$AH372)*AF372)*VLOOKUP('1. SUMMARY'!$C$20,rate,Sheet1!AI$21,0),((IF(($B$135+$C$135)&gt;=25000,0,(((25000-($B$135+$C$135))/+$AH372)*AF372)*VLOOKUP('1. SUMMARY'!$C$20,rate,Sheet1!AI$21,0)))))))</f>
        <v>0</v>
      </c>
      <c r="AG373" s="401">
        <f>IF(AG372=0,0,(IF(($C$135+$B$135+$D$135)&lt;=25000,(($D$135/+$AH372)*AG372)*VLOOKUP('1. SUMMARY'!$C$20,rate,Sheet1!AJ$21,0),((IF(($B$135+$C$135)&gt;=25000,0,(((25000-($B$135+$C$135))/+$AH372)*AG372)*VLOOKUP('1. SUMMARY'!$C$20,rate,Sheet1!AJ$21,0)))))))</f>
        <v>0</v>
      </c>
      <c r="AH373" s="219">
        <f>SUM(Q373:AG373)</f>
        <v>0</v>
      </c>
      <c r="AI373" s="401">
        <f>IF(Q372=0,0,((+$D135/$AZ$17)*AI372)*VLOOKUP('1. SUMMARY'!$C$20,rate,Sheet1!T$21,0))</f>
        <v>0</v>
      </c>
      <c r="AJ373" s="401">
        <f>IF(R372=0,0,((+$D135/$AZ$17)*AJ372)*VLOOKUP('1. SUMMARY'!$C$20,rate,Sheet1!U$21,0))</f>
        <v>0</v>
      </c>
      <c r="AK373" s="401">
        <f>IF(S372=0,0,((+$D135/$AZ$17)*AK372)*VLOOKUP('1. SUMMARY'!$C$20,rate,Sheet1!V$21,0))</f>
        <v>0</v>
      </c>
      <c r="AL373" s="401">
        <f>IF(T372=0,0,((+$D135/$AZ$17)*AL372)*VLOOKUP('1. SUMMARY'!$C$20,rate,Sheet1!W$21,0))</f>
        <v>0</v>
      </c>
      <c r="AM373" s="401">
        <f>IF(U372=0,0,((+$D135/$AZ$17)*AM372)*VLOOKUP('1. SUMMARY'!$C$20,rate,Sheet1!X$21,0))</f>
        <v>0</v>
      </c>
      <c r="AN373" s="401">
        <f>IF(V372=0,0,((+$D135/$AZ$17)*AN372)*VLOOKUP('1. SUMMARY'!$C$20,rate,Sheet1!Y$21,0))</f>
        <v>0</v>
      </c>
      <c r="AO373" s="401">
        <f>IF(W372=0,0,((+$D135/$AZ$17)*AO372)*VLOOKUP('1. SUMMARY'!$C$20,rate,Sheet1!Z$21,0))</f>
        <v>0</v>
      </c>
      <c r="AP373" s="401">
        <f>IF(X372=0,0,((+$D135/$AZ$17)*AP372)*VLOOKUP('1. SUMMARY'!$C$20,rate,Sheet1!AA$21,0))</f>
        <v>0</v>
      </c>
      <c r="AQ373" s="401" t="e">
        <f>IF(Y372=0,0,((+$D135/$AZ$17)*AQ372)*VLOOKUP('1. SUMMARY'!$C$20,rate,Sheet1!AB$21,0))</f>
        <v>#DIV/0!</v>
      </c>
      <c r="AR373" s="401" t="e">
        <f>IF(Z372=0,0,((+$D135/$AZ$17)*AR372)*VLOOKUP('1. SUMMARY'!$C$20,rate,Sheet1!AC$21,0))</f>
        <v>#DIV/0!</v>
      </c>
      <c r="AS373" s="401">
        <f>IF(AA372=0,0,((+$D135/$AZ$17)*AS372)*VLOOKUP('1. SUMMARY'!$C$20,rate,Sheet1!AD$21,0))</f>
        <v>0</v>
      </c>
      <c r="AT373" s="401">
        <f>IF(AB372=0,0,((+$D135/$AZ$17)*AT372)*VLOOKUP('1. SUMMARY'!$C$20,rate,Sheet1!AE$21,0))</f>
        <v>0</v>
      </c>
      <c r="AU373" s="401">
        <f>IF(AC372=0,0,((+$D135/$AZ$17)*AU372)*VLOOKUP('1. SUMMARY'!$C$20,rate,Sheet1!AF$21,0))</f>
        <v>0</v>
      </c>
      <c r="AV373" s="401">
        <f>IF(AD372=0,0,((+$D135/$AZ$17)*AV372)*VLOOKUP('1. SUMMARY'!$C$20,rate,Sheet1!AG$21,0))</f>
        <v>0</v>
      </c>
      <c r="AW373" s="401">
        <f>IF(AE372=0,0,((+$D135/$AZ$17)*AW372)*VLOOKUP('1. SUMMARY'!$C$20,rate,Sheet1!AH$21,0))</f>
        <v>0</v>
      </c>
      <c r="AX373" s="401">
        <f>IF(AF372=0,0,((+$D135/$AZ$17)*AX372)*VLOOKUP('1. SUMMARY'!$C$20,rate,Sheet1!AI$21,0))</f>
        <v>0</v>
      </c>
      <c r="AY373" s="401">
        <f>IF(AG372=0,0,((+$D135/$AZ$17)*AY372)*VLOOKUP('1. SUMMARY'!$C$20,rate,Sheet1!AJ$21,0))</f>
        <v>0</v>
      </c>
      <c r="AZ373" s="401" t="e">
        <f>SUM(AI373:AY373)</f>
        <v>#DIV/0!</v>
      </c>
    </row>
    <row r="374" spans="15:52" hidden="1">
      <c r="P374" s="207">
        <f t="shared" si="175"/>
        <v>1</v>
      </c>
      <c r="Q374" s="401">
        <f>+Q373/VLOOKUP('1. SUMMARY'!$C$20,rate,Sheet1!T$21,0)</f>
        <v>0</v>
      </c>
      <c r="R374" s="401">
        <f>+R373/VLOOKUP('1. SUMMARY'!$C$20,rate,Sheet1!U$21,0)</f>
        <v>0</v>
      </c>
      <c r="S374" s="401">
        <f>+S373/VLOOKUP('1. SUMMARY'!$C$20,rate,Sheet1!V$21,0)</f>
        <v>0</v>
      </c>
      <c r="T374" s="401">
        <f>+T373/VLOOKUP('1. SUMMARY'!$C$20,rate,Sheet1!W$21,0)</f>
        <v>0</v>
      </c>
      <c r="U374" s="401">
        <f>+U373/VLOOKUP('1. SUMMARY'!$C$20,rate,Sheet1!X$21,0)</f>
        <v>0</v>
      </c>
      <c r="V374" s="401">
        <f>+V373/VLOOKUP('1. SUMMARY'!$C$20,rate,Sheet1!Y$21,0)</f>
        <v>0</v>
      </c>
      <c r="W374" s="401">
        <f>+W373/VLOOKUP('1. SUMMARY'!$C$20,rate,Sheet1!Z$21,0)</f>
        <v>0</v>
      </c>
      <c r="X374" s="401">
        <f>+X373/VLOOKUP('1. SUMMARY'!$C$20,rate,Sheet1!AA$21,0)</f>
        <v>0</v>
      </c>
      <c r="Y374" s="401">
        <f>+Y373/VLOOKUP('1. SUMMARY'!$C$20,rate,Sheet1!AB$21,0)</f>
        <v>0</v>
      </c>
      <c r="Z374" s="401">
        <f>+Z373/VLOOKUP('1. SUMMARY'!$C$20,rate,Sheet1!AC$21,0)</f>
        <v>0</v>
      </c>
      <c r="AA374" s="401">
        <f>+AA373/VLOOKUP('1. SUMMARY'!$C$20,rate,Sheet1!AD$21,0)</f>
        <v>0</v>
      </c>
      <c r="AB374" s="401">
        <f>+AB373/VLOOKUP('1. SUMMARY'!$C$20,rate,Sheet1!AE$21,0)</f>
        <v>0</v>
      </c>
      <c r="AC374" s="401">
        <f>+AC373/VLOOKUP('1. SUMMARY'!$C$20,rate,Sheet1!AF$21,0)</f>
        <v>0</v>
      </c>
      <c r="AD374" s="401">
        <f>+AD373/VLOOKUP('1. SUMMARY'!$C$20,rate,Sheet1!AG$21,0)</f>
        <v>0</v>
      </c>
      <c r="AE374" s="401">
        <f>+AE373/VLOOKUP('1. SUMMARY'!$C$20,rate,Sheet1!AH$21,0)</f>
        <v>0</v>
      </c>
      <c r="AF374" s="401">
        <f>+AF373/VLOOKUP('1. SUMMARY'!$C$20,rate,Sheet1!AI$21,0)</f>
        <v>0</v>
      </c>
      <c r="AG374" s="401">
        <f>+AG373/VLOOKUP('1. SUMMARY'!$C$20,rate,Sheet1!AJ$21,0)</f>
        <v>0</v>
      </c>
      <c r="AH374" s="219"/>
      <c r="AI374" s="401">
        <v>0</v>
      </c>
      <c r="AJ374" s="401">
        <v>0</v>
      </c>
      <c r="AK374" s="401">
        <v>0</v>
      </c>
      <c r="AL374" s="401">
        <v>0</v>
      </c>
      <c r="AM374" s="401">
        <v>0</v>
      </c>
      <c r="AN374" s="401">
        <v>0</v>
      </c>
      <c r="AO374" s="401">
        <v>0</v>
      </c>
      <c r="AP374" s="401">
        <v>0</v>
      </c>
      <c r="AQ374" s="401"/>
      <c r="AR374" s="401"/>
      <c r="AS374" s="401"/>
      <c r="AT374" s="401"/>
      <c r="AU374" s="401"/>
      <c r="AV374" s="401"/>
      <c r="AW374" s="401"/>
      <c r="AX374" s="401"/>
      <c r="AY374" s="401"/>
      <c r="AZ374" s="401"/>
    </row>
    <row r="375" spans="15:52" hidden="1">
      <c r="P375" s="207">
        <f t="shared" si="175"/>
        <v>1</v>
      </c>
      <c r="Q375" s="405">
        <f>Sheet1!$T$8</f>
        <v>44105</v>
      </c>
      <c r="R375" s="405">
        <f>Sheet1!$U$8</f>
        <v>44470</v>
      </c>
      <c r="S375" s="405">
        <f>Sheet1!$V$8</f>
        <v>44835</v>
      </c>
      <c r="T375" s="405">
        <f>Sheet1!$W$8</f>
        <v>45200</v>
      </c>
      <c r="U375" s="405">
        <f>Sheet1!$X$8</f>
        <v>45566</v>
      </c>
      <c r="V375" s="405">
        <f>Sheet1!$Y$8</f>
        <v>45931</v>
      </c>
      <c r="W375" s="405">
        <f>Sheet1!$Z$8</f>
        <v>46296</v>
      </c>
      <c r="X375" s="405">
        <f>Sheet1!$AA$8</f>
        <v>46661</v>
      </c>
      <c r="Y375" s="405">
        <f>Sheet1!$AB$8</f>
        <v>47027</v>
      </c>
      <c r="Z375" s="405">
        <f>Sheet1!$AC$8</f>
        <v>47392</v>
      </c>
      <c r="AA375" s="405">
        <f>$AA$5</f>
        <v>47757</v>
      </c>
      <c r="AB375" s="405">
        <f>$AB$5</f>
        <v>48122</v>
      </c>
      <c r="AC375" s="405">
        <f>$AC$5</f>
        <v>48488</v>
      </c>
      <c r="AD375" s="405">
        <f>$AD$5</f>
        <v>48853</v>
      </c>
      <c r="AE375" s="405">
        <f>$AE$5</f>
        <v>49218</v>
      </c>
      <c r="AF375" s="405">
        <f>$AF$5</f>
        <v>49583</v>
      </c>
      <c r="AG375" s="405">
        <f>$AG$5</f>
        <v>49949</v>
      </c>
      <c r="AH375" s="211"/>
      <c r="AI375" s="405">
        <f t="shared" ref="AI375:AR377" si="178">+Q375</f>
        <v>44105</v>
      </c>
      <c r="AJ375" s="405">
        <f t="shared" si="178"/>
        <v>44470</v>
      </c>
      <c r="AK375" s="405">
        <f t="shared" si="178"/>
        <v>44835</v>
      </c>
      <c r="AL375" s="405">
        <f t="shared" si="178"/>
        <v>45200</v>
      </c>
      <c r="AM375" s="405">
        <f t="shared" si="178"/>
        <v>45566</v>
      </c>
      <c r="AN375" s="405">
        <f t="shared" si="178"/>
        <v>45931</v>
      </c>
      <c r="AO375" s="405">
        <f t="shared" si="178"/>
        <v>46296</v>
      </c>
      <c r="AP375" s="405">
        <f t="shared" si="178"/>
        <v>46661</v>
      </c>
      <c r="AQ375" s="405">
        <f t="shared" si="178"/>
        <v>47027</v>
      </c>
      <c r="AR375" s="405">
        <f t="shared" si="178"/>
        <v>47392</v>
      </c>
      <c r="AS375" s="405">
        <f t="shared" ref="AS375:AY377" si="179">+AA375</f>
        <v>47757</v>
      </c>
      <c r="AT375" s="405">
        <f t="shared" si="179"/>
        <v>48122</v>
      </c>
      <c r="AU375" s="405">
        <f t="shared" si="179"/>
        <v>48488</v>
      </c>
      <c r="AV375" s="405">
        <f t="shared" si="179"/>
        <v>48853</v>
      </c>
      <c r="AW375" s="405">
        <f t="shared" si="179"/>
        <v>49218</v>
      </c>
      <c r="AX375" s="405">
        <f t="shared" si="179"/>
        <v>49583</v>
      </c>
      <c r="AY375" s="405">
        <f t="shared" si="179"/>
        <v>49949</v>
      </c>
      <c r="AZ375" s="405"/>
    </row>
    <row r="376" spans="15:52" hidden="1">
      <c r="P376" s="207">
        <f t="shared" si="175"/>
        <v>1</v>
      </c>
      <c r="Q376" s="405">
        <f>Sheet1!$T$9</f>
        <v>44469</v>
      </c>
      <c r="R376" s="405">
        <f>Sheet1!$U$9</f>
        <v>44834</v>
      </c>
      <c r="S376" s="405">
        <f>Sheet1!$V$9</f>
        <v>45199</v>
      </c>
      <c r="T376" s="405">
        <f>Sheet1!$W$9</f>
        <v>45565</v>
      </c>
      <c r="U376" s="405">
        <f>Sheet1!$X$9</f>
        <v>45930</v>
      </c>
      <c r="V376" s="405">
        <f>Sheet1!$Y$9</f>
        <v>46295</v>
      </c>
      <c r="W376" s="405">
        <f>Sheet1!$Z$9</f>
        <v>46660</v>
      </c>
      <c r="X376" s="405">
        <f>Sheet1!$AA$9</f>
        <v>47026</v>
      </c>
      <c r="Y376" s="405">
        <f>Sheet1!$AB$9</f>
        <v>47391</v>
      </c>
      <c r="Z376" s="405">
        <f>Sheet1!$AC$9</f>
        <v>47756</v>
      </c>
      <c r="AA376" s="405">
        <f>$AA$6</f>
        <v>48121</v>
      </c>
      <c r="AB376" s="405">
        <f>$AB$6</f>
        <v>48487</v>
      </c>
      <c r="AC376" s="405">
        <f>$AC$6</f>
        <v>48852</v>
      </c>
      <c r="AD376" s="405">
        <f>$AD$6</f>
        <v>49217</v>
      </c>
      <c r="AE376" s="405">
        <f>$AE$6</f>
        <v>49582</v>
      </c>
      <c r="AF376" s="405">
        <f>$AF$6</f>
        <v>49948</v>
      </c>
      <c r="AG376" s="405">
        <f>$AG$6</f>
        <v>50313</v>
      </c>
      <c r="AH376" s="211"/>
      <c r="AI376" s="405">
        <f t="shared" si="178"/>
        <v>44469</v>
      </c>
      <c r="AJ376" s="405">
        <f t="shared" si="178"/>
        <v>44834</v>
      </c>
      <c r="AK376" s="405">
        <f t="shared" si="178"/>
        <v>45199</v>
      </c>
      <c r="AL376" s="405">
        <f t="shared" si="178"/>
        <v>45565</v>
      </c>
      <c r="AM376" s="405">
        <f t="shared" si="178"/>
        <v>45930</v>
      </c>
      <c r="AN376" s="405">
        <f t="shared" si="178"/>
        <v>46295</v>
      </c>
      <c r="AO376" s="405">
        <f t="shared" si="178"/>
        <v>46660</v>
      </c>
      <c r="AP376" s="405">
        <f t="shared" si="178"/>
        <v>47026</v>
      </c>
      <c r="AQ376" s="405">
        <f t="shared" si="178"/>
        <v>47391</v>
      </c>
      <c r="AR376" s="405">
        <f t="shared" si="178"/>
        <v>47756</v>
      </c>
      <c r="AS376" s="405">
        <f t="shared" si="179"/>
        <v>48121</v>
      </c>
      <c r="AT376" s="405">
        <f t="shared" si="179"/>
        <v>48487</v>
      </c>
      <c r="AU376" s="405">
        <f t="shared" si="179"/>
        <v>48852</v>
      </c>
      <c r="AV376" s="405">
        <f t="shared" si="179"/>
        <v>49217</v>
      </c>
      <c r="AW376" s="405">
        <f t="shared" si="179"/>
        <v>49582</v>
      </c>
      <c r="AX376" s="405">
        <f t="shared" si="179"/>
        <v>49948</v>
      </c>
      <c r="AY376" s="405">
        <f t="shared" si="179"/>
        <v>50313</v>
      </c>
      <c r="AZ376" s="405"/>
    </row>
    <row r="377" spans="15:52" hidden="1">
      <c r="O377" s="207" t="s">
        <v>251</v>
      </c>
      <c r="P377" s="207">
        <f t="shared" si="175"/>
        <v>1</v>
      </c>
      <c r="Q377" s="406">
        <f>IF(IF(Q376&lt;$E$27,0,DATEDIF($E$27,Q376+1,"m"))&lt;0,0,IF(Q376&lt;$E$27,0,DATEDIF($E$27,Q376+1,"m")))</f>
        <v>0</v>
      </c>
      <c r="R377" s="406">
        <f>IF(IF(Q377=12,0,IF(R376&gt;$E$28,12-DATEDIF($E$28,R376+1,"m"),IF(R376&lt;$E$27,0,DATEDIF($E$27,R376+1,"m"))))&lt;0,0,IF(Q377=12,0,IF(R376&gt;$E$28,12-DATEDIF($E$28,R376+1,"m"),IF(R376&lt;$E$27,0,DATEDIF($E$27,R376+1,"m")))))</f>
        <v>0</v>
      </c>
      <c r="S377" s="406">
        <f>IF(IF(Q377+R377=12,0,IF(S376&gt;$E$28,12-DATEDIF($E$28,S376+1,"m"),IF(S376&lt;$E$27,0,DATEDIF($E$27,S376+1,"m"))))&lt;0,0,IF(Q377+R377=12,0,IF(S376&gt;$E$28,12-DATEDIF($E$28,S376+1,"m"),IF(S376&lt;$E$27,0,DATEDIF($E$27,S376+1,"m")))))</f>
        <v>0</v>
      </c>
      <c r="T377" s="406">
        <f>IF(IF(R377+S377+Q377=12,0,IF(T376&gt;$E$28,12-DATEDIF($E$28,T376+1,"m"),IF(T376&lt;$E$27,0,DATEDIF($E$27,T376+1,"m"))))&lt;0,0,IF(R377+S377+Q377=12,0,IF(T376&gt;$E$28,12-DATEDIF($E$28,T376+1,"m"),IF(T376&lt;$E$27,0,DATEDIF($E$27,T376+1,"m")))))</f>
        <v>0</v>
      </c>
      <c r="U377" s="406">
        <f>IF(IF(S377+T377+R377+Q377=12,0,IF(U376&gt;$E$28,12-DATEDIF($E$28,U376+1,"m"),IF(U376&lt;$E$27,0,DATEDIF($E$27,U376+1,"m"))))&lt;0,0,IF(S377+T377+R377+Q377=12,0,IF(U376&gt;$E$28,12-DATEDIF($E$28,U376+1,"m"),IF(U376&lt;$E$27,0,DATEDIF($E$27,U376+1,"m")))))</f>
        <v>0</v>
      </c>
      <c r="V377" s="406">
        <f>IF(IF(T377+U377+S377+R377+Q377=12,0,IF(V376&gt;$E$28,12-DATEDIF($E$28,V376+1,"m"),IF(V376&lt;$E$27,0,DATEDIF($E$27,V376+1,"m"))))&lt;0,0,IF(T377+U377+S377+R377+Q377=12,0,IF(V376&gt;$E$28,12-DATEDIF($E$28,V376+1,"m"),IF(V376&lt;$E$27,0,DATEDIF($E$27,V376+1,"m")))))</f>
        <v>0</v>
      </c>
      <c r="W377" s="406">
        <f>IF(IF(U377+V377+T377+S377+R377+Q377=12,0,IF(W376&gt;$E$28,12-DATEDIF($E$28,W376+1,"m"),IF(W376&lt;$E$27,0,DATEDIF($E$27,W376+1,"m"))))&lt;0,0,IF(U377+V377+T377+S377+R377+Q377=12,0,IF(W376&gt;$E$28,12-DATEDIF($E$28,W376+1,"m"),IF(W376&lt;$E$27,0,DATEDIF($E$27,W376+1,"m")))))</f>
        <v>0</v>
      </c>
      <c r="X377" s="406">
        <f>IF(IF(V377+W377+U377+T377+S377+R377+Q377=12,0,IF(X376&gt;$E$28,12-DATEDIF($E$28,X376+1,"m"),IF(X376&lt;$E$27,0,DATEDIF($E$27,X376+1,"m"))))&lt;0,0,IF(V377+W377+U377+T377+S377+R377+Q377=12,0,IF(X376&gt;$E$28,12-DATEDIF($E$28,X376+1,"m"),IF(X376&lt;$E$27,0,DATEDIF($E$27,X376+1,"m")))))</f>
        <v>0</v>
      </c>
      <c r="Y377" s="406">
        <f>IF(IF(Q377+W377+X377+V377+U377+T377+S377+R377=12,0,IF(Y376&gt;F196,12-DATEDIF(F196,Y376+1,"m"),IF(Y376&lt;F195,0,DATEDIF(F195,Y376+1,"m"))))&lt;0,0,IF(Q377+W377+X377+V377+U377+T377+S377+R377=12,0,IF(Y376&gt;F196,12-DATEDIF(F196,Y376+1,"m"),IF(Y376&lt;F195,0,DATEDIF(F195,Y376+1,"m")))))</f>
        <v>1557</v>
      </c>
      <c r="Z377" s="406">
        <f>IF(IF(+Q377+R377+X377+Y377+W377+V377+U377+T377+S377=12,0,IF(Z376&gt;G196,12-DATEDIF(G196,Z376+1,"m"),IF(Z376&lt;G195,0,DATEDIF(G195,Z376+1,"m"))))&lt;0,0,IF(+Q377+R377+X377+Y377+W377+V377+U377+T377+S377=12,0,IF(Z376&gt;G196,12-DATEDIF(G196,Z376+1,"m"),IF(Z376&lt;G195,0,DATEDIF(G195,Z376+1,"m")))))</f>
        <v>1569</v>
      </c>
      <c r="AA377" s="406"/>
      <c r="AB377" s="406"/>
      <c r="AC377" s="406"/>
      <c r="AD377" s="406"/>
      <c r="AE377" s="406"/>
      <c r="AF377" s="406"/>
      <c r="AG377" s="406"/>
      <c r="AH377" s="423">
        <f>SUM(Q377:AG377)</f>
        <v>3126</v>
      </c>
      <c r="AI377" s="406">
        <f t="shared" si="178"/>
        <v>0</v>
      </c>
      <c r="AJ377" s="406">
        <f t="shared" si="178"/>
        <v>0</v>
      </c>
      <c r="AK377" s="406">
        <f t="shared" si="178"/>
        <v>0</v>
      </c>
      <c r="AL377" s="406">
        <f t="shared" si="178"/>
        <v>0</v>
      </c>
      <c r="AM377" s="406">
        <f t="shared" si="178"/>
        <v>0</v>
      </c>
      <c r="AN377" s="406">
        <f t="shared" si="178"/>
        <v>0</v>
      </c>
      <c r="AO377" s="406">
        <f t="shared" si="178"/>
        <v>0</v>
      </c>
      <c r="AP377" s="406">
        <f t="shared" si="178"/>
        <v>0</v>
      </c>
      <c r="AQ377" s="406">
        <f t="shared" si="178"/>
        <v>1557</v>
      </c>
      <c r="AR377" s="406">
        <f t="shared" si="178"/>
        <v>1569</v>
      </c>
      <c r="AS377" s="406">
        <f t="shared" si="179"/>
        <v>0</v>
      </c>
      <c r="AT377" s="406">
        <f t="shared" si="179"/>
        <v>0</v>
      </c>
      <c r="AU377" s="406">
        <f t="shared" si="179"/>
        <v>0</v>
      </c>
      <c r="AV377" s="406">
        <f t="shared" si="179"/>
        <v>0</v>
      </c>
      <c r="AW377" s="406">
        <f t="shared" si="179"/>
        <v>0</v>
      </c>
      <c r="AX377" s="406">
        <f t="shared" si="179"/>
        <v>0</v>
      </c>
      <c r="AY377" s="406">
        <f t="shared" si="179"/>
        <v>0</v>
      </c>
      <c r="AZ377" s="406">
        <f>SUM(AI377:AY377)</f>
        <v>3126</v>
      </c>
    </row>
    <row r="378" spans="15:52" ht="18" hidden="1" customHeight="1">
      <c r="P378" s="207">
        <f t="shared" si="175"/>
        <v>1</v>
      </c>
      <c r="Q378" s="407">
        <f>IF(Q377=0,0,(IF(($C$135+$B$135+$D$135+$E$135)&lt;=25000,(($E$135/+$AH377)*Q377)*VLOOKUP('1. SUMMARY'!$C$20,rate,Sheet1!T$21,0),((IF(($B$135+$C$135+$D$135)&gt;=25000,0,(((25000-($B$135+$C$135+$D$135))/+$AH377)*Q377)*(VLOOKUP('1. SUMMARY'!$C$20,rate,Sheet1!T$21,0))))))))</f>
        <v>0</v>
      </c>
      <c r="R378" s="407">
        <f>IF(R377=0,0,(IF(($C$135+$B$135+$D$135+$E$135)&lt;=25000,(($E$135/+$AH377)*R377)*VLOOKUP('1. SUMMARY'!$C$20,rate,Sheet1!U$21,0),((IF(($B$135+$C$135+$D$135)&gt;=25000,0,(((25000-($B$135+$C$135+$D$135))/+$AH377)*R377)*(VLOOKUP('1. SUMMARY'!$C$20,rate,Sheet1!U$21,0))))))))</f>
        <v>0</v>
      </c>
      <c r="S378" s="407">
        <f>IF(S377=0,0,(IF(($C$135+$B$135+$D$135+$E$135)&lt;=25000,(($E$135/+$AH377)*S377)*VLOOKUP('1. SUMMARY'!$C$20,rate,Sheet1!V$21,0),((IF(($B$135+$C$135+$D$135)&gt;=25000,0,(((25000-($B$135+$C$135+$D$135))/+$AH377)*S377)*(VLOOKUP('1. SUMMARY'!$C$20,rate,Sheet1!V$21,0))))))))</f>
        <v>0</v>
      </c>
      <c r="T378" s="407">
        <f>IF(T377=0,0,(IF(($C$135+$B$135+$D$135+$E$135)&lt;=25000,(($E$135/+$AH377)*T377)*VLOOKUP('1. SUMMARY'!$C$20,rate,Sheet1!W$21,0),((IF(($B$135+$C$135+$D$135)&gt;=25000,0,(((25000-($B$135+$C$135+$D$135))/+$AH377)*T377)*(VLOOKUP('1. SUMMARY'!$C$20,rate,Sheet1!W$21,0))))))))</f>
        <v>0</v>
      </c>
      <c r="U378" s="407">
        <f>IF(U377=0,0,(IF(($C$135+$B$135+$D$135+$E$135)&lt;=25000,(($E$135/+$AH377)*U377)*VLOOKUP('1. SUMMARY'!$C$20,rate,Sheet1!X$21,0),((IF(($B$135+$C$135+$D$135)&gt;=25000,0,(((25000-($B$135+$C$135+$D$135))/+$AH377)*U377)*(VLOOKUP('1. SUMMARY'!$C$20,rate,Sheet1!X$21,0))))))))</f>
        <v>0</v>
      </c>
      <c r="V378" s="407">
        <f>IF(V377=0,0,(IF(($C$135+$B$135+$D$135+$E$135)&lt;=25000,(($E$135/+$AH377)*V377)*VLOOKUP('1. SUMMARY'!$C$20,rate,Sheet1!Y$21,0),((IF(($B$135+$C$135+$D$135)&gt;=25000,0,(((25000-($B$135+$C$135+$D$135))/+$AH377)*V377)*(VLOOKUP('1. SUMMARY'!$C$20,rate,Sheet1!Y$21,0))))))))</f>
        <v>0</v>
      </c>
      <c r="W378" s="407">
        <f>IF(W377=0,0,(IF(($C$135+$B$135+$D$135+$E$135)&lt;=25000,(($E$135/+$AH377)*W377)*VLOOKUP('1. SUMMARY'!$C$20,rate,Sheet1!Z$21,0),((IF(($B$135+$C$135+$D$135)&gt;=25000,0,(((25000-($B$135+$C$135+$D$135))/+$AH377)*W377)*(VLOOKUP('1. SUMMARY'!$C$20,rate,Sheet1!Z$21,0))))))))</f>
        <v>0</v>
      </c>
      <c r="X378" s="407">
        <f>IF(X377=0,0,(IF(($C$135+$B$135+$D$135+$E$135)&lt;=25000,(($E$135/+$AH377)*X377)*VLOOKUP('1. SUMMARY'!$C$20,rate,Sheet1!AA$21,0),((IF(($B$135+$C$135+$D$135)&gt;=25000,0,(((25000-($B$135+$C$135+$D$135))/+$AH377)*X377)*(VLOOKUP('1. SUMMARY'!$C$20,rate,Sheet1!AA$21,0))))))))</f>
        <v>0</v>
      </c>
      <c r="Y378" s="407">
        <f>IF(Y377=0,0,(IF(($C$135+$B$135+$D$135+$E$135)&lt;=25000,(($E$135/+$AH377)*Y377)*VLOOKUP('1. SUMMARY'!$C$20,rate,Sheet1!AB$21,0),((IF(($B$135+$C$135+$D$135)&gt;=25000,0,(((25000-($B$135+$C$135+$D$135))/+$AH377)*Y377)*(VLOOKUP('1. SUMMARY'!$C$20,rate,Sheet1!AB$21,0))))))))</f>
        <v>0</v>
      </c>
      <c r="Z378" s="407">
        <f>IF(Z377=0,0,(IF(($C$135+$B$135+$D$135+$E$135)&lt;=25000,(($E$135/+$AH377)*Z377)*VLOOKUP('1. SUMMARY'!$C$20,rate,Sheet1!AC$21,0),((IF(($B$135+$C$135+$D$135)&gt;=25000,0,(((25000-($B$135+$C$135+$D$135))/+$AH377)*Z377)*(VLOOKUP('1. SUMMARY'!$C$20,rate,Sheet1!AC$21,0))))))))</f>
        <v>0</v>
      </c>
      <c r="AA378" s="407">
        <f>IF(AA377=0,0,(IF(($C$135+$B$135+$D$135+$E$135)&lt;=25000,(($E$135/+$AH377)*AA377)*VLOOKUP('1. SUMMARY'!$C$20,rate,Sheet1!AD$21,0),((IF(($B$135+$C$135+$D$135)&gt;=25000,0,(((25000-($B$135+$C$135+$D$135))/+$AH377)*AA377)*(VLOOKUP('1. SUMMARY'!$C$20,rate,Sheet1!AD$21,0))))))))</f>
        <v>0</v>
      </c>
      <c r="AB378" s="407">
        <f>IF(AB377=0,0,(IF(($C$135+$B$135+$D$135+$E$135)&lt;=25000,(($E$135/+$AH377)*AB377)*VLOOKUP('1. SUMMARY'!$C$20,rate,Sheet1!AE$21,0),((IF(($B$135+$C$135+$D$135)&gt;=25000,0,(((25000-($B$135+$C$135+$D$135))/+$AH377)*AB377)*(VLOOKUP('1. SUMMARY'!$C$20,rate,Sheet1!AE$21,0))))))))</f>
        <v>0</v>
      </c>
      <c r="AC378" s="407">
        <f>IF(AC377=0,0,(IF(($C$135+$B$135+$D$135+$E$135)&lt;=25000,(($E$135/+$AH377)*AC377)*VLOOKUP('1. SUMMARY'!$C$20,rate,Sheet1!AF$21,0),((IF(($B$135+$C$135+$D$135)&gt;=25000,0,(((25000-($B$135+$C$135+$D$135))/+$AH377)*AC377)*(VLOOKUP('1. SUMMARY'!$C$20,rate,Sheet1!AF$21,0))))))))</f>
        <v>0</v>
      </c>
      <c r="AD378" s="407">
        <f>IF(AD377=0,0,(IF(($C$135+$B$135+$D$135+$E$135)&lt;=25000,(($E$135/+$AH377)*AD377)*VLOOKUP('1. SUMMARY'!$C$20,rate,Sheet1!AG$21,0),((IF(($B$135+$C$135+$D$135)&gt;=25000,0,(((25000-($B$135+$C$135+$D$135))/+$AH377)*AD377)*(VLOOKUP('1. SUMMARY'!$C$20,rate,Sheet1!AG$21,0))))))))</f>
        <v>0</v>
      </c>
      <c r="AE378" s="407">
        <f>IF(AE377=0,0,(IF(($C$135+$B$135+$D$135+$E$135)&lt;=25000,(($E$135/+$AH377)*AE377)*VLOOKUP('1. SUMMARY'!$C$20,rate,Sheet1!AH$21,0),((IF(($B$135+$C$135+$D$135)&gt;=25000,0,(((25000-($B$135+$C$135+$D$135))/+$AH377)*AE377)*(VLOOKUP('1. SUMMARY'!$C$20,rate,Sheet1!AH$21,0))))))))</f>
        <v>0</v>
      </c>
      <c r="AF378" s="407">
        <f>IF(AF377=0,0,(IF(($C$135+$B$135+$D$135+$E$135)&lt;=25000,(($E$135/+$AH377)*AF377)*VLOOKUP('1. SUMMARY'!$C$20,rate,Sheet1!AI$21,0),((IF(($B$135+$C$135+$D$135)&gt;=25000,0,(((25000-($B$135+$C$135+$D$135))/+$AH377)*AF377)*(VLOOKUP('1. SUMMARY'!$C$20,rate,Sheet1!AI$21,0))))))))</f>
        <v>0</v>
      </c>
      <c r="AG378" s="407">
        <f>IF(AG377=0,0,(IF(($C$135+$B$135+$D$135+$E$135)&lt;=25000,(($E$135/+$AH377)*AG377)*VLOOKUP('1. SUMMARY'!$C$20,rate,Sheet1!AJ$21,0),((IF(($B$135+$C$135+$D$135)&gt;=25000,0,(((25000-($B$135+$C$135+$D$135))/+$AH377)*AG377)*(VLOOKUP('1. SUMMARY'!$C$20,rate,Sheet1!AJ$21,0))))))))</f>
        <v>0</v>
      </c>
      <c r="AH378" s="219">
        <f>SUM(Q378:AG378)</f>
        <v>0</v>
      </c>
      <c r="AI378" s="407">
        <f>IF(AI377=0,0,((+$E135/$AZ$22)*AI377)*VLOOKUP('1. SUMMARY'!$C$20,rate,Sheet1!T$21,0))</f>
        <v>0</v>
      </c>
      <c r="AJ378" s="407">
        <f>IF(AJ377=0,0,((+$E135/$AZ$22)*AJ377)*VLOOKUP('1. SUMMARY'!$C$20,rate,Sheet1!U$21,0))</f>
        <v>0</v>
      </c>
      <c r="AK378" s="407">
        <f>IF(AK377=0,0,((+$E135/$AZ$22)*AK377)*VLOOKUP('1. SUMMARY'!$C$20,rate,Sheet1!V$21,0))</f>
        <v>0</v>
      </c>
      <c r="AL378" s="407">
        <f>IF(AL377=0,0,((+$E135/$AZ$22)*AL377)*VLOOKUP('1. SUMMARY'!$C$20,rate,Sheet1!W$21,0))</f>
        <v>0</v>
      </c>
      <c r="AM378" s="407">
        <f>IF(AM377=0,0,((+$E135/$AZ$22)*AM377)*VLOOKUP('1. SUMMARY'!$C$20,rate,Sheet1!X$21,0))</f>
        <v>0</v>
      </c>
      <c r="AN378" s="407">
        <f>IF(AN377=0,0,((+$E135/$AZ$22)*AN377)*VLOOKUP('1. SUMMARY'!$C$20,rate,Sheet1!Y$21,0))</f>
        <v>0</v>
      </c>
      <c r="AO378" s="407">
        <f>IF(AO377=0,0,((+$E135/$AZ$22)*AO377)*VLOOKUP('1. SUMMARY'!$C$20,rate,Sheet1!Z$21,0))</f>
        <v>0</v>
      </c>
      <c r="AP378" s="407">
        <f>IF(AP377=0,0,((+$E135/$AZ$22)*AP377)*VLOOKUP('1. SUMMARY'!$C$20,rate,Sheet1!AA$21,0))</f>
        <v>0</v>
      </c>
      <c r="AQ378" s="407" t="e">
        <f>IF(AQ377=0,0,((+$E135/$AZ$22)*AQ377)*VLOOKUP('1. SUMMARY'!$C$20,rate,Sheet1!AB$21,0))</f>
        <v>#DIV/0!</v>
      </c>
      <c r="AR378" s="407" t="e">
        <f>IF(AR377=0,0,((+$E135/$AZ$22)*AR377)*VLOOKUP('1. SUMMARY'!$C$20,rate,Sheet1!AC$21,0))</f>
        <v>#DIV/0!</v>
      </c>
      <c r="AS378" s="407">
        <f>IF(AS377=0,0,((+$E135/$AZ$22)*AS377)*VLOOKUP('1. SUMMARY'!$C$20,rate,Sheet1!AD$21,0))</f>
        <v>0</v>
      </c>
      <c r="AT378" s="407">
        <f>IF(AT377=0,0,((+$E135/$AZ$22)*AT377)*VLOOKUP('1. SUMMARY'!$C$20,rate,Sheet1!AE$21,0))</f>
        <v>0</v>
      </c>
      <c r="AU378" s="407">
        <f>IF(AU377=0,0,((+$E135/$AZ$22)*AU377)*VLOOKUP('1. SUMMARY'!$C$20,rate,Sheet1!AF$21,0))</f>
        <v>0</v>
      </c>
      <c r="AV378" s="407">
        <f>IF(AV377=0,0,((+$E135/$AZ$22)*AV377)*VLOOKUP('1. SUMMARY'!$C$20,rate,Sheet1!AG$21,0))</f>
        <v>0</v>
      </c>
      <c r="AW378" s="407">
        <f>IF(AW377=0,0,((+$E135/$AZ$22)*AW377)*VLOOKUP('1. SUMMARY'!$C$20,rate,Sheet1!AH$21,0))</f>
        <v>0</v>
      </c>
      <c r="AX378" s="407">
        <f>IF(AX377=0,0,((+$E135/$AZ$22)*AX377)*VLOOKUP('1. SUMMARY'!$C$20,rate,Sheet1!AI$21,0))</f>
        <v>0</v>
      </c>
      <c r="AY378" s="407">
        <f>IF(AY377=0,0,((+$E135/$AZ$22)*AY377)*VLOOKUP('1. SUMMARY'!$C$20,rate,Sheet1!AJ$21,0))</f>
        <v>0</v>
      </c>
      <c r="AZ378" s="407" t="e">
        <f>SUM(AI378:AY378)</f>
        <v>#DIV/0!</v>
      </c>
    </row>
    <row r="379" spans="15:52" ht="18" hidden="1" customHeight="1">
      <c r="P379" s="207">
        <f t="shared" si="175"/>
        <v>1</v>
      </c>
      <c r="Q379" s="407">
        <f>+Q378/VLOOKUP('1. SUMMARY'!$C$20,rate,Sheet1!T$21,0)</f>
        <v>0</v>
      </c>
      <c r="R379" s="407">
        <f>+R378/VLOOKUP('1. SUMMARY'!$C$20,rate,Sheet1!U$21,0)</f>
        <v>0</v>
      </c>
      <c r="S379" s="407">
        <f>+S378/VLOOKUP('1. SUMMARY'!$C$20,rate,Sheet1!V$21,0)</f>
        <v>0</v>
      </c>
      <c r="T379" s="407">
        <f>+T378/VLOOKUP('1. SUMMARY'!$C$20,rate,Sheet1!W$21,0)</f>
        <v>0</v>
      </c>
      <c r="U379" s="407">
        <f>+U378/VLOOKUP('1. SUMMARY'!$C$20,rate,Sheet1!X$21,0)</f>
        <v>0</v>
      </c>
      <c r="V379" s="407">
        <f>+V378/VLOOKUP('1. SUMMARY'!$C$20,rate,Sheet1!Y$21,0)</f>
        <v>0</v>
      </c>
      <c r="W379" s="407">
        <f>+W378/VLOOKUP('1. SUMMARY'!$C$20,rate,Sheet1!Z$21,0)</f>
        <v>0</v>
      </c>
      <c r="X379" s="407">
        <f>+X378/VLOOKUP('1. SUMMARY'!$C$20,rate,Sheet1!AA$21,0)</f>
        <v>0</v>
      </c>
      <c r="Y379" s="407">
        <f>+Y378/VLOOKUP('1. SUMMARY'!$C$20,rate,Sheet1!AB$21,0)</f>
        <v>0</v>
      </c>
      <c r="Z379" s="407">
        <f>+Z378/VLOOKUP('1. SUMMARY'!$C$20,rate,Sheet1!AC$21,0)</f>
        <v>0</v>
      </c>
      <c r="AA379" s="407">
        <f>+AA378/VLOOKUP('1. SUMMARY'!$C$20,rate,Sheet1!AD$21,0)</f>
        <v>0</v>
      </c>
      <c r="AB379" s="407">
        <f>+AB378/VLOOKUP('1. SUMMARY'!$C$20,rate,Sheet1!AE$21,0)</f>
        <v>0</v>
      </c>
      <c r="AC379" s="407">
        <f>+AC378/VLOOKUP('1. SUMMARY'!$C$20,rate,Sheet1!AF$21,0)</f>
        <v>0</v>
      </c>
      <c r="AD379" s="407">
        <f>+AD378/VLOOKUP('1. SUMMARY'!$C$20,rate,Sheet1!AG$21,0)</f>
        <v>0</v>
      </c>
      <c r="AE379" s="407">
        <f>+AE378/VLOOKUP('1. SUMMARY'!$C$20,rate,Sheet1!AH$21,0)</f>
        <v>0</v>
      </c>
      <c r="AF379" s="407">
        <f>+AF378/VLOOKUP('1. SUMMARY'!$C$20,rate,Sheet1!AI$21,0)</f>
        <v>0</v>
      </c>
      <c r="AG379" s="407">
        <f>+AG378/VLOOKUP('1. SUMMARY'!$C$20,rate,Sheet1!AJ$21,0)</f>
        <v>0</v>
      </c>
      <c r="AH379" s="219"/>
      <c r="AI379" s="407">
        <v>0</v>
      </c>
      <c r="AJ379" s="407">
        <v>0</v>
      </c>
      <c r="AK379" s="407">
        <v>0</v>
      </c>
      <c r="AL379" s="407">
        <v>0</v>
      </c>
      <c r="AM379" s="407">
        <v>0</v>
      </c>
      <c r="AN379" s="407">
        <v>0</v>
      </c>
      <c r="AO379" s="407">
        <v>0</v>
      </c>
      <c r="AP379" s="407">
        <v>0</v>
      </c>
      <c r="AQ379" s="407"/>
      <c r="AR379" s="407"/>
      <c r="AS379" s="407"/>
      <c r="AT379" s="407"/>
      <c r="AU379" s="407"/>
      <c r="AV379" s="407"/>
      <c r="AW379" s="407"/>
      <c r="AX379" s="407"/>
      <c r="AY379" s="407"/>
      <c r="AZ379" s="407"/>
    </row>
    <row r="380" spans="15:52" ht="18" hidden="1" customHeight="1">
      <c r="P380" s="207">
        <f t="shared" si="175"/>
        <v>1</v>
      </c>
      <c r="Q380" s="408">
        <f>Sheet1!$T$8</f>
        <v>44105</v>
      </c>
      <c r="R380" s="408">
        <f>Sheet1!$U$8</f>
        <v>44470</v>
      </c>
      <c r="S380" s="408">
        <f>Sheet1!$V$8</f>
        <v>44835</v>
      </c>
      <c r="T380" s="408">
        <f>Sheet1!$W$8</f>
        <v>45200</v>
      </c>
      <c r="U380" s="408">
        <f>Sheet1!$X$8</f>
        <v>45566</v>
      </c>
      <c r="V380" s="408">
        <f>Sheet1!$Y$8</f>
        <v>45931</v>
      </c>
      <c r="W380" s="408">
        <f>Sheet1!$Z$8</f>
        <v>46296</v>
      </c>
      <c r="X380" s="408">
        <f>Sheet1!$AA$8</f>
        <v>46661</v>
      </c>
      <c r="Y380" s="408">
        <f>Sheet1!$AB$8</f>
        <v>47027</v>
      </c>
      <c r="Z380" s="408">
        <f>Sheet1!$AC$8</f>
        <v>47392</v>
      </c>
      <c r="AA380" s="408">
        <f>$AA$5</f>
        <v>47757</v>
      </c>
      <c r="AB380" s="408">
        <f>$AB$5</f>
        <v>48122</v>
      </c>
      <c r="AC380" s="408">
        <f>$AC$5</f>
        <v>48488</v>
      </c>
      <c r="AD380" s="408">
        <f>$AD$5</f>
        <v>48853</v>
      </c>
      <c r="AE380" s="408">
        <f>$AE$5</f>
        <v>49218</v>
      </c>
      <c r="AF380" s="408">
        <f>$AF$5</f>
        <v>49583</v>
      </c>
      <c r="AG380" s="408">
        <f>$AG$5</f>
        <v>49949</v>
      </c>
      <c r="AH380" s="211"/>
      <c r="AI380" s="408">
        <f t="shared" ref="AI380:AR382" si="180">+Q380</f>
        <v>44105</v>
      </c>
      <c r="AJ380" s="408">
        <f t="shared" si="180"/>
        <v>44470</v>
      </c>
      <c r="AK380" s="408">
        <f t="shared" si="180"/>
        <v>44835</v>
      </c>
      <c r="AL380" s="408">
        <f t="shared" si="180"/>
        <v>45200</v>
      </c>
      <c r="AM380" s="408">
        <f t="shared" si="180"/>
        <v>45566</v>
      </c>
      <c r="AN380" s="408">
        <f t="shared" si="180"/>
        <v>45931</v>
      </c>
      <c r="AO380" s="408">
        <f t="shared" si="180"/>
        <v>46296</v>
      </c>
      <c r="AP380" s="408">
        <f t="shared" si="180"/>
        <v>46661</v>
      </c>
      <c r="AQ380" s="408">
        <f t="shared" si="180"/>
        <v>47027</v>
      </c>
      <c r="AR380" s="408">
        <f t="shared" si="180"/>
        <v>47392</v>
      </c>
      <c r="AS380" s="408">
        <f t="shared" ref="AS380:AY382" si="181">+AA380</f>
        <v>47757</v>
      </c>
      <c r="AT380" s="408">
        <f t="shared" si="181"/>
        <v>48122</v>
      </c>
      <c r="AU380" s="408">
        <f t="shared" si="181"/>
        <v>48488</v>
      </c>
      <c r="AV380" s="408">
        <f t="shared" si="181"/>
        <v>48853</v>
      </c>
      <c r="AW380" s="408">
        <f t="shared" si="181"/>
        <v>49218</v>
      </c>
      <c r="AX380" s="408">
        <f t="shared" si="181"/>
        <v>49583</v>
      </c>
      <c r="AY380" s="408">
        <f t="shared" si="181"/>
        <v>49949</v>
      </c>
      <c r="AZ380" s="408"/>
    </row>
    <row r="381" spans="15:52" ht="18" hidden="1" customHeight="1">
      <c r="P381" s="207">
        <f t="shared" si="175"/>
        <v>1</v>
      </c>
      <c r="Q381" s="408">
        <f>Sheet1!$T$9</f>
        <v>44469</v>
      </c>
      <c r="R381" s="408">
        <f>Sheet1!$U$9</f>
        <v>44834</v>
      </c>
      <c r="S381" s="408">
        <f>Sheet1!$V$9</f>
        <v>45199</v>
      </c>
      <c r="T381" s="408">
        <f>Sheet1!$W$9</f>
        <v>45565</v>
      </c>
      <c r="U381" s="408">
        <f>Sheet1!$X$9</f>
        <v>45930</v>
      </c>
      <c r="V381" s="408">
        <f>Sheet1!$Y$9</f>
        <v>46295</v>
      </c>
      <c r="W381" s="408">
        <f>Sheet1!$Z$9</f>
        <v>46660</v>
      </c>
      <c r="X381" s="408">
        <f>Sheet1!$AA$9</f>
        <v>47026</v>
      </c>
      <c r="Y381" s="408">
        <f>Sheet1!$AB$9</f>
        <v>47391</v>
      </c>
      <c r="Z381" s="408">
        <f>Sheet1!$AC$9</f>
        <v>47756</v>
      </c>
      <c r="AA381" s="408">
        <f>$AA$6</f>
        <v>48121</v>
      </c>
      <c r="AB381" s="408">
        <f>$AB$6</f>
        <v>48487</v>
      </c>
      <c r="AC381" s="408">
        <f>$AC$6</f>
        <v>48852</v>
      </c>
      <c r="AD381" s="408">
        <f>$AD$6</f>
        <v>49217</v>
      </c>
      <c r="AE381" s="408">
        <f>$AE$6</f>
        <v>49582</v>
      </c>
      <c r="AF381" s="408">
        <f>$AF$6</f>
        <v>49948</v>
      </c>
      <c r="AG381" s="408">
        <f>$AG$6</f>
        <v>50313</v>
      </c>
      <c r="AH381" s="211"/>
      <c r="AI381" s="408">
        <f t="shared" si="180"/>
        <v>44469</v>
      </c>
      <c r="AJ381" s="408">
        <f t="shared" si="180"/>
        <v>44834</v>
      </c>
      <c r="AK381" s="408">
        <f t="shared" si="180"/>
        <v>45199</v>
      </c>
      <c r="AL381" s="408">
        <f t="shared" si="180"/>
        <v>45565</v>
      </c>
      <c r="AM381" s="408">
        <f t="shared" si="180"/>
        <v>45930</v>
      </c>
      <c r="AN381" s="408">
        <f t="shared" si="180"/>
        <v>46295</v>
      </c>
      <c r="AO381" s="408">
        <f t="shared" si="180"/>
        <v>46660</v>
      </c>
      <c r="AP381" s="408">
        <f t="shared" si="180"/>
        <v>47026</v>
      </c>
      <c r="AQ381" s="408">
        <f t="shared" si="180"/>
        <v>47391</v>
      </c>
      <c r="AR381" s="408">
        <f t="shared" si="180"/>
        <v>47756</v>
      </c>
      <c r="AS381" s="408">
        <f t="shared" si="181"/>
        <v>48121</v>
      </c>
      <c r="AT381" s="408">
        <f t="shared" si="181"/>
        <v>48487</v>
      </c>
      <c r="AU381" s="408">
        <f t="shared" si="181"/>
        <v>48852</v>
      </c>
      <c r="AV381" s="408">
        <f t="shared" si="181"/>
        <v>49217</v>
      </c>
      <c r="AW381" s="408">
        <f t="shared" si="181"/>
        <v>49582</v>
      </c>
      <c r="AX381" s="408">
        <f t="shared" si="181"/>
        <v>49948</v>
      </c>
      <c r="AY381" s="408">
        <f t="shared" si="181"/>
        <v>50313</v>
      </c>
      <c r="AZ381" s="408"/>
    </row>
    <row r="382" spans="15:52" ht="18" hidden="1" customHeight="1">
      <c r="O382" s="207" t="s">
        <v>252</v>
      </c>
      <c r="P382" s="207">
        <f t="shared" si="175"/>
        <v>1</v>
      </c>
      <c r="Q382" s="409">
        <f>IF(IF(Q381&lt;$F$27,0,DATEDIF($F$27,Q381+1,"m"))&lt;0,0,IF(Q381&lt;$F$27,0,DATEDIF($F$27,Q381+1,"m")))</f>
        <v>0</v>
      </c>
      <c r="R382" s="409">
        <f>IF(IF(Q382=12,0,IF(R381&gt;$F$28,12-DATEDIF($F$28,R381+1,"m"),IF(R381&lt;$F$27,0,DATEDIF($F$27,R381+1,"m"))))&lt;0,0,IF(Q382=12,0,IF(R381&gt;$F$28,12-DATEDIF($F$28,R381+1,"m"),IF(R381&lt;$F$27,0,DATEDIF($F$27,R381+1,"m")))))</f>
        <v>0</v>
      </c>
      <c r="S382" s="409">
        <f>IF(IF(Q382+R382=12,0,IF(S381&gt;$F$28,12-DATEDIF($F$28,S381+1,"m"),IF(S381&lt;$F$27,0,DATEDIF($F$27,S381+1,"m"))))&lt;0,0,IF(Q382+R382=12,0,IF(S381&gt;$F$28,12-DATEDIF($F$28,S381+1,"m"),IF(S381&lt;$F$27,0,DATEDIF($F$27,S381+1,"m")))))</f>
        <v>0</v>
      </c>
      <c r="T382" s="409">
        <f>IF(IF(R382+S382+Q382=12,0,IF(T381&gt;$F$28,12-DATEDIF($F$28,T381+1,"m"),IF(T381&lt;$F$27,0,DATEDIF($F$27,T381+1,"m"))))&lt;0,0,IF(R382+S382+Q382=12,0,IF(T381&gt;$F$28,12-DATEDIF($F$28,T381+1,"m"),IF(T381&lt;$F$27,0,DATEDIF($F$27,T381+1,"m")))))</f>
        <v>0</v>
      </c>
      <c r="U382" s="409">
        <f>IF(IF(S382+T382+R382+Q382=12,0,IF(U381&gt;$F$28,12-DATEDIF($F$28,U381+1,"m"),IF(U381&lt;$F$27,0,DATEDIF($F$27,U381+1,"m"))))&lt;0,0,IF(S382+T382+R382+Q382=12,0,IF(U381&gt;$F$28,12-DATEDIF($F$28,U381+1,"m"),IF(U381&lt;$F$27,0,DATEDIF($F$27,U381+1,"m")))))</f>
        <v>0</v>
      </c>
      <c r="V382" s="409">
        <f>IF(IF(T382+U382+S382+R382+Q382=12,0,IF(V381&gt;$F$28,12-DATEDIF($F$28,V381+1,"m"),IF(V381&lt;$F$27,0,DATEDIF($F$27,V381+1,"m"))))&lt;0,0,IF(T382+U382+S382+R382+Q382=12,0,IF(V381&gt;$F$28,12-DATEDIF($F$28,V381+1,"m"),IF(V381&lt;$F$27,0,DATEDIF($F$27,V381+1,"m")))))</f>
        <v>0</v>
      </c>
      <c r="W382" s="409">
        <f>IF(IF(U382+V382+T382+S382+R382+Q382=12,0,IF(W381&gt;$F$28,12-DATEDIF($F$28,W381+1,"m"),IF(W381&lt;$F$27,0,DATEDIF($F$27,W381+1,"m"))))&lt;0,0,IF(U382+V382+T382+S382+R382+Q382=12,0,IF(W381&gt;$F$28,12-DATEDIF($F$28,W381+1,"m"),IF(W381&lt;$F$27,0,DATEDIF($F$27,W381+1,"m")))))</f>
        <v>0</v>
      </c>
      <c r="X382" s="409">
        <f>IF(IF(V382+W382+U382+T382+S382+R382+Q382=12,0,IF(X381&gt;$F$28,12-DATEDIF($F$28,X381+1,"m"),IF(X381&lt;$F$27,0,DATEDIF($F$27,X381+1,"m"))))&lt;0,0,IF(V382+W382+U382+T382+S382+R382+Q382=12,0,IF(X381&gt;$F$28,12-DATEDIF($F$28,X381+1,"m"),IF(X381&lt;$F$27,0,DATEDIF($F$27,X381+1,"m")))))</f>
        <v>0</v>
      </c>
      <c r="Y382" s="409">
        <f>IF(IF(Q382+W382+X382+V382+U382+T382+S382+R382=12,0,IF(Y381&gt;$F$28,12-DATEDIF($F$28,Y381+1,"m"),IF(Y381&lt;$F$27,0,DATEDIF($F$27,Y381+1,"m"))))&lt;0,0,IF(Q382+W382+X382+V382+U382+T382+S382+R382=12,0,IF(Y381&gt;$F$28,12-DATEDIF($F$28,Y381+1,"m"),IF(Y381&lt;$F$27,0,DATEDIF($F$27,Y381+1,"m")))))</f>
        <v>0</v>
      </c>
      <c r="Z382" s="409">
        <f>IF(IF(Q382+R382+X382+Y382+W382+V382+U382+T382+S382=12,0,IF(Z381&gt;$F$28,12-DATEDIF($F$28,Z381+1,"m"),IF(Z381&lt;$F$27,0,DATEDIF($F$27,Z381+1,"m"))))&lt;0,0,IF(Q382+R382+X382+Y382+W382+V382+U382+T382+S382=12,0,IF(Z381&gt;$F$28,12-DATEDIF($F$28,Z381+1,"m"),IF(Z381&lt;$F$27,0,DATEDIF($F$27,Z381+1,"m")))))</f>
        <v>0</v>
      </c>
      <c r="AA382" s="409"/>
      <c r="AB382" s="409"/>
      <c r="AC382" s="409"/>
      <c r="AD382" s="409"/>
      <c r="AE382" s="409"/>
      <c r="AF382" s="409"/>
      <c r="AG382" s="409"/>
      <c r="AH382" s="423">
        <f>SUM(Q382:AG382)</f>
        <v>0</v>
      </c>
      <c r="AI382" s="409">
        <f t="shared" si="180"/>
        <v>0</v>
      </c>
      <c r="AJ382" s="409">
        <f t="shared" si="180"/>
        <v>0</v>
      </c>
      <c r="AK382" s="409">
        <f t="shared" si="180"/>
        <v>0</v>
      </c>
      <c r="AL382" s="409">
        <f t="shared" si="180"/>
        <v>0</v>
      </c>
      <c r="AM382" s="409">
        <f t="shared" si="180"/>
        <v>0</v>
      </c>
      <c r="AN382" s="409">
        <f t="shared" si="180"/>
        <v>0</v>
      </c>
      <c r="AO382" s="409">
        <f t="shared" si="180"/>
        <v>0</v>
      </c>
      <c r="AP382" s="409">
        <f t="shared" si="180"/>
        <v>0</v>
      </c>
      <c r="AQ382" s="409">
        <f t="shared" si="180"/>
        <v>0</v>
      </c>
      <c r="AR382" s="409">
        <f t="shared" si="180"/>
        <v>0</v>
      </c>
      <c r="AS382" s="409">
        <f t="shared" si="181"/>
        <v>0</v>
      </c>
      <c r="AT382" s="409">
        <f t="shared" si="181"/>
        <v>0</v>
      </c>
      <c r="AU382" s="409">
        <f t="shared" si="181"/>
        <v>0</v>
      </c>
      <c r="AV382" s="409">
        <f t="shared" si="181"/>
        <v>0</v>
      </c>
      <c r="AW382" s="409">
        <f t="shared" si="181"/>
        <v>0</v>
      </c>
      <c r="AX382" s="409">
        <f t="shared" si="181"/>
        <v>0</v>
      </c>
      <c r="AY382" s="409">
        <f t="shared" si="181"/>
        <v>0</v>
      </c>
      <c r="AZ382" s="409">
        <f>SUM(AI382:AY382)</f>
        <v>0</v>
      </c>
    </row>
    <row r="383" spans="15:52" ht="18" hidden="1" customHeight="1">
      <c r="P383" s="207">
        <f t="shared" si="175"/>
        <v>1</v>
      </c>
      <c r="Q383" s="410">
        <f>IF(Q382=0,0,(IF(($C$135+$B$135+$D$135+$E$135+$F$135)&lt;=25000,(($F$135/+$AH382)*Q382)*VLOOKUP('1. SUMMARY'!$C$20,rate,Sheet1!T$21,0),((IF(($B$135+$C$135+$D$135+$E$135)&gt;=25000,0,(((25000-($B$135+$C$135+$D$135+$E$135))/+$AH382)*Q382)*(VLOOKUP('1. SUMMARY'!$C$20,rate,Sheet1!T$21,0))))))))</f>
        <v>0</v>
      </c>
      <c r="R383" s="410">
        <f>IF(R382=0,0,(IF(($C$135+$B$135+$D$135+$E$135+$F$135)&lt;=25000,(($F$135/+$AH382)*R382)*VLOOKUP('1. SUMMARY'!$C$20,rate,Sheet1!U$21,0),((IF(($B$135+$C$135+$D$135+$E$135)&gt;=25000,0,(((25000-($B$135+$C$135+$D$135+$E$135))/+$AH382)*R382)*(VLOOKUP('1. SUMMARY'!$C$20,rate,Sheet1!U$21,0))))))))</f>
        <v>0</v>
      </c>
      <c r="S383" s="410">
        <f>IF(S382=0,0,(IF(($C$135+$B$135+$D$135+$E$135+$F$135)&lt;=25000,(($F$135/+$AH382)*S382)*VLOOKUP('1. SUMMARY'!$C$20,rate,Sheet1!V$21,0),((IF(($B$135+$C$135+$D$135+$E$135)&gt;=25000,0,(((25000-($B$135+$C$135+$D$135+$E$135))/+$AH382)*S382)*(VLOOKUP('1. SUMMARY'!$C$20,rate,Sheet1!V$21,0))))))))</f>
        <v>0</v>
      </c>
      <c r="T383" s="410">
        <f>IF(T382=0,0,(IF(($C$135+$B$135+$D$135+$E$135+$F$135)&lt;=25000,(($F$135/+$AH382)*T382)*VLOOKUP('1. SUMMARY'!$C$20,rate,Sheet1!W$21,0),((IF(($B$135+$C$135+$D$135+$E$135)&gt;=25000,0,(((25000-($B$135+$C$135+$D$135+$E$135))/+$AH382)*T382)*(VLOOKUP('1. SUMMARY'!$C$20,rate,Sheet1!W$21,0))))))))</f>
        <v>0</v>
      </c>
      <c r="U383" s="410">
        <f>IF(U382=0,0,(IF(($C$135+$B$135+$D$135+$E$135+$F$135)&lt;=25000,(($F$135/+$AH382)*U382)*VLOOKUP('1. SUMMARY'!$C$20,rate,Sheet1!X$21,0),((IF(($B$135+$C$135+$D$135+$E$135)&gt;=25000,0,(((25000-($B$135+$C$135+$D$135+$E$135))/+$AH382)*U382)*(VLOOKUP('1. SUMMARY'!$C$20,rate,Sheet1!X$21,0))))))))</f>
        <v>0</v>
      </c>
      <c r="V383" s="410">
        <f>IF(V382=0,0,(IF(($C$135+$B$135+$D$135+$E$135+$F$135)&lt;=25000,(($F$135/+$AH382)*V382)*VLOOKUP('1. SUMMARY'!$C$20,rate,Sheet1!Y$21,0),((IF(($B$135+$C$135+$D$135+$E$135)&gt;=25000,0,(((25000-($B$135+$C$135+$D$135+$E$135))/+$AH382)*V382)*(VLOOKUP('1. SUMMARY'!$C$20,rate,Sheet1!Y$21,0))))))))</f>
        <v>0</v>
      </c>
      <c r="W383" s="410">
        <f>IF(W382=0,0,(IF(($C$135+$B$135+$D$135+$E$135+$F$135)&lt;=25000,(($F$135/+$AH382)*W382)*VLOOKUP('1. SUMMARY'!$C$20,rate,Sheet1!Z$21,0),((IF(($B$135+$C$135+$D$135+$E$135)&gt;=25000,0,(((25000-($B$135+$C$135+$D$135+$E$135))/+$AH382)*W382)*(VLOOKUP('1. SUMMARY'!$C$20,rate,Sheet1!Z$21,0))))))))</f>
        <v>0</v>
      </c>
      <c r="X383" s="410">
        <f>IF(X382=0,0,(IF(($C$135+$B$135+$D$135+$E$135+$F$135)&lt;=25000,(($F$135/+$AH382)*X382)*VLOOKUP('1. SUMMARY'!$C$20,rate,Sheet1!AA$21,0),((IF(($B$135+$C$135+$D$135+$E$135)&gt;=25000,0,(((25000-($B$135+$C$135+$D$135+$E$135))/+$AH382)*X382)*(VLOOKUP('1. SUMMARY'!$C$20,rate,Sheet1!AA$21,0))))))))</f>
        <v>0</v>
      </c>
      <c r="Y383" s="410">
        <f>IF(Y382=0,0,(IF(($C$135+$B$135+$D$135+$E$135+$F$135)&lt;=25000,(($F$135/+$AH382)*Y382)*VLOOKUP('1. SUMMARY'!$C$20,rate,Sheet1!AB$21,0),((IF(($B$135+$C$135+$D$135+$E$135)&gt;=25000,0,(((25000-($B$135+$C$135+$D$135+$E$135))/+$AH382)*Y382)*(VLOOKUP('1. SUMMARY'!$C$20,rate,Sheet1!AB$21,0))))))))</f>
        <v>0</v>
      </c>
      <c r="Z383" s="410">
        <f>IF(Z382=0,0,(IF(($C$135+$B$135+$D$135+$E$135+$F$135)&lt;=25000,(($F$135/+$AH382)*Z382)*VLOOKUP('1. SUMMARY'!$C$20,rate,Sheet1!AC$21,0),((IF(($B$135+$C$135+$D$135+$E$135)&gt;=25000,0,(((25000-($B$135+$C$135+$D$135+$E$135))/+$AH382)*Z382)*(VLOOKUP('1. SUMMARY'!$C$20,rate,Sheet1!AC$21,0))))))))</f>
        <v>0</v>
      </c>
      <c r="AA383" s="410">
        <f>IF(AA382=0,0,(IF(($C$135+$B$135+$D$135+$E$135+$F$135)&lt;=25000,(($F$135/+$AH382)*AA382)*VLOOKUP('1. SUMMARY'!$C$20,rate,Sheet1!AD$21,0),((IF(($B$135+$C$135+$D$135+$E$135)&gt;=25000,0,(((25000-($B$135+$C$135+$D$135+$E$135))/+$AH382)*AA382)*(VLOOKUP('1. SUMMARY'!$C$20,rate,Sheet1!AD$21,0))))))))</f>
        <v>0</v>
      </c>
      <c r="AB383" s="410">
        <f>IF(AB382=0,0,(IF(($C$135+$B$135+$D$135+$E$135+$F$135)&lt;=25000,(($F$135/+$AH382)*AB382)*VLOOKUP('1. SUMMARY'!$C$20,rate,Sheet1!AE$21,0),((IF(($B$135+$C$135+$D$135+$E$135)&gt;=25000,0,(((25000-($B$135+$C$135+$D$135+$E$135))/+$AH382)*AB382)*(VLOOKUP('1. SUMMARY'!$C$20,rate,Sheet1!AE$21,0))))))))</f>
        <v>0</v>
      </c>
      <c r="AC383" s="410">
        <f>IF(AC382=0,0,(IF(($C$135+$B$135+$D$135+$E$135+$F$135)&lt;=25000,(($F$135/+$AH382)*AC382)*VLOOKUP('1. SUMMARY'!$C$20,rate,Sheet1!AF$21,0),((IF(($B$135+$C$135+$D$135+$E$135)&gt;=25000,0,(((25000-($B$135+$C$135+$D$135+$E$135))/+$AH382)*AC382)*(VLOOKUP('1. SUMMARY'!$C$20,rate,Sheet1!AF$21,0))))))))</f>
        <v>0</v>
      </c>
      <c r="AD383" s="410">
        <f>IF(AD382=0,0,(IF(($C$135+$B$135+$D$135+$E$135+$F$135)&lt;=25000,(($F$135/+$AH382)*AD382)*VLOOKUP('1. SUMMARY'!$C$20,rate,Sheet1!AG$21,0),((IF(($B$135+$C$135+$D$135+$E$135)&gt;=25000,0,(((25000-($B$135+$C$135+$D$135+$E$135))/+$AH382)*AD382)*(VLOOKUP('1. SUMMARY'!$C$20,rate,Sheet1!AG$21,0))))))))</f>
        <v>0</v>
      </c>
      <c r="AE383" s="410">
        <f>IF(AE382=0,0,(IF(($C$135+$B$135+$D$135+$E$135+$F$135)&lt;=25000,(($F$135/+$AH382)*AE382)*VLOOKUP('1. SUMMARY'!$C$20,rate,Sheet1!AH$21,0),((IF(($B$135+$C$135+$D$135+$E$135)&gt;=25000,0,(((25000-($B$135+$C$135+$D$135+$E$135))/+$AH382)*AE382)*(VLOOKUP('1. SUMMARY'!$C$20,rate,Sheet1!AH$21,0))))))))</f>
        <v>0</v>
      </c>
      <c r="AF383" s="410">
        <f>IF(AF382=0,0,(IF(($C$135+$B$135+$D$135+$E$135+$F$135)&lt;=25000,(($F$135/+$AH382)*AF382)*VLOOKUP('1. SUMMARY'!$C$20,rate,Sheet1!AI$21,0),((IF(($B$135+$C$135+$D$135+$E$135)&gt;=25000,0,(((25000-($B$135+$C$135+$D$135+$E$135))/+$AH382)*AF382)*(VLOOKUP('1. SUMMARY'!$C$20,rate,Sheet1!AI$21,0))))))))</f>
        <v>0</v>
      </c>
      <c r="AG383" s="410">
        <f>IF(AG382=0,0,(IF(($C$135+$B$135+$D$135+$E$135+$F$135)&lt;=25000,(($F$135/+$AH382)*AG382)*VLOOKUP('1. SUMMARY'!$C$20,rate,Sheet1!AJ$21,0),((IF(($B$135+$C$135+$D$135+$E$135)&gt;=25000,0,(((25000-($B$135+$C$135+$D$135+$E$135))/+$AH382)*AG382)*(VLOOKUP('1. SUMMARY'!$C$20,rate,Sheet1!AJ$21,0))))))))</f>
        <v>0</v>
      </c>
      <c r="AH383" s="219">
        <f>SUM(Q383:AG383)</f>
        <v>0</v>
      </c>
      <c r="AI383" s="410">
        <f>IF(AI382=0,0,((+$F135/$AZ382)*AI382)*VLOOKUP('1. SUMMARY'!$C$20,rate,Sheet1!T$21,0))</f>
        <v>0</v>
      </c>
      <c r="AJ383" s="410">
        <f>IF(AJ382=0,0,((+$F135/$AZ382)*AJ382)*VLOOKUP('1. SUMMARY'!$C$20,rate,Sheet1!U$21,0))</f>
        <v>0</v>
      </c>
      <c r="AK383" s="410">
        <f>IF(AK382=0,0,((+$F135/$AZ382)*AK382)*VLOOKUP('1. SUMMARY'!$C$20,rate,Sheet1!V$21,0))</f>
        <v>0</v>
      </c>
      <c r="AL383" s="410">
        <f>IF(AL382=0,0,((+$F135/$AZ382)*AL382)*VLOOKUP('1. SUMMARY'!$C$20,rate,Sheet1!W$21,0))</f>
        <v>0</v>
      </c>
      <c r="AM383" s="410">
        <f>IF(AM382=0,0,((+$F135/$AZ382)*AM382)*VLOOKUP('1. SUMMARY'!$C$20,rate,Sheet1!X$21,0))</f>
        <v>0</v>
      </c>
      <c r="AN383" s="410">
        <f>IF(AN382=0,0,((+$F135/$AZ382)*AN382)*VLOOKUP('1. SUMMARY'!$C$20,rate,Sheet1!Y$21,0))</f>
        <v>0</v>
      </c>
      <c r="AO383" s="410">
        <f>IF(AO382=0,0,((+$F135/$AZ382)*AO382)*VLOOKUP('1. SUMMARY'!$C$20,rate,Sheet1!Z$21,0))</f>
        <v>0</v>
      </c>
      <c r="AP383" s="410">
        <f>IF(AP382=0,0,((+$F135/$AZ382)*AP382)*VLOOKUP('1. SUMMARY'!$C$20,rate,Sheet1!AA$21,0))</f>
        <v>0</v>
      </c>
      <c r="AQ383" s="410">
        <f>IF(AQ382=0,0,((+$F135/$AZ382)*AQ382)*VLOOKUP('1. SUMMARY'!$C$20,rate,Sheet1!AB$21,0))</f>
        <v>0</v>
      </c>
      <c r="AR383" s="410">
        <f>IF(AR382=0,0,((+$F135/$AZ382)*AR382)*VLOOKUP('1. SUMMARY'!$C$20,rate,Sheet1!AC$21,0))</f>
        <v>0</v>
      </c>
      <c r="AS383" s="410">
        <f>IF(AS382=0,0,((+$F135/$AZ382)*AS382)*VLOOKUP('1. SUMMARY'!$C$20,rate,Sheet1!AD$21,0))</f>
        <v>0</v>
      </c>
      <c r="AT383" s="410">
        <f>IF(AT382=0,0,((+$F135/$AZ382)*AT382)*VLOOKUP('1. SUMMARY'!$C$20,rate,Sheet1!AE$21,0))</f>
        <v>0</v>
      </c>
      <c r="AU383" s="410">
        <f>IF(AU382=0,0,((+$F135/$AZ382)*AU382)*VLOOKUP('1. SUMMARY'!$C$20,rate,Sheet1!AF$21,0))</f>
        <v>0</v>
      </c>
      <c r="AV383" s="410">
        <f>IF(AV382=0,0,((+$F135/$AZ382)*AV382)*VLOOKUP('1. SUMMARY'!$C$20,rate,Sheet1!AG$21,0))</f>
        <v>0</v>
      </c>
      <c r="AW383" s="410">
        <f>IF(AW382=0,0,((+$F135/$AZ382)*AW382)*VLOOKUP('1. SUMMARY'!$C$20,rate,Sheet1!AH$21,0))</f>
        <v>0</v>
      </c>
      <c r="AX383" s="410">
        <f>IF(AX382=0,0,((+$F135/$AZ382)*AX382)*VLOOKUP('1. SUMMARY'!$C$20,rate,Sheet1!AI$21,0))</f>
        <v>0</v>
      </c>
      <c r="AY383" s="410">
        <f>IF(AY382=0,0,((+$F135/$AZ382)*AY382)*VLOOKUP('1. SUMMARY'!$C$20,rate,Sheet1!AJ$21,0))</f>
        <v>0</v>
      </c>
      <c r="AZ383" s="410">
        <f>SUM(AI383:AY383)</f>
        <v>0</v>
      </c>
    </row>
    <row r="384" spans="15:52" ht="18" hidden="1" customHeight="1">
      <c r="P384" s="207">
        <f t="shared" si="175"/>
        <v>1</v>
      </c>
      <c r="Q384" s="410">
        <f>+Q383/VLOOKUP('1. SUMMARY'!$C$20,rate,Sheet1!T$21,0)</f>
        <v>0</v>
      </c>
      <c r="R384" s="410">
        <f>+R383/VLOOKUP('1. SUMMARY'!$C$20,rate,Sheet1!U$21,0)</f>
        <v>0</v>
      </c>
      <c r="S384" s="410">
        <f>+S383/VLOOKUP('1. SUMMARY'!$C$20,rate,Sheet1!V$21,0)</f>
        <v>0</v>
      </c>
      <c r="T384" s="410">
        <f>+T383/VLOOKUP('1. SUMMARY'!$C$20,rate,Sheet1!W$21,0)</f>
        <v>0</v>
      </c>
      <c r="U384" s="410">
        <f>+U383/VLOOKUP('1. SUMMARY'!$C$20,rate,Sheet1!X$21,0)</f>
        <v>0</v>
      </c>
      <c r="V384" s="410">
        <f>+V383/VLOOKUP('1. SUMMARY'!$C$20,rate,Sheet1!Y$21,0)</f>
        <v>0</v>
      </c>
      <c r="W384" s="410">
        <f>+W383/VLOOKUP('1. SUMMARY'!$C$20,rate,Sheet1!Z$21,0)</f>
        <v>0</v>
      </c>
      <c r="X384" s="410">
        <f>+X383/VLOOKUP('1. SUMMARY'!$C$20,rate,Sheet1!AA$21,0)</f>
        <v>0</v>
      </c>
      <c r="Y384" s="410">
        <f>+Y383/VLOOKUP('1. SUMMARY'!$C$20,rate,Sheet1!AB$21,0)</f>
        <v>0</v>
      </c>
      <c r="Z384" s="410">
        <f>+Z383/VLOOKUP('1. SUMMARY'!$C$20,rate,Sheet1!AC$21,0)</f>
        <v>0</v>
      </c>
      <c r="AA384" s="410">
        <f>+AA383/VLOOKUP('1. SUMMARY'!$C$20,rate,Sheet1!AD$21,0)</f>
        <v>0</v>
      </c>
      <c r="AB384" s="410">
        <f>+AB383/VLOOKUP('1. SUMMARY'!$C$20,rate,Sheet1!AE$21,0)</f>
        <v>0</v>
      </c>
      <c r="AC384" s="410">
        <f>+AC383/VLOOKUP('1. SUMMARY'!$C$20,rate,Sheet1!AF$21,0)</f>
        <v>0</v>
      </c>
      <c r="AD384" s="410">
        <f>+AD383/VLOOKUP('1. SUMMARY'!$C$20,rate,Sheet1!AG$21,0)</f>
        <v>0</v>
      </c>
      <c r="AE384" s="410">
        <f>+AE383/VLOOKUP('1. SUMMARY'!$C$20,rate,Sheet1!AH$21,0)</f>
        <v>0</v>
      </c>
      <c r="AF384" s="410">
        <f>+AF383/VLOOKUP('1. SUMMARY'!$C$20,rate,Sheet1!AI$21,0)</f>
        <v>0</v>
      </c>
      <c r="AG384" s="410">
        <f>+AG383/VLOOKUP('1. SUMMARY'!$C$20,rate,Sheet1!AJ$21,0)</f>
        <v>0</v>
      </c>
      <c r="AH384" s="219"/>
      <c r="AI384" s="410">
        <v>0</v>
      </c>
      <c r="AJ384" s="410">
        <v>0</v>
      </c>
      <c r="AK384" s="410">
        <v>0</v>
      </c>
      <c r="AL384" s="410">
        <v>0</v>
      </c>
      <c r="AM384" s="410">
        <v>0</v>
      </c>
      <c r="AN384" s="410">
        <v>0</v>
      </c>
      <c r="AO384" s="410">
        <v>0</v>
      </c>
      <c r="AP384" s="410">
        <v>0</v>
      </c>
      <c r="AQ384" s="410"/>
      <c r="AR384" s="410"/>
      <c r="AS384" s="410"/>
      <c r="AT384" s="410"/>
      <c r="AU384" s="410"/>
      <c r="AV384" s="410"/>
      <c r="AW384" s="410"/>
      <c r="AX384" s="410"/>
      <c r="AY384" s="410"/>
      <c r="AZ384" s="410"/>
    </row>
    <row r="385" spans="15:52" ht="18" hidden="1" customHeight="1">
      <c r="Q385" s="413">
        <f>Sheet1!$T$8</f>
        <v>44105</v>
      </c>
      <c r="R385" s="413">
        <f>Sheet1!$U$8</f>
        <v>44470</v>
      </c>
      <c r="S385" s="413">
        <f>Sheet1!$V$8</f>
        <v>44835</v>
      </c>
      <c r="T385" s="413">
        <f>Sheet1!$W$8</f>
        <v>45200</v>
      </c>
      <c r="U385" s="413">
        <f>Sheet1!$X$8</f>
        <v>45566</v>
      </c>
      <c r="V385" s="413">
        <f>Sheet1!$Y$8</f>
        <v>45931</v>
      </c>
      <c r="W385" s="413">
        <f>Sheet1!$Z$8</f>
        <v>46296</v>
      </c>
      <c r="X385" s="413">
        <f>Sheet1!$AA$8</f>
        <v>46661</v>
      </c>
      <c r="Y385" s="413">
        <f>Sheet1!$AB$8</f>
        <v>47027</v>
      </c>
      <c r="Z385" s="413">
        <f>Sheet1!$AC$8</f>
        <v>47392</v>
      </c>
      <c r="AA385" s="413">
        <f>$AA$5</f>
        <v>47757</v>
      </c>
      <c r="AB385" s="413">
        <f>$AB$5</f>
        <v>48122</v>
      </c>
      <c r="AC385" s="413">
        <f>$AC$5</f>
        <v>48488</v>
      </c>
      <c r="AD385" s="413">
        <f>$AD$5</f>
        <v>48853</v>
      </c>
      <c r="AE385" s="413">
        <f>$AE$5</f>
        <v>49218</v>
      </c>
      <c r="AF385" s="413">
        <f>$AF$5</f>
        <v>49583</v>
      </c>
      <c r="AG385" s="413">
        <f>$AG$5</f>
        <v>49949</v>
      </c>
      <c r="AH385" s="219"/>
      <c r="AI385" s="413">
        <f t="shared" ref="AI385:AR387" si="182">+Q385</f>
        <v>44105</v>
      </c>
      <c r="AJ385" s="413">
        <f t="shared" si="182"/>
        <v>44470</v>
      </c>
      <c r="AK385" s="413">
        <f t="shared" si="182"/>
        <v>44835</v>
      </c>
      <c r="AL385" s="413">
        <f t="shared" si="182"/>
        <v>45200</v>
      </c>
      <c r="AM385" s="413">
        <f t="shared" si="182"/>
        <v>45566</v>
      </c>
      <c r="AN385" s="413">
        <f t="shared" si="182"/>
        <v>45931</v>
      </c>
      <c r="AO385" s="413">
        <f t="shared" si="182"/>
        <v>46296</v>
      </c>
      <c r="AP385" s="413">
        <f t="shared" si="182"/>
        <v>46661</v>
      </c>
      <c r="AQ385" s="413">
        <f t="shared" si="182"/>
        <v>47027</v>
      </c>
      <c r="AR385" s="413">
        <f t="shared" si="182"/>
        <v>47392</v>
      </c>
      <c r="AS385" s="413">
        <f t="shared" ref="AS385:AY387" si="183">+AA385</f>
        <v>47757</v>
      </c>
      <c r="AT385" s="413">
        <f t="shared" si="183"/>
        <v>48122</v>
      </c>
      <c r="AU385" s="413">
        <f t="shared" si="183"/>
        <v>48488</v>
      </c>
      <c r="AV385" s="413">
        <f t="shared" si="183"/>
        <v>48853</v>
      </c>
      <c r="AW385" s="413">
        <f t="shared" si="183"/>
        <v>49218</v>
      </c>
      <c r="AX385" s="413">
        <f t="shared" si="183"/>
        <v>49583</v>
      </c>
      <c r="AY385" s="413">
        <f t="shared" si="183"/>
        <v>49949</v>
      </c>
      <c r="AZ385" s="413"/>
    </row>
    <row r="386" spans="15:52" ht="18" hidden="1" customHeight="1">
      <c r="Q386" s="413">
        <f>Sheet1!$T$9</f>
        <v>44469</v>
      </c>
      <c r="R386" s="413">
        <f>Sheet1!$U$9</f>
        <v>44834</v>
      </c>
      <c r="S386" s="413">
        <f>Sheet1!$V$9</f>
        <v>45199</v>
      </c>
      <c r="T386" s="413">
        <f>Sheet1!$W$9</f>
        <v>45565</v>
      </c>
      <c r="U386" s="413">
        <f>Sheet1!$X$9</f>
        <v>45930</v>
      </c>
      <c r="V386" s="413">
        <f>Sheet1!$Y$9</f>
        <v>46295</v>
      </c>
      <c r="W386" s="413">
        <f>Sheet1!$Z$9</f>
        <v>46660</v>
      </c>
      <c r="X386" s="413">
        <f>Sheet1!$AA$9</f>
        <v>47026</v>
      </c>
      <c r="Y386" s="413">
        <f>Sheet1!$AB$9</f>
        <v>47391</v>
      </c>
      <c r="Z386" s="413">
        <f>Sheet1!$AC$9</f>
        <v>47756</v>
      </c>
      <c r="AA386" s="413">
        <f>$AA$6</f>
        <v>48121</v>
      </c>
      <c r="AB386" s="413">
        <f>$AB$6</f>
        <v>48487</v>
      </c>
      <c r="AC386" s="413">
        <f>$AC$6</f>
        <v>48852</v>
      </c>
      <c r="AD386" s="413">
        <f>$AD$6</f>
        <v>49217</v>
      </c>
      <c r="AE386" s="413">
        <f>$AE$6</f>
        <v>49582</v>
      </c>
      <c r="AF386" s="413">
        <f>$AF$6</f>
        <v>49948</v>
      </c>
      <c r="AG386" s="413">
        <f>$AG$6</f>
        <v>50313</v>
      </c>
      <c r="AH386" s="219"/>
      <c r="AI386" s="413">
        <f t="shared" si="182"/>
        <v>44469</v>
      </c>
      <c r="AJ386" s="413">
        <f t="shared" si="182"/>
        <v>44834</v>
      </c>
      <c r="AK386" s="413">
        <f t="shared" si="182"/>
        <v>45199</v>
      </c>
      <c r="AL386" s="413">
        <f t="shared" si="182"/>
        <v>45565</v>
      </c>
      <c r="AM386" s="413">
        <f t="shared" si="182"/>
        <v>45930</v>
      </c>
      <c r="AN386" s="413">
        <f t="shared" si="182"/>
        <v>46295</v>
      </c>
      <c r="AO386" s="413">
        <f t="shared" si="182"/>
        <v>46660</v>
      </c>
      <c r="AP386" s="413">
        <f t="shared" si="182"/>
        <v>47026</v>
      </c>
      <c r="AQ386" s="413">
        <f t="shared" si="182"/>
        <v>47391</v>
      </c>
      <c r="AR386" s="413">
        <f t="shared" si="182"/>
        <v>47756</v>
      </c>
      <c r="AS386" s="413">
        <f t="shared" si="183"/>
        <v>48121</v>
      </c>
      <c r="AT386" s="413">
        <f t="shared" si="183"/>
        <v>48487</v>
      </c>
      <c r="AU386" s="413">
        <f t="shared" si="183"/>
        <v>48852</v>
      </c>
      <c r="AV386" s="413">
        <f t="shared" si="183"/>
        <v>49217</v>
      </c>
      <c r="AW386" s="413">
        <f t="shared" si="183"/>
        <v>49582</v>
      </c>
      <c r="AX386" s="413">
        <f t="shared" si="183"/>
        <v>49948</v>
      </c>
      <c r="AY386" s="413">
        <f t="shared" si="183"/>
        <v>50313</v>
      </c>
      <c r="AZ386" s="413"/>
    </row>
    <row r="387" spans="15:52" ht="18" hidden="1" customHeight="1">
      <c r="O387" s="207" t="s">
        <v>253</v>
      </c>
      <c r="Q387" s="424">
        <f>IF(IF(Q386&lt;$G$27,0,DATEDIF($G$27,Q386+1,"m"))&lt;0,0,IF(Q386&lt;$G$27,0,DATEDIF($G$27,Q386+1,"m")))</f>
        <v>0</v>
      </c>
      <c r="R387" s="424">
        <f>IF(IF(Q387=12,0,IF(R386&gt;$G$28,12-DATEDIF($G$28,R386+1,"m"),IF(R386&lt;$G$27,0,DATEDIF($G$27,R386+1,"m"))))&lt;0,0,IF(Q387=12,0,IF(R386&gt;$G$28,12-DATEDIF($G$28,R386+1,"m"),IF(R386&lt;$G$27,0,DATEDIF($G$27,R386+1,"m")))))</f>
        <v>0</v>
      </c>
      <c r="S387" s="424">
        <f>IF(IF(Q387+R387=12,0,IF(S386&gt;$G$28,12-DATEDIF($G$28,S386+1,"m"),IF(S386&lt;$G$27,0,DATEDIF($G$27,S386+1,"m"))))&lt;0,0,IF(Q387+R387=12,0,IF(S386&gt;$G$28,12-DATEDIF($G$28,S386+1,"m"),IF(S386&lt;$G$27,0,DATEDIF($G$27,S386+1,"m")))))</f>
        <v>0</v>
      </c>
      <c r="T387" s="424">
        <f>IF(IF(R387+S387+Q387=12,0,IF(T386&gt;$G$28,12-DATEDIF($G$28,T386+1,"m"),IF(T386&lt;$G$27,0,DATEDIF($G$27,T386+1,"m"))))&lt;0,0,IF(R387+S387+Q387=12,0,IF(T386&gt;$G$28,12-DATEDIF($G$28,T386+1,"m"),IF(T386&lt;$G$27,0,DATEDIF($G$27,T386+1,"m")))))</f>
        <v>0</v>
      </c>
      <c r="U387" s="424">
        <f>IF(IF(S387+T387+R387+Q387=12,0,IF(U386&gt;$G$28,12-DATEDIF($G$28,U386+1,"m"),IF(U386&lt;$G$27,0,DATEDIF($G$27,U386+1,"m"))))&lt;0,0,IF(S387+T387+R387+Q387=12,0,IF(U386&gt;$G$28,12-DATEDIF($G$28,U386+1,"m"),IF(U386&lt;$G$27,0,DATEDIF($G$27,U386+1,"m")))))</f>
        <v>0</v>
      </c>
      <c r="V387" s="424">
        <f>IF(IF(T387+U387+S387+R387+Q387=12,0,IF(V386&gt;$G$28,12-DATEDIF($G$28,V386+1,"m"),IF(V386&lt;$G$27,0,DATEDIF($G$27,V386+1,"m"))))&lt;0,0,IF(T387+U387+S387+R387+Q387=12,0,IF(V386&gt;$G$28,12-DATEDIF($G$28,V386+1,"m"),IF(V386&lt;$G$27,0,DATEDIF($G$27,V386+1,"m")))))</f>
        <v>0</v>
      </c>
      <c r="W387" s="424">
        <f>IF(IF(U387+V387+T387+S387+R387+Q387=12,0,IF(W386&gt;$G$28,12-DATEDIF($G$28,W386+1,"m"),IF(W386&lt;$G$27,0,DATEDIF($G$27,W386+1,"m"))))&lt;0,0,IF(U387+V387+T387+S387+R387+Q387=12,0,IF(W386&gt;$G$28,12-DATEDIF($G$28,W386+1,"m"),IF(W386&lt;$G$27,0,DATEDIF($G$27,W386+1,"m")))))</f>
        <v>0</v>
      </c>
      <c r="X387" s="424">
        <f>IF(IF(V387+W387+U387+T387+S387+R387+Q387=12,0,IF(X386&gt;$G$28,12-DATEDIF($G$28,X386+1,"m"),IF(X386&lt;$G$27,0,DATEDIF($G$27,X386+1,"m"))))&lt;0,0,IF(V387+W387+U387+T387+S387+R387+Q387=12,0,IF(X386&gt;$G$28,12-DATEDIF($G$28,X386+1,"m"),IF(X386&lt;$G$27,0,DATEDIF($G$27,X386+1,"m")))))</f>
        <v>0</v>
      </c>
      <c r="Y387" s="424">
        <f>IF(IF(W387+X387+V387+U387+T387+S387+R387+Q387=12,0,IF(Y386&gt;$G$28,12-DATEDIF($G$28,Y386+1,"m"),IF(Y386&lt;$G$27,0,DATEDIF($G$27,Y386+1,"m"))))&lt;0,0,IF(W387+X387+V387+U387+T387+S387+R387+Q387=12,0,IF(Y386&gt;$G$28,12-DATEDIF($G$28,Y386+1,"m"),IF(Y386&lt;$G$27,0,DATEDIF($G$27,Y386+1,"m")))))</f>
        <v>0</v>
      </c>
      <c r="Z387" s="424">
        <f>IF(IF(X387+Y387+W387+V387+U387+T387+S387+R387+Q387=12,0,IF(Z386&gt;$G$28,12-DATEDIF($G$28,Z386+1,"m"),IF(Z386&lt;$G$27,0,DATEDIF($G$27,Z386+1,"m"))))&lt;0,0,IF(X387+Y387+W387+V387+U387+T387+S387+R387+Q387=12,0,IF(Z386&gt;$G$28,12-DATEDIF($G$28,Z386+1,"m"),IF(Z386&lt;$G$27,0,DATEDIF($G$27,Z386+1,"m")))))</f>
        <v>0</v>
      </c>
      <c r="AA387" s="414">
        <f>IF(IF(Q387+R387+S387+Y387+Z387+X387+W387+V387+U387+T387=12,0,IF(AA386&gt;$G$28,12-DATEDIF($G$28,AA386+1,"m"),IF(AA386&lt;$G$27,0,DATEDIF($G$27,AA386+1,"m"))))&lt;0,0,IF(Q387+R387+S387+Y387+Z387+X387+W387+V387+U387+T387=12,0,IF(AA386&gt;$G$28,12-DATEDIF($G$28,AA386+1,"m"),IF(AA386&lt;$G$27,0,DATEDIF($G$27,AA386+1,"m")))))</f>
        <v>0</v>
      </c>
      <c r="AB387" s="414">
        <f>IF(IF(Q387+R387+S387+T387+Z387+AA387+Y387+X387+W387+V387+U387=12,0,IF(AB386&gt;$G$28,12-DATEDIF($G$28,AB386+1,"m"),IF(AB386&lt;$G$27,0,DATEDIF($G$27,AB386+1,"m"))))&lt;0,0,IF(Q387+R387+S387+T387+Z387+AA387+Y387+X387+W387+V387+U387=12,0,IF(AB386&gt;$G$28,12-DATEDIF($G$28,AB386+1,"m"),IF(AB386&lt;$G$27,0,DATEDIF($G$27,AB386+1,"m")))))</f>
        <v>0</v>
      </c>
      <c r="AC387" s="414">
        <f>IF(IF(Q387+R387+S387+T387+U387+AA387+AB387+Z387+Y387+X387+W387+V387=12,0,IF(AC386&gt;$G$28,12-DATEDIF($G$28,AC386+1,"m"),IF(AC386&lt;$G$27,0,DATEDIF($G$27,AC386+1,"m"))))&lt;0,0,IF(Q387+R387+S387+T387+U387+AA387+AB387+Z387+Y387+X387+W387+V387=12,0,IF(AC386&gt;$G$28,12-DATEDIF($G$28,AC386+1,"m"),IF(AC386&lt;$G$27,0,DATEDIF($G$27,AC386+1,"m")))))</f>
        <v>0</v>
      </c>
      <c r="AD387" s="414">
        <f>IF(IF(Q387+R387+S387+T387+U387+V387+AB387+AC387+AA387+Z387+Y387+X387+W387=12,0,IF(AD386&gt;$G$28,12-DATEDIF($G$28,AD386+1,"m"),IF(AD386&lt;$G$27,0,DATEDIF($G$27,AD386+1,"m"))))&lt;0,0,IF(Q387+R387+S387+T387+U387+V387+AB387+AC387+AA387+Z387+Y387+X387+W387=12,0,IF(AD386&gt;$G$28,12-DATEDIF($G$28,AD386+1,"m"),IF(AD386&lt;$G$27,0,DATEDIF($G$27,AD386+1,"m")))))</f>
        <v>0</v>
      </c>
      <c r="AE387" s="414"/>
      <c r="AF387" s="414"/>
      <c r="AG387" s="414"/>
      <c r="AH387" s="423">
        <f>SUM(Q387:AG387)</f>
        <v>0</v>
      </c>
      <c r="AI387" s="414">
        <f t="shared" si="182"/>
        <v>0</v>
      </c>
      <c r="AJ387" s="414">
        <f t="shared" si="182"/>
        <v>0</v>
      </c>
      <c r="AK387" s="414">
        <f t="shared" si="182"/>
        <v>0</v>
      </c>
      <c r="AL387" s="414">
        <f t="shared" si="182"/>
        <v>0</v>
      </c>
      <c r="AM387" s="414">
        <f t="shared" si="182"/>
        <v>0</v>
      </c>
      <c r="AN387" s="414">
        <f t="shared" si="182"/>
        <v>0</v>
      </c>
      <c r="AO387" s="414">
        <f t="shared" si="182"/>
        <v>0</v>
      </c>
      <c r="AP387" s="414">
        <f t="shared" si="182"/>
        <v>0</v>
      </c>
      <c r="AQ387" s="414">
        <f t="shared" si="182"/>
        <v>0</v>
      </c>
      <c r="AR387" s="414">
        <f t="shared" si="182"/>
        <v>0</v>
      </c>
      <c r="AS387" s="414">
        <f t="shared" si="183"/>
        <v>0</v>
      </c>
      <c r="AT387" s="414">
        <f t="shared" si="183"/>
        <v>0</v>
      </c>
      <c r="AU387" s="414">
        <f t="shared" si="183"/>
        <v>0</v>
      </c>
      <c r="AV387" s="414">
        <f t="shared" si="183"/>
        <v>0</v>
      </c>
      <c r="AW387" s="414">
        <f t="shared" si="183"/>
        <v>0</v>
      </c>
      <c r="AX387" s="414">
        <f t="shared" si="183"/>
        <v>0</v>
      </c>
      <c r="AY387" s="414">
        <f t="shared" si="183"/>
        <v>0</v>
      </c>
      <c r="AZ387" s="414">
        <f>SUM(AI387:AY387)</f>
        <v>0</v>
      </c>
    </row>
    <row r="388" spans="15:52" ht="18" hidden="1" customHeight="1">
      <c r="Q388" s="415">
        <f>IF(Q387=0,0,(IF(($B$135+$C$135+$D$135+$E$135+$F$135+$G$135)&lt;=25000,(($G$135/+$AH387)*Q387)*VLOOKUP('1. SUMMARY'!$C$20,rate,Sheet1!T$21,0),((IF(($F$135+$B$135+$C$135+$D$135+$E$135)&gt;=25000,0,(((25000-($B$135+$C$135+$D$135+$E$135+$F$135))/+$AH387)*Q387)*(VLOOKUP('1. SUMMARY'!$C$20,rate,Sheet1!T$21,0))))))))</f>
        <v>0</v>
      </c>
      <c r="R388" s="415">
        <f>IF(R387=0,0,(IF(($B$135+$C$135+$D$135+$E$135+$F$135+$G$135)&lt;=25000,(($G$135/+$AH387)*R387)*VLOOKUP('1. SUMMARY'!$C$20,rate,Sheet1!U$21,0),((IF(($F$135+$B$135+$C$135+$D$135+$E$135)&gt;=25000,0,(((25000-($B$135+$C$135+$D$135+$E$135+$F$135))/+$AH387)*R387)*(VLOOKUP('1. SUMMARY'!$C$20,rate,Sheet1!U$21,0))))))))</f>
        <v>0</v>
      </c>
      <c r="S388" s="415">
        <f>IF(S387=0,0,(IF(($B$135+$C$135+$D$135+$E$135+$F$135+$G$135)&lt;=25000,(($G$135/+$AH387)*S387)*VLOOKUP('1. SUMMARY'!$C$20,rate,Sheet1!V$21,0),((IF(($F$135+$B$135+$C$135+$D$135+$E$135)&gt;=25000,0,(((25000-($B$135+$C$135+$D$135+$E$135+$F$135))/+$AH387)*S387)*(VLOOKUP('1. SUMMARY'!$C$20,rate,Sheet1!V$21,0))))))))</f>
        <v>0</v>
      </c>
      <c r="T388" s="415">
        <f>IF(T387=0,0,(IF(($B$135+$C$135+$D$135+$E$135+$F$135+$G$135)&lt;=25000,(($G$135/+$AH387)*T387)*VLOOKUP('1. SUMMARY'!$C$20,rate,Sheet1!W$21,0),((IF(($F$135+$B$135+$C$135+$D$135+$E$135)&gt;=25000,0,(((25000-($B$135+$C$135+$D$135+$E$135+$F$135))/+$AH387)*T387)*(VLOOKUP('1. SUMMARY'!$C$20,rate,Sheet1!W$21,0))))))))</f>
        <v>0</v>
      </c>
      <c r="U388" s="415">
        <f>IF(U387=0,0,(IF(($B$135+$C$135+$D$135+$E$135+$F$135+$G$135)&lt;=25000,(($G$135/+$AH387)*U387)*VLOOKUP('1. SUMMARY'!$C$20,rate,Sheet1!X$21,0),((IF(($F$135+$B$135+$C$135+$D$135+$E$135)&gt;=25000,0,(((25000-($B$135+$C$135+$D$135+$E$135+$F$135))/+$AH387)*U387)*(VLOOKUP('1. SUMMARY'!$C$20,rate,Sheet1!X$21,0))))))))</f>
        <v>0</v>
      </c>
      <c r="V388" s="415">
        <f>IF(V387=0,0,(IF(($B$135+$C$135+$D$135+$E$135+$F$135+$G$135)&lt;=25000,(($G$135/+$AH387)*V387)*VLOOKUP('1. SUMMARY'!$C$20,rate,Sheet1!Y$21,0),((IF(($F$135+$B$135+$C$135+$D$135+$E$135)&gt;=25000,0,(((25000-($B$135+$C$135+$D$135+$E$135+$F$135))/+$AH387)*V387)*(VLOOKUP('1. SUMMARY'!$C$20,rate,Sheet1!Y$21,0))))))))</f>
        <v>0</v>
      </c>
      <c r="W388" s="415">
        <f>IF(W387=0,0,(IF(($B$135+$C$135+$D$135+$E$135+$F$135+$G$135)&lt;=25000,(($G$135/+$AH387)*W387)*VLOOKUP('1. SUMMARY'!$C$20,rate,Sheet1!Z$21,0),((IF(($F$135+$B$135+$C$135+$D$135+$E$135)&gt;=25000,0,(((25000-($B$135+$C$135+$D$135+$E$135+$F$135))/+$AH387)*W387)*(VLOOKUP('1. SUMMARY'!$C$20,rate,Sheet1!Z$21,0))))))))</f>
        <v>0</v>
      </c>
      <c r="X388" s="415">
        <f>IF(X387=0,0,(IF(($B$135+$C$135+$D$135+$E$135+$F$135+$G$135)&lt;=25000,(($G$135/+$AH387)*X387)*VLOOKUP('1. SUMMARY'!$C$20,rate,Sheet1!AA$21,0),((IF(($F$135+$B$135+$C$135+$D$135+$E$135)&gt;=25000,0,(((25000-($B$135+$C$135+$D$135+$E$135+$F$135))/+$AH387)*X387)*(VLOOKUP('1. SUMMARY'!$C$20,rate,Sheet1!AA$21,0))))))))</f>
        <v>0</v>
      </c>
      <c r="Y388" s="415">
        <f>IF(Y387=0,0,(IF(($B$135+$C$135+$D$135+$E$135+$F$135+$G$135)&lt;=25000,(($G$135/+$AH387)*Y387)*VLOOKUP('1. SUMMARY'!$C$20,rate,Sheet1!AB$21,0),((IF(($F$135+$B$135+$C$135+$D$135+$E$135)&gt;=25000,0,(((25000-($B$135+$C$135+$D$135+$E$135+$F$135))/+$AH387)*Y387)*(VLOOKUP('1. SUMMARY'!$C$20,rate,Sheet1!AB$21,0))))))))</f>
        <v>0</v>
      </c>
      <c r="Z388" s="415">
        <f>IF(Z387=0,0,(IF(($B$135+$C$135+$D$135+$E$135+$F$135+$G$135)&lt;=25000,(($G$135/+$AH387)*Z387)*VLOOKUP('1. SUMMARY'!$C$20,rate,Sheet1!AC$21,0),((IF(($F$135+$B$135+$C$135+$D$135+$E$135)&gt;=25000,0,(((25000-($B$135+$C$135+$D$135+$E$135+$F$135))/+$AH387)*Z387)*(VLOOKUP('1. SUMMARY'!$C$20,rate,Sheet1!AC$21,0))))))))</f>
        <v>0</v>
      </c>
      <c r="AA388" s="415">
        <f>IF(AA387=0,0,(IF(($B$135+$C$135+$D$135+$E$135+$F$135+$G$135)&lt;=25000,(($G$135/+$AH387)*AA387)*VLOOKUP('1. SUMMARY'!$C$20,rate,Sheet1!AD$21,0),((IF(($F$135+$B$135+$C$135+$D$135+$E$135)&gt;=25000,0,(((25000-($B$135+$C$135+$D$135+$E$135+$F$135))/+$AH387)*AA387)*(VLOOKUP('1. SUMMARY'!$C$20,rate,Sheet1!AD$21,0))))))))</f>
        <v>0</v>
      </c>
      <c r="AB388" s="415">
        <f>IF(AB387=0,0,(IF(($B$135+$C$135+$D$135+$E$135+$F$135+$G$135)&lt;=25000,(($G$135/+$AH387)*AB387)*VLOOKUP('1. SUMMARY'!$C$20,rate,Sheet1!AE$21,0),((IF(($F$135+$B$135+$C$135+$D$135+$E$135)&gt;=25000,0,(((25000-($B$135+$C$135+$D$135+$E$135+$F$135))/+$AH387)*AB387)*(VLOOKUP('1. SUMMARY'!$C$20,rate,Sheet1!AE$21,0))))))))</f>
        <v>0</v>
      </c>
      <c r="AC388" s="415">
        <f>IF(AC387=0,0,(IF(($B$135+$C$135+$D$135+$E$135+$F$135+$G$135)&lt;=25000,(($G$135/+$AH387)*AC387)*VLOOKUP('1. SUMMARY'!$C$20,rate,Sheet1!AF$21,0),((IF(($F$135+$B$135+$C$135+$D$135+$E$135)&gt;=25000,0,(((25000-($B$135+$C$135+$D$135+$E$135+$F$135))/+$AH387)*AC387)*(VLOOKUP('1. SUMMARY'!$C$20,rate,Sheet1!AF$21,0))))))))</f>
        <v>0</v>
      </c>
      <c r="AD388" s="415">
        <f>IF(AD387=0,0,(IF(($B$135+$C$135+$D$135+$E$135+$F$135+$G$135)&lt;=25000,(($G$135/+$AH387)*AD387)*VLOOKUP('1. SUMMARY'!$C$20,rate,Sheet1!AG$21,0),((IF(($F$135+$B$135+$C$135+$D$135+$E$135)&gt;=25000,0,(((25000-($B$135+$C$135+$D$135+$E$135+$F$135))/+$AH387)*AD387)*(VLOOKUP('1. SUMMARY'!$C$20,rate,Sheet1!AG$21,0))))))))</f>
        <v>0</v>
      </c>
      <c r="AE388" s="415">
        <f>IF(AE387=0,0,(IF(($B$135+$C$135+$D$135+$E$135+$F$135+$G$135)&lt;=25000,(($G$135/+$AH387)*AE387)*VLOOKUP('1. SUMMARY'!$C$20,rate,Sheet1!AH$21,0),((IF(($F$135+$B$135+$C$135+$D$135+$E$135)&gt;=25000,0,(((25000-($B$135+$C$135+$D$135+$E$135+$F$135))/+$AH387)*AE387)*(VLOOKUP('1. SUMMARY'!$C$20,rate,Sheet1!AH$21,0))))))))</f>
        <v>0</v>
      </c>
      <c r="AF388" s="415">
        <f>IF(AF387=0,0,(IF(($B$135+$C$135+$D$135+$E$135+$F$135+$G$135)&lt;=25000,(($G$135/+$AH387)*AF387)*VLOOKUP('1. SUMMARY'!$C$20,rate,Sheet1!AI$21,0),((IF(($F$135+$B$135+$C$135+$D$135+$E$135)&gt;=25000,0,(((25000-($B$135+$C$135+$D$135+$E$135+$F$135))/+$AH387)*AF387)*(VLOOKUP('1. SUMMARY'!$C$20,rate,Sheet1!AI$21,0))))))))</f>
        <v>0</v>
      </c>
      <c r="AG388" s="415">
        <f>IF(AG387=0,0,(IF(($B$135+$C$135+$D$135+$E$135+$F$135+$G$135)&lt;=25000,(($G$135/+$AH387)*AG387)*VLOOKUP('1. SUMMARY'!$C$20,rate,Sheet1!AJ$21,0),((IF(($F$135+$B$135+$C$135+$D$135+$E$135)&gt;=25000,0,(((25000-($B$135+$C$135+$D$135+$E$135+$F$135))/+$AH387)*AG387)*(VLOOKUP('1. SUMMARY'!$C$20,rate,Sheet1!AJ$21,0))))))))</f>
        <v>0</v>
      </c>
      <c r="AH388" s="219">
        <f>SUM(Q388:AG388)</f>
        <v>0</v>
      </c>
      <c r="AI388" s="415">
        <f>IF(AI387=0,0,((+$G135/$AZ387)*AI387)*VLOOKUP('1. SUMMARY'!$C$20,rate,Sheet1!T$21,0))</f>
        <v>0</v>
      </c>
      <c r="AJ388" s="415">
        <f>IF(AJ387=0,0,((+$G135/$AZ387)*AJ387)*VLOOKUP('1. SUMMARY'!$C$20,rate,Sheet1!U$21,0))</f>
        <v>0</v>
      </c>
      <c r="AK388" s="415">
        <f>IF(AK387=0,0,((+$G135/$AZ387)*AK387)*VLOOKUP('1. SUMMARY'!$C$20,rate,Sheet1!V$21,0))</f>
        <v>0</v>
      </c>
      <c r="AL388" s="415">
        <f>IF(AL387=0,0,((+$G135/$AZ387)*AL387)*VLOOKUP('1. SUMMARY'!$C$20,rate,Sheet1!W$21,0))</f>
        <v>0</v>
      </c>
      <c r="AM388" s="415">
        <f>IF(AM387=0,0,((+$G135/$AZ387)*AM387)*VLOOKUP('1. SUMMARY'!$C$20,rate,Sheet1!X$21,0))</f>
        <v>0</v>
      </c>
      <c r="AN388" s="415">
        <f>IF(AN387=0,0,((+$G135/$AZ387)*AN387)*VLOOKUP('1. SUMMARY'!$C$20,rate,Sheet1!Y$21,0))</f>
        <v>0</v>
      </c>
      <c r="AO388" s="415">
        <f>IF(AO387=0,0,((+$G135/$AZ387)*AO387)*VLOOKUP('1. SUMMARY'!$C$20,rate,Sheet1!Z$21,0))</f>
        <v>0</v>
      </c>
      <c r="AP388" s="415">
        <f>IF(AP387=0,0,((+$G135/$AZ387)*AP387)*VLOOKUP('1. SUMMARY'!$C$20,rate,Sheet1!AA$21,0))</f>
        <v>0</v>
      </c>
      <c r="AQ388" s="415">
        <f>IF(AQ387=0,0,((+$G135/$AZ387)*AQ387)*VLOOKUP('1. SUMMARY'!$C$20,rate,Sheet1!AB$21,0))</f>
        <v>0</v>
      </c>
      <c r="AR388" s="415">
        <f>IF(AR387=0,0,((+$G135/$AZ387)*AR387)*VLOOKUP('1. SUMMARY'!$C$20,rate,Sheet1!AC$21,0))</f>
        <v>0</v>
      </c>
      <c r="AS388" s="415">
        <f>IF(AS387=0,0,((+$G135/$AZ387)*AS387)*VLOOKUP('1. SUMMARY'!$C$20,rate,Sheet1!AD$21,0))</f>
        <v>0</v>
      </c>
      <c r="AT388" s="415">
        <f>IF(AT387=0,0,((+$G135/$AZ387)*AT387)*VLOOKUP('1. SUMMARY'!$C$20,rate,Sheet1!AE$21,0))</f>
        <v>0</v>
      </c>
      <c r="AU388" s="415">
        <f>IF(AU387=0,0,((+$G135/$AZ387)*AU387)*VLOOKUP('1. SUMMARY'!$C$20,rate,Sheet1!AF$21,0))</f>
        <v>0</v>
      </c>
      <c r="AV388" s="415">
        <f>IF(AV387=0,0,((+$G135/$AZ387)*AV387)*VLOOKUP('1. SUMMARY'!$C$20,rate,Sheet1!AG$21,0))</f>
        <v>0</v>
      </c>
      <c r="AW388" s="415">
        <f>IF(AW387=0,0,((+$G135/$AZ387)*AW387)*VLOOKUP('1. SUMMARY'!$C$20,rate,Sheet1!AH$21,0))</f>
        <v>0</v>
      </c>
      <c r="AX388" s="415">
        <f>IF(AX387=0,0,((+$G135/$AZ387)*AX387)*VLOOKUP('1. SUMMARY'!$C$20,rate,Sheet1!AI$21,0))</f>
        <v>0</v>
      </c>
      <c r="AY388" s="415">
        <f>IF(AY387=0,0,((+$G135/$AZ387)*AY387)*VLOOKUP('1. SUMMARY'!$C$20,rate,Sheet1!AJ$21,0))</f>
        <v>0</v>
      </c>
      <c r="AZ388" s="415">
        <f>SUM(AI388:AY388)</f>
        <v>0</v>
      </c>
    </row>
    <row r="389" spans="15:52" ht="18" hidden="1" customHeight="1">
      <c r="Q389" s="415">
        <f>+Q388/VLOOKUP('1. SUMMARY'!$C$20,rate,Sheet1!T$21,0)</f>
        <v>0</v>
      </c>
      <c r="R389" s="415">
        <f>+R388/VLOOKUP('1. SUMMARY'!$C$20,rate,Sheet1!U$21,0)</f>
        <v>0</v>
      </c>
      <c r="S389" s="415">
        <f>+S388/VLOOKUP('1. SUMMARY'!$C$20,rate,Sheet1!V$21,0)</f>
        <v>0</v>
      </c>
      <c r="T389" s="415">
        <f>+T388/VLOOKUP('1. SUMMARY'!$C$20,rate,Sheet1!W$21,0)</f>
        <v>0</v>
      </c>
      <c r="U389" s="415">
        <f>+U388/VLOOKUP('1. SUMMARY'!$C$20,rate,Sheet1!X$21,0)</f>
        <v>0</v>
      </c>
      <c r="V389" s="415">
        <f>+V388/VLOOKUP('1. SUMMARY'!$C$20,rate,Sheet1!Y$21,0)</f>
        <v>0</v>
      </c>
      <c r="W389" s="415">
        <f>+W388/VLOOKUP('1. SUMMARY'!$C$20,rate,Sheet1!Z$21,0)</f>
        <v>0</v>
      </c>
      <c r="X389" s="415">
        <f>+X388/VLOOKUP('1. SUMMARY'!$C$20,rate,Sheet1!AA$21,0)</f>
        <v>0</v>
      </c>
      <c r="Y389" s="415">
        <f>+Y388/VLOOKUP('1. SUMMARY'!$C$20,rate,Sheet1!AB$21,0)</f>
        <v>0</v>
      </c>
      <c r="Z389" s="415">
        <f>+Z388/VLOOKUP('1. SUMMARY'!$C$20,rate,Sheet1!AC$21,0)</f>
        <v>0</v>
      </c>
      <c r="AA389" s="415">
        <f>+AA388/VLOOKUP('1. SUMMARY'!$C$20,rate,Sheet1!AD$21,0)</f>
        <v>0</v>
      </c>
      <c r="AB389" s="415">
        <f>+AB388/VLOOKUP('1. SUMMARY'!$C$20,rate,Sheet1!AE$21,0)</f>
        <v>0</v>
      </c>
      <c r="AC389" s="415">
        <f>+AC388/VLOOKUP('1. SUMMARY'!$C$20,rate,Sheet1!AF$21,0)</f>
        <v>0</v>
      </c>
      <c r="AD389" s="415">
        <f>+AD388/VLOOKUP('1. SUMMARY'!$C$20,rate,Sheet1!AG$21,0)</f>
        <v>0</v>
      </c>
      <c r="AE389" s="415">
        <f>+AE388/VLOOKUP('1. SUMMARY'!$C$20,rate,Sheet1!AH$21,0)</f>
        <v>0</v>
      </c>
      <c r="AF389" s="415">
        <f>+AF388/VLOOKUP('1. SUMMARY'!$C$20,rate,Sheet1!AI$21,0)</f>
        <v>0</v>
      </c>
      <c r="AG389" s="415">
        <f>+AG388/VLOOKUP('1. SUMMARY'!$C$20,rate,Sheet1!AJ$21,0)</f>
        <v>0</v>
      </c>
      <c r="AH389" s="219"/>
      <c r="AI389" s="415"/>
      <c r="AJ389" s="415"/>
      <c r="AK389" s="415"/>
      <c r="AL389" s="415"/>
      <c r="AM389" s="415"/>
      <c r="AN389" s="415"/>
      <c r="AO389" s="415"/>
      <c r="AP389" s="415"/>
      <c r="AQ389" s="415"/>
      <c r="AR389" s="415"/>
      <c r="AS389" s="415"/>
      <c r="AT389" s="415"/>
      <c r="AU389" s="415"/>
      <c r="AV389" s="415"/>
      <c r="AW389" s="415"/>
      <c r="AX389" s="415"/>
      <c r="AY389" s="415"/>
      <c r="AZ389" s="415"/>
    </row>
    <row r="390" spans="15:52" ht="18" hidden="1" customHeight="1">
      <c r="Q390" s="411">
        <f>Sheet1!$T$8</f>
        <v>44105</v>
      </c>
      <c r="R390" s="411">
        <f>Sheet1!$U$8</f>
        <v>44470</v>
      </c>
      <c r="S390" s="411">
        <f>Sheet1!$V$8</f>
        <v>44835</v>
      </c>
      <c r="T390" s="411">
        <f>Sheet1!$W$8</f>
        <v>45200</v>
      </c>
      <c r="U390" s="411">
        <f>Sheet1!$X$8</f>
        <v>45566</v>
      </c>
      <c r="V390" s="411">
        <f>Sheet1!$Y$8</f>
        <v>45931</v>
      </c>
      <c r="W390" s="411">
        <f>Sheet1!$Z$8</f>
        <v>46296</v>
      </c>
      <c r="X390" s="411">
        <f>Sheet1!$AA$8</f>
        <v>46661</v>
      </c>
      <c r="Y390" s="411">
        <f>Sheet1!$AB$8</f>
        <v>47027</v>
      </c>
      <c r="Z390" s="411">
        <f>Sheet1!$AC$8</f>
        <v>47392</v>
      </c>
      <c r="AA390" s="411">
        <f>$AA$5</f>
        <v>47757</v>
      </c>
      <c r="AB390" s="411">
        <f>$AB$5</f>
        <v>48122</v>
      </c>
      <c r="AC390" s="411">
        <f>$AC$5</f>
        <v>48488</v>
      </c>
      <c r="AD390" s="411">
        <f>$AD$5</f>
        <v>48853</v>
      </c>
      <c r="AE390" s="411">
        <f>$AE$5</f>
        <v>49218</v>
      </c>
      <c r="AF390" s="411">
        <f>$AF$5</f>
        <v>49583</v>
      </c>
      <c r="AG390" s="411">
        <f>$AG$5</f>
        <v>49949</v>
      </c>
      <c r="AH390" s="219"/>
      <c r="AI390" s="411">
        <f t="shared" ref="AI390:AR392" si="184">+Q390</f>
        <v>44105</v>
      </c>
      <c r="AJ390" s="411">
        <f t="shared" si="184"/>
        <v>44470</v>
      </c>
      <c r="AK390" s="411">
        <f t="shared" si="184"/>
        <v>44835</v>
      </c>
      <c r="AL390" s="411">
        <f t="shared" si="184"/>
        <v>45200</v>
      </c>
      <c r="AM390" s="411">
        <f t="shared" si="184"/>
        <v>45566</v>
      </c>
      <c r="AN390" s="411">
        <f t="shared" si="184"/>
        <v>45931</v>
      </c>
      <c r="AO390" s="411">
        <f t="shared" si="184"/>
        <v>46296</v>
      </c>
      <c r="AP390" s="411">
        <f t="shared" si="184"/>
        <v>46661</v>
      </c>
      <c r="AQ390" s="411">
        <f t="shared" si="184"/>
        <v>47027</v>
      </c>
      <c r="AR390" s="411">
        <f t="shared" si="184"/>
        <v>47392</v>
      </c>
      <c r="AS390" s="411">
        <f t="shared" ref="AS390:AY392" si="185">+AA390</f>
        <v>47757</v>
      </c>
      <c r="AT390" s="411">
        <f t="shared" si="185"/>
        <v>48122</v>
      </c>
      <c r="AU390" s="411">
        <f t="shared" si="185"/>
        <v>48488</v>
      </c>
      <c r="AV390" s="411">
        <f t="shared" si="185"/>
        <v>48853</v>
      </c>
      <c r="AW390" s="411">
        <f t="shared" si="185"/>
        <v>49218</v>
      </c>
      <c r="AX390" s="411">
        <f t="shared" si="185"/>
        <v>49583</v>
      </c>
      <c r="AY390" s="411">
        <f t="shared" si="185"/>
        <v>49949</v>
      </c>
      <c r="AZ390" s="411"/>
    </row>
    <row r="391" spans="15:52" ht="18" hidden="1" customHeight="1">
      <c r="Q391" s="411">
        <f>Sheet1!$T$9</f>
        <v>44469</v>
      </c>
      <c r="R391" s="411">
        <f>Sheet1!$U$9</f>
        <v>44834</v>
      </c>
      <c r="S391" s="411">
        <f>Sheet1!$V$9</f>
        <v>45199</v>
      </c>
      <c r="T391" s="411">
        <f>Sheet1!$W$9</f>
        <v>45565</v>
      </c>
      <c r="U391" s="411">
        <f>Sheet1!$X$9</f>
        <v>45930</v>
      </c>
      <c r="V391" s="411">
        <f>Sheet1!$Y$9</f>
        <v>46295</v>
      </c>
      <c r="W391" s="411">
        <f>Sheet1!$Z$9</f>
        <v>46660</v>
      </c>
      <c r="X391" s="411">
        <f>Sheet1!$AA$9</f>
        <v>47026</v>
      </c>
      <c r="Y391" s="411">
        <f>Sheet1!$AB$9</f>
        <v>47391</v>
      </c>
      <c r="Z391" s="411">
        <f>Sheet1!$AC$9</f>
        <v>47756</v>
      </c>
      <c r="AA391" s="411">
        <f>$AA$6</f>
        <v>48121</v>
      </c>
      <c r="AB391" s="411">
        <f>$AB$6</f>
        <v>48487</v>
      </c>
      <c r="AC391" s="411">
        <f>$AC$6</f>
        <v>48852</v>
      </c>
      <c r="AD391" s="411">
        <f>$AD$6</f>
        <v>49217</v>
      </c>
      <c r="AE391" s="411">
        <f>$AE$6</f>
        <v>49582</v>
      </c>
      <c r="AF391" s="411">
        <f>$AF$6</f>
        <v>49948</v>
      </c>
      <c r="AG391" s="411">
        <f>$AG$6</f>
        <v>50313</v>
      </c>
      <c r="AH391" s="219"/>
      <c r="AI391" s="411">
        <f t="shared" si="184"/>
        <v>44469</v>
      </c>
      <c r="AJ391" s="411">
        <f t="shared" si="184"/>
        <v>44834</v>
      </c>
      <c r="AK391" s="411">
        <f t="shared" si="184"/>
        <v>45199</v>
      </c>
      <c r="AL391" s="411">
        <f t="shared" si="184"/>
        <v>45565</v>
      </c>
      <c r="AM391" s="411">
        <f t="shared" si="184"/>
        <v>45930</v>
      </c>
      <c r="AN391" s="411">
        <f t="shared" si="184"/>
        <v>46295</v>
      </c>
      <c r="AO391" s="411">
        <f t="shared" si="184"/>
        <v>46660</v>
      </c>
      <c r="AP391" s="411">
        <f t="shared" si="184"/>
        <v>47026</v>
      </c>
      <c r="AQ391" s="411">
        <f t="shared" si="184"/>
        <v>47391</v>
      </c>
      <c r="AR391" s="411">
        <f t="shared" si="184"/>
        <v>47756</v>
      </c>
      <c r="AS391" s="411">
        <f t="shared" si="185"/>
        <v>48121</v>
      </c>
      <c r="AT391" s="411">
        <f t="shared" si="185"/>
        <v>48487</v>
      </c>
      <c r="AU391" s="411">
        <f t="shared" si="185"/>
        <v>48852</v>
      </c>
      <c r="AV391" s="411">
        <f t="shared" si="185"/>
        <v>49217</v>
      </c>
      <c r="AW391" s="411">
        <f t="shared" si="185"/>
        <v>49582</v>
      </c>
      <c r="AX391" s="411">
        <f t="shared" si="185"/>
        <v>49948</v>
      </c>
      <c r="AY391" s="411">
        <f t="shared" si="185"/>
        <v>50313</v>
      </c>
      <c r="AZ391" s="411"/>
    </row>
    <row r="392" spans="15:52" ht="18" hidden="1" customHeight="1">
      <c r="O392" s="207" t="s">
        <v>254</v>
      </c>
      <c r="Q392" s="412">
        <f>IF(IF(Q391&lt;$H$27,0,DATEDIF($H$27,Q391+1,"m"))&lt;0,0,IF(Q391&lt;$H$27,0,DATEDIF($H$27,Q391+1,"m")))</f>
        <v>0</v>
      </c>
      <c r="R392" s="412">
        <f>IF(IF(Q392=12,0,IF(R391&gt;$H$28,12-DATEDIF($H$28,R391+1,"m"),IF(R391&lt;$H$27,0,DATEDIF($H$27,R391+1,"m"))))&lt;0,0,IF(Q392=12,0,IF(R391&gt;$H$28,12-DATEDIF($H$28,R391+1,"m"),IF(R391&lt;$H$27,0,DATEDIF($H$27,R391+1,"m")))))</f>
        <v>0</v>
      </c>
      <c r="S392" s="412">
        <f>IF(IF(Q392+R392=12,0,IF(S391&gt;$H$28,12-DATEDIF($H$28,S391+1,"m"),IF(S391&lt;$H$27,0,DATEDIF($H$27,S391+1,"m"))))&lt;0,0,IF(Q392+R392=12,0,IF(S391&gt;$H$28,12-DATEDIF($H$28,S391+1,"m"),IF(S391&lt;$H$27,0,DATEDIF($H$27,S391+1,"m")))))</f>
        <v>0</v>
      </c>
      <c r="T392" s="412">
        <f>IF(IF(R392+S392+Q392=12,0,IF(T391&gt;$H$28,12-DATEDIF($H$28,T391+1,"m"),IF(T391&lt;$H$27,0,DATEDIF($H$27,T391+1,"m"))))&lt;0,0,IF(R392+S392+Q392=12,0,IF(T391&gt;$H$28,12-DATEDIF($H$28,T391+1,"m"),IF(T391&lt;$H$27,0,DATEDIF($H$27,T391+1,"m")))))</f>
        <v>0</v>
      </c>
      <c r="U392" s="412">
        <f>IF(IF(S392+T392+R392+Q392=12,0,IF(U391&gt;$H$28,12-DATEDIF($H$28,U391+1,"m"),IF(U391&lt;$H$27,0,DATEDIF($H$27,U391+1,"m"))))&lt;0,0,IF(S392+T392+R392+Q392=12,0,IF(U391&gt;$H$28,12-DATEDIF($H$28,U391+1,"m"),IF(U391&lt;$H$27,0,DATEDIF($H$27,U391+1,"m")))))</f>
        <v>0</v>
      </c>
      <c r="V392" s="412">
        <f>IF(IF(T392+U392+S392+R392+Q392=12,0,IF(V391&gt;$H$28,12-DATEDIF($H$28,V391+1,"m"),IF(V391&lt;$H$27,0,DATEDIF($H$27,V391+1,"m"))))&lt;0,0,IF(T392+U392+S392+R392+Q392=12,0,IF(V391&gt;$H$28,12-DATEDIF($H$28,V391+1,"m"),IF(V391&lt;$H$27,0,DATEDIF($H$27,V391+1,"m")))))</f>
        <v>0</v>
      </c>
      <c r="W392" s="412">
        <f>IF(IF(U392+V392+T392+S392+R392+Q392=12,0,IF(W391&gt;$H$28,12-DATEDIF($H$28,W391+1,"m"),IF(W391&lt;$H$27,0,DATEDIF($H$27,W391+1,"m"))))&lt;0,0,IF(U392+V392+T392+S392+R392+Q392=12,0,IF(W391&gt;$H$28,12-DATEDIF($H$28,W391+1,"m"),IF(W391&lt;$H$27,0,DATEDIF($H$27,W391+1,"m")))))</f>
        <v>0</v>
      </c>
      <c r="X392" s="412">
        <f>IF(IF(V392+W392+U392+T392+S392+R392+Q392=12,0,IF(X391&gt;$H$28,12-DATEDIF($H$28,X391+1,"m"),IF(X391&lt;$H$27,0,DATEDIF($H$27,X391+1,"m"))))&lt;0,0,IF(V392+W392+U392+T392+S392+R392+Q392=12,0,IF(X391&gt;$H$28,12-DATEDIF($H$28,X391+1,"m"),IF(X391&lt;$H$27,0,DATEDIF($H$27,X391+1,"m")))))</f>
        <v>0</v>
      </c>
      <c r="Y392" s="412">
        <f>IF(IF(W392+X392+V392+U392+T392+S392+R392+Q392=12,0,IF(Y391&gt;$H$28,12-DATEDIF($H$28,Y391+1,"m"),IF(Y391&lt;$H$27,0,DATEDIF($H$27,Y391+1,"m"))))&lt;0,0,IF(W392+X392+V392+U392+T392+S392+R392+Q392=12,0,IF(Y391&gt;$H$28,12-DATEDIF($H$28,Y391+1,"m"),IF(Y391&lt;$H$27,0,DATEDIF($H$27,Y391+1,"m")))))</f>
        <v>0</v>
      </c>
      <c r="Z392" s="412">
        <f>IF(IF(X392+Y392+W392+V392+U392+T392+S392+R392+Q392=12,0,IF(Z391&gt;$H$28,12-DATEDIF($H$28,Z391+1,"m"),IF(Z391&lt;$H$27,0,DATEDIF($H$27,Z391+1,"m"))))&lt;0,0,IF(X392+Y392+W392+V392+U392+T392+S392+R392+Q392=12,0,IF(Z391&gt;$H$28,12-DATEDIF($H$28,Z391+1,"m"),IF(Z391&lt;$H$27,0,DATEDIF($H$27,Z391+1,"m")))))</f>
        <v>0</v>
      </c>
      <c r="AA392" s="412">
        <f>IF(IF(Q392+R392+S392+Y392+Z392+X392+W392+V392+U392+T392=12,0,IF(AA391&gt;$H$28,12-DATEDIF($H$28,AA391+1,"m"),IF(AA391&lt;$H$27,0,DATEDIF($H$27,AA391+1,"m"))))&lt;0,0,IF(Q392+R392+S392+Y392+Z392+X392+W392+V392+U392+T392=12,0,IF(AA391&gt;$H$28,12-DATEDIF($H$28,AA391+1,"m"),IF(AA391&lt;$H$27,0,DATEDIF($H$27,AA391+1,"m")))))</f>
        <v>0</v>
      </c>
      <c r="AB392" s="412">
        <f>IF(IF(Q392+R392+S392+T392+Z392+AA392+Y392+X392+W392+V392+U392=12,0,IF(AB391&gt;$H$28,12-DATEDIF($H$28,AB391+1,"m"),IF(AB391&lt;$H$27,0,DATEDIF($H$27,AB391+1,"m"))))&lt;0,0,IF(Q392+R392+S392+T392+Z392+AA392+Y392+X392+W392+V392+U392=12,0,IF(AB391&gt;$H$28,12-DATEDIF($H$28,AB391+1,"m"),IF(AB391&lt;$H$27,0,DATEDIF($H$27,AB391+1,"m")))))</f>
        <v>0</v>
      </c>
      <c r="AC392" s="412">
        <f>IF(IF(Q392+R392+S392+T392+U392+AA392+AB392+Z392+Y392+X392+W392+V392=12,0,IF(AC391&gt;$H$28,12-DATEDIF($H$28,AC391+1,"m"),IF(AC391&lt;$H$27,0,DATEDIF($H$27,AC391+1,"m"))))&lt;0,0,IF(Q392+R392+S392+T392+U392+AA392+AB392+Z392+Y392+X392+W392+V392=12,0,IF(AC391&gt;$H$28,12-DATEDIF($H$28,AC391+1,"m"),IF(AC391&lt;$H$27,0,DATEDIF($H$27,AC391+1,"m")))))</f>
        <v>0</v>
      </c>
      <c r="AD392" s="412">
        <f>IF(IF(Q392+R392+S392+T392+U392+V392+AB392+AC392+AA392+Z392+Y392+X392+W392=12,0,IF(AD391&gt;$H$28,12-DATEDIF($H$28,AD391+1,"m"),IF(AD391&lt;$H$27,0,DATEDIF($H$27,AD391+1,"m"))))&lt;0,0,IF(Q392+R392+S392+T392+U392+V392+AB392+AC392+AA392+Z392+Y392+X392+W392=12,0,IF(AD391&gt;$H$28,12-DATEDIF($H$28,AD391+1,"m"),IF(AD391&lt;$H$27,0,DATEDIF($H$27,AD391+1,"m")))))</f>
        <v>0</v>
      </c>
      <c r="AE392" s="412">
        <f>IF(IF(Q392+R392+S392+T392+U392+V392+W392+AC392+AD392+AB392+AA392+Z392+Y392+X392=12,0,IF(AE391&gt;$H$28,12-DATEDIF($H$28,AE391+1,"m"),IF(AE391&lt;$H$27,0,DATEDIF($H$27,AE391+1,"m"))))&lt;0,0,IF(Q392+R392+S392+T392+U392+V392+W392+AC392+AD392+AB392+AA392+Z392+Y392+X392=12,0,IF(AE391&gt;$H$28,12-DATEDIF($H$28,AE391+1,"m"),IF(AE391&lt;$H$27,0,DATEDIF($H$27,AE391+1,"m")))))</f>
        <v>0</v>
      </c>
      <c r="AF392" s="412">
        <f>IF(IF(Q392+R392+S392+T392+U392+V392+W392+X392+AD392+AE392+AC392+AB392+AA392+Z392+Y392=12,0,IF(AF391&gt;$H$28,12-DATEDIF($H$28,AF391+1,"m"),IF(AF391&lt;$H$27,0,DATEDIF($H$27,AF391+1,"m"))))&lt;0,0,IF(Q392+R392+S392+T392+U392+V392+W392+X392+AD392+AE392+AC392+AB392+AA392+Z392+Y392=12,0,IF(AF391&gt;$H$28,12-DATEDIF($H$28,AF391+1,"m"),IF(AF391&lt;$H$27,0,DATEDIF($H$27,AF391+1,"m")))))</f>
        <v>0</v>
      </c>
      <c r="AG392" s="412">
        <f>IF(IF(Q392+R392+S392+T392+U392+V392+W392+X392+Y392+AE392+AF392+AD392+AC392+AB392+AA392+Z392=12,0,IF(AG391&gt;$H$28,12-DATEDIF($H$28,AG391+1,"m"),IF(AG391&lt;$H$27,0,DATEDIF($H$27,AG391+1,"m"))))&lt;0,0,IF(Q392+R392+S392+T392+U392+V392+W392+X392+Y392+AE392+AF392+AD392+AC392+AB392+AA392+Z392=12,0,IF(AG391&gt;$H$28,12-DATEDIF($H$28,AG391+1,"m"),IF(AG391&lt;$H$27,0,DATEDIF($H$27,AG391+1,"m")))))</f>
        <v>0</v>
      </c>
      <c r="AH392" s="423">
        <f>SUM(Q392:AG392)</f>
        <v>0</v>
      </c>
      <c r="AI392" s="425">
        <f t="shared" si="184"/>
        <v>0</v>
      </c>
      <c r="AJ392" s="425">
        <f t="shared" si="184"/>
        <v>0</v>
      </c>
      <c r="AK392" s="425">
        <f t="shared" si="184"/>
        <v>0</v>
      </c>
      <c r="AL392" s="425">
        <f t="shared" si="184"/>
        <v>0</v>
      </c>
      <c r="AM392" s="425">
        <f t="shared" si="184"/>
        <v>0</v>
      </c>
      <c r="AN392" s="425">
        <f t="shared" si="184"/>
        <v>0</v>
      </c>
      <c r="AO392" s="425">
        <f t="shared" si="184"/>
        <v>0</v>
      </c>
      <c r="AP392" s="425">
        <f t="shared" si="184"/>
        <v>0</v>
      </c>
      <c r="AQ392" s="425">
        <f t="shared" si="184"/>
        <v>0</v>
      </c>
      <c r="AR392" s="425">
        <f t="shared" si="184"/>
        <v>0</v>
      </c>
      <c r="AS392" s="425">
        <f t="shared" si="185"/>
        <v>0</v>
      </c>
      <c r="AT392" s="425">
        <f t="shared" si="185"/>
        <v>0</v>
      </c>
      <c r="AU392" s="425">
        <f t="shared" si="185"/>
        <v>0</v>
      </c>
      <c r="AV392" s="425">
        <f t="shared" si="185"/>
        <v>0</v>
      </c>
      <c r="AW392" s="425">
        <f t="shared" si="185"/>
        <v>0</v>
      </c>
      <c r="AX392" s="425">
        <f t="shared" si="185"/>
        <v>0</v>
      </c>
      <c r="AY392" s="425">
        <f t="shared" si="185"/>
        <v>0</v>
      </c>
      <c r="AZ392" s="425">
        <f>SUM(AI392:AY392)</f>
        <v>0</v>
      </c>
    </row>
    <row r="393" spans="15:52" ht="18" hidden="1" customHeight="1">
      <c r="Q393" s="412">
        <f>IF(Q392=0,0,(IF(($B$135+$C$135+$D$135+$E$135+$F$135+$G$135+$H$135)&lt;=25000,(($H$135/+$AH392)*Q392)*VLOOKUP('1. SUMMARY'!$C$20,rate,Sheet1!T$21,0),((IF(($F$135+$B$135+$C$135+$D$135+$E$135+$G$135)&gt;=25000,0,(((25000-($B$135+$C$135+$D$135+$E$135+$F$135+$G$135))/+$AH392)*Q392)*(VLOOKUP('1. SUMMARY'!$C$20,rate,Sheet1!T$21,0))))))))</f>
        <v>0</v>
      </c>
      <c r="R393" s="412">
        <f>IF(R392=0,0,(IF(($B$135+$C$135+$D$135+$E$135+$F$135+$G$135+$H$135)&lt;=25000,(($H$135/+$AH392)*R392)*VLOOKUP('1. SUMMARY'!$C$20,rate,Sheet1!U$21,0),((IF(($F$135+$B$135+$C$135+$D$135+$E$135+$G$135)&gt;=25000,0,(((25000-($B$135+$C$135+$D$135+$E$135+$F$135+$G$135))/+$AH392)*R392)*(VLOOKUP('1. SUMMARY'!$C$20,rate,Sheet1!U$21,0))))))))</f>
        <v>0</v>
      </c>
      <c r="S393" s="412">
        <f>IF(S392=0,0,(IF(($B$135+$C$135+$D$135+$E$135+$F$135+$G$135+$H$135)&lt;=25000,(($H$135/+$AH392)*S392)*VLOOKUP('1. SUMMARY'!$C$20,rate,Sheet1!V$21,0),((IF(($F$135+$B$135+$C$135+$D$135+$E$135+$G$135)&gt;=25000,0,(((25000-($B$135+$C$135+$D$135+$E$135+$F$135+$G$135))/+$AH392)*S392)*(VLOOKUP('1. SUMMARY'!$C$20,rate,Sheet1!V$21,0))))))))</f>
        <v>0</v>
      </c>
      <c r="T393" s="412">
        <f>IF(T392=0,0,(IF(($B$135+$C$135+$D$135+$E$135+$F$135+$G$135+$H$135)&lt;=25000,(($H$135/+$AH392)*T392)*VLOOKUP('1. SUMMARY'!$C$20,rate,Sheet1!W$21,0),((IF(($F$135+$B$135+$C$135+$D$135+$E$135+$G$135)&gt;=25000,0,(((25000-($B$135+$C$135+$D$135+$E$135+$F$135+$G$135))/+$AH392)*T392)*(VLOOKUP('1. SUMMARY'!$C$20,rate,Sheet1!W$21,0))))))))</f>
        <v>0</v>
      </c>
      <c r="U393" s="412">
        <f>IF(U392=0,0,(IF(($B$135+$C$135+$D$135+$E$135+$F$135+$G$135+$H$135)&lt;=25000,(($H$135/+$AH392)*U392)*VLOOKUP('1. SUMMARY'!$C$20,rate,Sheet1!X$21,0),((IF(($F$135+$B$135+$C$135+$D$135+$E$135+$G$135)&gt;=25000,0,(((25000-($B$135+$C$135+$D$135+$E$135+$F$135+$G$135))/+$AH392)*U392)*(VLOOKUP('1. SUMMARY'!$C$20,rate,Sheet1!X$21,0))))))))</f>
        <v>0</v>
      </c>
      <c r="V393" s="412">
        <f>IF(V392=0,0,(IF(($B$135+$C$135+$D$135+$E$135+$F$135+$G$135+$H$135)&lt;=25000,(($H$135/+$AH392)*V392)*VLOOKUP('1. SUMMARY'!$C$20,rate,Sheet1!Y$21,0),((IF(($F$135+$B$135+$C$135+$D$135+$E$135+$G$135)&gt;=25000,0,(((25000-($B$135+$C$135+$D$135+$E$135+$F$135+$G$135))/+$AH392)*V392)*(VLOOKUP('1. SUMMARY'!$C$20,rate,Sheet1!Y$21,0))))))))</f>
        <v>0</v>
      </c>
      <c r="W393" s="412">
        <f>IF(W392=0,0,(IF(($B$135+$C$135+$D$135+$E$135+$F$135+$G$135+$H$135)&lt;=25000,(($H$135/+$AH392)*W392)*VLOOKUP('1. SUMMARY'!$C$20,rate,Sheet1!Z$21,0),((IF(($F$135+$B$135+$C$135+$D$135+$E$135+$G$135)&gt;=25000,0,(((25000-($B$135+$C$135+$D$135+$E$135+$F$135+$G$135))/+$AH392)*W392)*(VLOOKUP('1. SUMMARY'!$C$20,rate,Sheet1!Z$21,0))))))))</f>
        <v>0</v>
      </c>
      <c r="X393" s="412">
        <f>IF(X392=0,0,(IF(($B$135+$C$135+$D$135+$E$135+$F$135+$G$135+$H$135)&lt;=25000,(($H$135/+$AH392)*X392)*VLOOKUP('1. SUMMARY'!$C$20,rate,Sheet1!AA$21,0),((IF(($F$135+$B$135+$C$135+$D$135+$E$135+$G$135)&gt;=25000,0,(((25000-($B$135+$C$135+$D$135+$E$135+$F$135+$G$135))/+$AH392)*X392)*(VLOOKUP('1. SUMMARY'!$C$20,rate,Sheet1!AA$21,0))))))))</f>
        <v>0</v>
      </c>
      <c r="Y393" s="412">
        <f>IF(Y392=0,0,(IF(($B$135+$C$135+$D$135+$E$135+$F$135+$G$135+$H$135)&lt;=25000,(($H$135/+$AH392)*Y392)*VLOOKUP('1. SUMMARY'!$C$20,rate,Sheet1!AB$21,0),((IF(($F$135+$B$135+$C$135+$D$135+$E$135+$G$135)&gt;=25000,0,(((25000-($B$135+$C$135+$D$135+$E$135+$F$135+$G$135))/+$AH392)*Y392)*(VLOOKUP('1. SUMMARY'!$C$20,rate,Sheet1!AB$21,0))))))))</f>
        <v>0</v>
      </c>
      <c r="Z393" s="412">
        <f>IF(Z392=0,0,(IF(($B$135+$C$135+$D$135+$E$135+$F$135+$G$135+$H$135)&lt;=25000,(($H$135/+$AH392)*Z392)*VLOOKUP('1. SUMMARY'!$C$20,rate,Sheet1!AC$21,0),((IF(($F$135+$B$135+$C$135+$D$135+$E$135+$G$135)&gt;=25000,0,(((25000-($B$135+$C$135+$D$135+$E$135+$F$135+$G$135))/+$AH392)*Z392)*(VLOOKUP('1. SUMMARY'!$C$20,rate,Sheet1!AC$21,0))))))))</f>
        <v>0</v>
      </c>
      <c r="AA393" s="412">
        <f>IF(AA392=0,0,(IF(($B$135+$C$135+$D$135+$E$135+$F$135+$G$135+$H$135)&lt;=25000,(($H$135/+$AH392)*AA392)*VLOOKUP('1. SUMMARY'!$C$20,rate,Sheet1!AD$21,0),((IF(($F$135+$B$135+$C$135+$D$135+$E$135+$G$135)&gt;=25000,0,(((25000-($B$135+$C$135+$D$135+$E$135+$F$135+$G$135))/+$AH392)*AA392)*(VLOOKUP('1. SUMMARY'!$C$20,rate,Sheet1!AD$21,0))))))))</f>
        <v>0</v>
      </c>
      <c r="AB393" s="412">
        <f>IF(AB392=0,0,(IF(($B$135+$C$135+$D$135+$E$135+$F$135+$G$135+$H$135)&lt;=25000,(($H$135/+$AH392)*AB392)*VLOOKUP('1. SUMMARY'!$C$20,rate,Sheet1!AE$21,0),((IF(($F$135+$B$135+$C$135+$D$135+$E$135+$G$135)&gt;=25000,0,(((25000-($B$135+$C$135+$D$135+$E$135+$F$135+$G$135))/+$AH392)*AB392)*(VLOOKUP('1. SUMMARY'!$C$20,rate,Sheet1!AE$21,0))))))))</f>
        <v>0</v>
      </c>
      <c r="AC393" s="412">
        <f>IF(AC392=0,0,(IF(($B$135+$C$135+$D$135+$E$135+$F$135+$G$135+$H$135)&lt;=25000,(($H$135/+$AH392)*AC392)*VLOOKUP('1. SUMMARY'!$C$20,rate,Sheet1!AF$21,0),((IF(($F$135+$B$135+$C$135+$D$135+$E$135+$G$135)&gt;=25000,0,(((25000-($B$135+$C$135+$D$135+$E$135+$F$135+$G$135))/+$AH392)*AC392)*(VLOOKUP('1. SUMMARY'!$C$20,rate,Sheet1!AF$21,0))))))))</f>
        <v>0</v>
      </c>
      <c r="AD393" s="412">
        <f>IF(AD392=0,0,(IF(($B$135+$C$135+$D$135+$E$135+$F$135+$G$135+$H$135)&lt;=25000,(($H$135/+$AH392)*AD392)*VLOOKUP('1. SUMMARY'!$C$20,rate,Sheet1!AG$21,0),((IF(($F$135+$B$135+$C$135+$D$135+$E$135+$G$135)&gt;=25000,0,(((25000-($B$135+$C$135+$D$135+$E$135+$F$135+$G$135))/+$AH392)*AD392)*(VLOOKUP('1. SUMMARY'!$C$20,rate,Sheet1!AG$21,0))))))))</f>
        <v>0</v>
      </c>
      <c r="AE393" s="412">
        <f>IF(AE392=0,0,(IF(($B$135+$C$135+$D$135+$E$135+$F$135+$G$135+$H$135)&lt;=25000,(($H$135/+$AH392)*AE392)*VLOOKUP('1. SUMMARY'!$C$20,rate,Sheet1!AH$21,0),((IF(($F$135+$B$135+$C$135+$D$135+$E$135+$G$135)&gt;=25000,0,(((25000-($B$135+$C$135+$D$135+$E$135+$F$135+$G$135))/+$AH392)*AE392)*(VLOOKUP('1. SUMMARY'!$C$20,rate,Sheet1!AH$21,0))))))))</f>
        <v>0</v>
      </c>
      <c r="AF393" s="412">
        <f>IF(AF392=0,0,(IF(($B$135+$C$135+$D$135+$E$135+$F$135+$G$135+$H$135)&lt;=25000,(($H$135/+$AH392)*AF392)*VLOOKUP('1. SUMMARY'!$C$20,rate,Sheet1!AI$21,0),((IF(($F$135+$B$135+$C$135+$D$135+$E$135+$G$135)&gt;=25000,0,(((25000-($B$135+$C$135+$D$135+$E$135+$F$135+$G$135))/+$AH392)*AF392)*(VLOOKUP('1. SUMMARY'!$C$20,rate,Sheet1!AI$21,0))))))))</f>
        <v>0</v>
      </c>
      <c r="AG393" s="412">
        <f>IF(AG392=0,0,(IF(($B$135+$C$135+$D$135+$E$135+$F$135+$G$135+$H$135)&lt;=25000,(($H$135/+$AH392)*AG392)*VLOOKUP('1. SUMMARY'!$C$20,rate,Sheet1!AJ$21,0),((IF(($F$135+$B$135+$C$135+$D$135+$E$135+$G$135)&gt;=25000,0,(((25000-($B$135+$C$135+$D$135+$E$135+$F$135+$G$135))/+$AH392)*AG392)*(VLOOKUP('1. SUMMARY'!$C$20,rate,Sheet1!AJ$21,0))))))))</f>
        <v>0</v>
      </c>
      <c r="AH393" s="219">
        <f>SUM(Q393:AG393)</f>
        <v>0</v>
      </c>
      <c r="AI393" s="412">
        <f>IF(AI392=0,0,((+$H135/$AZ392)*AI392)*VLOOKUP('1. SUMMARY'!$C$20,rate,Sheet1!T$21,0))</f>
        <v>0</v>
      </c>
      <c r="AJ393" s="412">
        <f>IF(AJ392=0,0,((+$H135/$AZ392)*AJ392)*VLOOKUP('1. SUMMARY'!$C$20,rate,Sheet1!U$21,0))</f>
        <v>0</v>
      </c>
      <c r="AK393" s="412">
        <f>IF(AK392=0,0,((+$H135/$AZ392)*AK392)*VLOOKUP('1. SUMMARY'!$C$20,rate,Sheet1!V$21,0))</f>
        <v>0</v>
      </c>
      <c r="AL393" s="412">
        <f>IF(AL392=0,0,((+$H135/$AZ392)*AL392)*VLOOKUP('1. SUMMARY'!$C$20,rate,Sheet1!W$21,0))</f>
        <v>0</v>
      </c>
      <c r="AM393" s="412">
        <f>IF(AM392=0,0,((+$H135/$AZ392)*AM392)*VLOOKUP('1. SUMMARY'!$C$20,rate,Sheet1!X$21,0))</f>
        <v>0</v>
      </c>
      <c r="AN393" s="412">
        <f>IF(AN392=0,0,((+$H135/$AZ392)*AN392)*VLOOKUP('1. SUMMARY'!$C$20,rate,Sheet1!Y$21,0))</f>
        <v>0</v>
      </c>
      <c r="AO393" s="412">
        <f>IF(AO392=0,0,((+$H135/$AZ392)*AO392)*VLOOKUP('1. SUMMARY'!$C$20,rate,Sheet1!Z$21,0))</f>
        <v>0</v>
      </c>
      <c r="AP393" s="412">
        <f>IF(AP392=0,0,((+$H135/$AZ392)*AP392)*VLOOKUP('1. SUMMARY'!$C$20,rate,Sheet1!AA$21,0))</f>
        <v>0</v>
      </c>
      <c r="AQ393" s="412">
        <f>IF(AQ392=0,0,((+$H135/$AZ392)*AQ392)*VLOOKUP('1. SUMMARY'!$C$20,rate,Sheet1!AB$21,0))</f>
        <v>0</v>
      </c>
      <c r="AR393" s="412">
        <f>IF(AR392=0,0,((+$H135/$AZ392)*AR392)*VLOOKUP('1. SUMMARY'!$C$20,rate,Sheet1!AC$21,0))</f>
        <v>0</v>
      </c>
      <c r="AS393" s="412">
        <f>IF(AS392=0,0,((+$H135/$AZ392)*AS392)*VLOOKUP('1. SUMMARY'!$C$20,rate,Sheet1!AD$21,0))</f>
        <v>0</v>
      </c>
      <c r="AT393" s="412">
        <f>IF(AT392=0,0,((+$H135/$AZ392)*AT392)*VLOOKUP('1. SUMMARY'!$C$20,rate,Sheet1!AE$21,0))</f>
        <v>0</v>
      </c>
      <c r="AU393" s="412">
        <f>IF(AU392=0,0,((+$H135/$AZ392)*AU392)*VLOOKUP('1. SUMMARY'!$C$20,rate,Sheet1!AF$21,0))</f>
        <v>0</v>
      </c>
      <c r="AV393" s="412">
        <f>IF(AV392=0,0,((+$H135/$AZ392)*AV392)*VLOOKUP('1. SUMMARY'!$C$20,rate,Sheet1!AG$21,0))</f>
        <v>0</v>
      </c>
      <c r="AW393" s="412">
        <f>IF(AW392=0,0,((+$H135/$AZ392)*AW392)*VLOOKUP('1. SUMMARY'!$C$20,rate,Sheet1!AH$21,0))</f>
        <v>0</v>
      </c>
      <c r="AX393" s="412">
        <f>IF(AX392=0,0,((+$H135/$AZ392)*AX392)*VLOOKUP('1. SUMMARY'!$C$20,rate,Sheet1!AI$21,0))</f>
        <v>0</v>
      </c>
      <c r="AY393" s="412">
        <f>IF(AY392=0,0,((+$H135/$AZ392)*AY392)*VLOOKUP('1. SUMMARY'!$C$20,rate,Sheet1!AJ$21,0))</f>
        <v>0</v>
      </c>
      <c r="AZ393" s="412">
        <f>SUM(AI393:AY393)</f>
        <v>0</v>
      </c>
    </row>
    <row r="394" spans="15:52" ht="18" hidden="1" customHeight="1">
      <c r="Q394" s="412">
        <f>+Q393/VLOOKUP('1. SUMMARY'!$C$20,rate,Sheet1!T$21,0)</f>
        <v>0</v>
      </c>
      <c r="R394" s="412">
        <f>+R393/VLOOKUP('1. SUMMARY'!$C$20,rate,Sheet1!U$21,0)</f>
        <v>0</v>
      </c>
      <c r="S394" s="412">
        <f>+S393/VLOOKUP('1. SUMMARY'!$C$20,rate,Sheet1!V$21,0)</f>
        <v>0</v>
      </c>
      <c r="T394" s="412">
        <f>+T393/VLOOKUP('1. SUMMARY'!$C$20,rate,Sheet1!W$21,0)</f>
        <v>0</v>
      </c>
      <c r="U394" s="412">
        <f>+U393/VLOOKUP('1. SUMMARY'!$C$20,rate,Sheet1!X$21,0)</f>
        <v>0</v>
      </c>
      <c r="V394" s="412">
        <f>+V393/VLOOKUP('1. SUMMARY'!$C$20,rate,Sheet1!Y$21,0)</f>
        <v>0</v>
      </c>
      <c r="W394" s="412">
        <f>+W393/VLOOKUP('1. SUMMARY'!$C$20,rate,Sheet1!Z$21,0)</f>
        <v>0</v>
      </c>
      <c r="X394" s="412">
        <f>+X393/VLOOKUP('1. SUMMARY'!$C$20,rate,Sheet1!AA$21,0)</f>
        <v>0</v>
      </c>
      <c r="Y394" s="412">
        <f>+Y393/VLOOKUP('1. SUMMARY'!$C$20,rate,Sheet1!AB$21,0)</f>
        <v>0</v>
      </c>
      <c r="Z394" s="412">
        <f>+Z393/VLOOKUP('1. SUMMARY'!$C$20,rate,Sheet1!AC$21,0)</f>
        <v>0</v>
      </c>
      <c r="AA394" s="412">
        <f>+AA393/VLOOKUP('1. SUMMARY'!$C$20,rate,Sheet1!AD$21,0)</f>
        <v>0</v>
      </c>
      <c r="AB394" s="412">
        <f>+AB393/VLOOKUP('1. SUMMARY'!$C$20,rate,Sheet1!AE$21,0)</f>
        <v>0</v>
      </c>
      <c r="AC394" s="412">
        <f>+AC393/VLOOKUP('1. SUMMARY'!$C$20,rate,Sheet1!AF$21,0)</f>
        <v>0</v>
      </c>
      <c r="AD394" s="412">
        <f>+AD393/VLOOKUP('1. SUMMARY'!$C$20,rate,Sheet1!AG$21,0)</f>
        <v>0</v>
      </c>
      <c r="AE394" s="412">
        <f>+AE393/VLOOKUP('1. SUMMARY'!$C$20,rate,Sheet1!AH$21,0)</f>
        <v>0</v>
      </c>
      <c r="AF394" s="412">
        <f>+AF393/VLOOKUP('1. SUMMARY'!$C$20,rate,Sheet1!AI$21,0)</f>
        <v>0</v>
      </c>
      <c r="AG394" s="412">
        <f>+AG393/VLOOKUP('1. SUMMARY'!$C$20,rate,Sheet1!AJ$21,0)</f>
        <v>0</v>
      </c>
      <c r="AH394" s="219"/>
      <c r="AI394" s="412"/>
      <c r="AJ394" s="412"/>
      <c r="AK394" s="412"/>
      <c r="AL394" s="412"/>
      <c r="AM394" s="412"/>
      <c r="AN394" s="412"/>
      <c r="AO394" s="412"/>
      <c r="AP394" s="412"/>
      <c r="AQ394" s="412"/>
      <c r="AR394" s="412"/>
      <c r="AS394" s="412"/>
      <c r="AT394" s="412"/>
      <c r="AU394" s="412"/>
      <c r="AV394" s="412"/>
      <c r="AW394" s="412"/>
      <c r="AX394" s="412"/>
      <c r="AY394" s="412"/>
      <c r="AZ394" s="412"/>
    </row>
    <row r="395" spans="15:52" ht="18" hidden="1" customHeight="1">
      <c r="Q395" s="418">
        <f>Sheet1!$T$8</f>
        <v>44105</v>
      </c>
      <c r="R395" s="418">
        <f>Sheet1!$U$8</f>
        <v>44470</v>
      </c>
      <c r="S395" s="418">
        <f>Sheet1!$V$8</f>
        <v>44835</v>
      </c>
      <c r="T395" s="418">
        <f>Sheet1!$W$8</f>
        <v>45200</v>
      </c>
      <c r="U395" s="418">
        <f>Sheet1!$X$8</f>
        <v>45566</v>
      </c>
      <c r="V395" s="418">
        <f>Sheet1!$Y$8</f>
        <v>45931</v>
      </c>
      <c r="W395" s="418">
        <f>Sheet1!$Z$8</f>
        <v>46296</v>
      </c>
      <c r="X395" s="418">
        <f>Sheet1!$AA$8</f>
        <v>46661</v>
      </c>
      <c r="Y395" s="418">
        <f>Sheet1!$AB$8</f>
        <v>47027</v>
      </c>
      <c r="Z395" s="418">
        <f>Sheet1!$AC$8</f>
        <v>47392</v>
      </c>
      <c r="AA395" s="418">
        <f>$AA$5</f>
        <v>47757</v>
      </c>
      <c r="AB395" s="418">
        <f>$AB$5</f>
        <v>48122</v>
      </c>
      <c r="AC395" s="418">
        <f>$AC$5</f>
        <v>48488</v>
      </c>
      <c r="AD395" s="418">
        <f>$AD$5</f>
        <v>48853</v>
      </c>
      <c r="AE395" s="418">
        <f>$AE$5</f>
        <v>49218</v>
      </c>
      <c r="AF395" s="418">
        <f>$AF$5</f>
        <v>49583</v>
      </c>
      <c r="AG395" s="418">
        <f>$AG$5</f>
        <v>49949</v>
      </c>
      <c r="AH395" s="219"/>
      <c r="AI395" s="418">
        <f t="shared" ref="AI395:AR397" si="186">+Q395</f>
        <v>44105</v>
      </c>
      <c r="AJ395" s="418">
        <f t="shared" si="186"/>
        <v>44470</v>
      </c>
      <c r="AK395" s="418">
        <f t="shared" si="186"/>
        <v>44835</v>
      </c>
      <c r="AL395" s="418">
        <f t="shared" si="186"/>
        <v>45200</v>
      </c>
      <c r="AM395" s="418">
        <f t="shared" si="186"/>
        <v>45566</v>
      </c>
      <c r="AN395" s="418">
        <f t="shared" si="186"/>
        <v>45931</v>
      </c>
      <c r="AO395" s="418">
        <f t="shared" si="186"/>
        <v>46296</v>
      </c>
      <c r="AP395" s="418">
        <f t="shared" si="186"/>
        <v>46661</v>
      </c>
      <c r="AQ395" s="418">
        <f t="shared" si="186"/>
        <v>47027</v>
      </c>
      <c r="AR395" s="418">
        <f t="shared" si="186"/>
        <v>47392</v>
      </c>
      <c r="AS395" s="418">
        <f t="shared" ref="AS395:AY397" si="187">+AA395</f>
        <v>47757</v>
      </c>
      <c r="AT395" s="418">
        <f t="shared" si="187"/>
        <v>48122</v>
      </c>
      <c r="AU395" s="418">
        <f t="shared" si="187"/>
        <v>48488</v>
      </c>
      <c r="AV395" s="418">
        <f t="shared" si="187"/>
        <v>48853</v>
      </c>
      <c r="AW395" s="418">
        <f t="shared" si="187"/>
        <v>49218</v>
      </c>
      <c r="AX395" s="418">
        <f t="shared" si="187"/>
        <v>49583</v>
      </c>
      <c r="AY395" s="418">
        <f t="shared" si="187"/>
        <v>49949</v>
      </c>
      <c r="AZ395" s="418"/>
    </row>
    <row r="396" spans="15:52" ht="18" hidden="1" customHeight="1">
      <c r="Q396" s="418">
        <f>Sheet1!$T$9</f>
        <v>44469</v>
      </c>
      <c r="R396" s="418">
        <f>Sheet1!$U$9</f>
        <v>44834</v>
      </c>
      <c r="S396" s="418">
        <f>Sheet1!$V$9</f>
        <v>45199</v>
      </c>
      <c r="T396" s="418">
        <f>Sheet1!$W$9</f>
        <v>45565</v>
      </c>
      <c r="U396" s="418">
        <f>Sheet1!$X$9</f>
        <v>45930</v>
      </c>
      <c r="V396" s="418">
        <f>Sheet1!$Y$9</f>
        <v>46295</v>
      </c>
      <c r="W396" s="418">
        <f>Sheet1!$Z$9</f>
        <v>46660</v>
      </c>
      <c r="X396" s="418">
        <f>Sheet1!$AA$9</f>
        <v>47026</v>
      </c>
      <c r="Y396" s="418">
        <f>Sheet1!$AB$9</f>
        <v>47391</v>
      </c>
      <c r="Z396" s="418">
        <f>Sheet1!$AC$9</f>
        <v>47756</v>
      </c>
      <c r="AA396" s="418">
        <f>$AA$6</f>
        <v>48121</v>
      </c>
      <c r="AB396" s="418">
        <f>$AB$6</f>
        <v>48487</v>
      </c>
      <c r="AC396" s="418">
        <f>$AC$6</f>
        <v>48852</v>
      </c>
      <c r="AD396" s="418">
        <f>$AD$6</f>
        <v>49217</v>
      </c>
      <c r="AE396" s="418">
        <f>$AE$6</f>
        <v>49582</v>
      </c>
      <c r="AF396" s="418">
        <f>$AF$6</f>
        <v>49948</v>
      </c>
      <c r="AG396" s="418">
        <f>$AG$6</f>
        <v>50313</v>
      </c>
      <c r="AH396" s="219"/>
      <c r="AI396" s="418">
        <f t="shared" si="186"/>
        <v>44469</v>
      </c>
      <c r="AJ396" s="418">
        <f t="shared" si="186"/>
        <v>44834</v>
      </c>
      <c r="AK396" s="418">
        <f t="shared" si="186"/>
        <v>45199</v>
      </c>
      <c r="AL396" s="418">
        <f t="shared" si="186"/>
        <v>45565</v>
      </c>
      <c r="AM396" s="418">
        <f t="shared" si="186"/>
        <v>45930</v>
      </c>
      <c r="AN396" s="418">
        <f t="shared" si="186"/>
        <v>46295</v>
      </c>
      <c r="AO396" s="418">
        <f t="shared" si="186"/>
        <v>46660</v>
      </c>
      <c r="AP396" s="418">
        <f t="shared" si="186"/>
        <v>47026</v>
      </c>
      <c r="AQ396" s="418">
        <f t="shared" si="186"/>
        <v>47391</v>
      </c>
      <c r="AR396" s="418">
        <f t="shared" si="186"/>
        <v>47756</v>
      </c>
      <c r="AS396" s="418">
        <f t="shared" si="187"/>
        <v>48121</v>
      </c>
      <c r="AT396" s="418">
        <f t="shared" si="187"/>
        <v>48487</v>
      </c>
      <c r="AU396" s="418">
        <f t="shared" si="187"/>
        <v>48852</v>
      </c>
      <c r="AV396" s="418">
        <f t="shared" si="187"/>
        <v>49217</v>
      </c>
      <c r="AW396" s="418">
        <f t="shared" si="187"/>
        <v>49582</v>
      </c>
      <c r="AX396" s="418">
        <f t="shared" si="187"/>
        <v>49948</v>
      </c>
      <c r="AY396" s="418">
        <f t="shared" si="187"/>
        <v>50313</v>
      </c>
      <c r="AZ396" s="418"/>
    </row>
    <row r="397" spans="15:52" ht="18" hidden="1" customHeight="1">
      <c r="O397" s="207" t="s">
        <v>255</v>
      </c>
      <c r="Q397" s="419">
        <f>IF(IF(Q396&lt;$I$27,0,DATEDIF($I$27,Q396+1,"m"))&lt;0,0,IF(Q396&lt;$I$27,0,DATEDIF($I$27,Q396+1,"m")))</f>
        <v>0</v>
      </c>
      <c r="R397" s="419">
        <f>IF(IF(Q397=12,0,IF(R396&gt;$I$28,12-DATEDIF($I$28,R396+1,"m"),IF(R396&lt;$I$27,0,DATEDIF($I$27,R396+1,"m"))))&lt;0,0,IF(Q397=12,0,IF(R396&gt;$I$28,12-DATEDIF($I$28,R396+1,"m"),IF(R396&lt;$I$27,0,DATEDIF($I$27,R396+1,"m")))))</f>
        <v>0</v>
      </c>
      <c r="S397" s="419">
        <f>IF(IF(Q397+R397=12,0,IF(S396&gt;$I$28,12-DATEDIF($I$28,S396+1,"m"),IF(S396&lt;$I$27,0,DATEDIF($I$27,S396+1,"m"))))&lt;0,0,IF(Q397+R397=12,0,IF(S396&gt;$I$28,12-DATEDIF($I$28,S396+1,"m"),IF(S396&lt;$I$27,0,DATEDIF($I$27,S396+1,"m")))))</f>
        <v>0</v>
      </c>
      <c r="T397" s="419">
        <f>IF(IF(R397+S397+Q397=12,0,IF(T396&gt;$I$28,12-DATEDIF($I$28,T396+1,"m"),IF(T396&lt;$I$27,0,DATEDIF($I$27,T396+1,"m"))))&lt;0,0,IF(R397+S397+Q397=12,0,IF(T396&gt;$I$28,12-DATEDIF($I$28,T396+1,"m"),IF(T396&lt;$I$27,0,DATEDIF($I$27,T396+1,"m")))))</f>
        <v>0</v>
      </c>
      <c r="U397" s="419">
        <f>IF(IF(S397+T397+R397+Q397=12,0,IF(U396&gt;$I$28,12-DATEDIF($I$28,U396+1,"m"),IF(U396&lt;$I$27,0,DATEDIF($I$27,U396+1,"m"))))&lt;0,0,IF(S397+T397+R397+Q397=12,0,IF(U396&gt;$I$28,12-DATEDIF($I$28,U396+1,"m"),IF(U396&lt;$I$27,0,DATEDIF($I$27,U396+1,"m")))))</f>
        <v>0</v>
      </c>
      <c r="V397" s="419">
        <f>IF(IF(T397+U397+S397+R397+Q397=12,0,IF(V396&gt;$I$28,12-DATEDIF($I$28,V396+1,"m"),IF(V396&lt;$I$27,0,DATEDIF($I$27,V396+1,"m"))))&lt;0,0,IF(T397+U397+S397+R397+Q397=12,0,IF(V396&gt;$I$28,12-DATEDIF($I$28,V396+1,"m"),IF(V396&lt;$I$27,0,DATEDIF($I$27,V396+1,"m")))))</f>
        <v>0</v>
      </c>
      <c r="W397" s="419">
        <f>IF(IF(U397+V397+T397+S397+R397+Q397=12,0,IF(W396&gt;$I$28,12-DATEDIF($I$28,W396+1,"m"),IF(W396&lt;$I$27,0,DATEDIF($I$27,W396+1,"m"))))&lt;0,0,IF(U397+V397+T397+S397+R397+Q397=12,0,IF(W396&gt;$I$28,12-DATEDIF($I$28,W396+1,"m"),IF(W396&lt;$I$27,0,DATEDIF($I$27,W396+1,"m")))))</f>
        <v>0</v>
      </c>
      <c r="X397" s="419">
        <f>IF(IF(V397+W397+U397+T397+S397+R397+Q397=12,0,IF(X396&gt;$I$28,12-DATEDIF($I$28,X396+1,"m"),IF(X396&lt;$I$27,0,DATEDIF($I$27,X396+1,"m"))))&lt;0,0,IF(V397+W397+U397+T397+S397+R397+Q397=12,0,IF(X396&gt;$I$28,12-DATEDIF($I$28,X396+1,"m"),IF(X396&lt;$I$27,0,DATEDIF($I$27,X396+1,"m")))))</f>
        <v>0</v>
      </c>
      <c r="Y397" s="419">
        <f>IF(IF(W397+X397+V397+U397+T397+S397+R397+Q397=12,0,IF(Y396&gt;$I$28,12-DATEDIF($I$28,Y396+1,"m"),IF(Y396&lt;$I$27,0,DATEDIF($I$27,Y396+1,"m"))))&lt;0,0,IF(W397+X397+V397+U397+T397+S397+R397+Q397=12,0,IF(Y396&gt;$I$28,12-DATEDIF($I$28,Y396+1,"m"),IF(Y396&lt;$I$27,0,DATEDIF($I$27,Y396+1,"m")))))</f>
        <v>0</v>
      </c>
      <c r="Z397" s="419">
        <f>IF(IF(X397+Y397+W397+V397+U397+T397+S397+R397+Q397=12,0,IF(Z396&gt;$I$28,12-DATEDIF($I$28,Z396+1,"m"),IF(Z396&lt;$I$27,0,DATEDIF($I$27,Z396+1,"m"))))&lt;0,0,IF(X397+Y397+W397+V397+U397+T397+S397+R397+Q397=12,0,IF(Z396&gt;$I$28,12-DATEDIF($I$28,Z396+1,"m"),IF(Z396&lt;$I$27,0,DATEDIF($I$27,Z396+1,"m")))))</f>
        <v>0</v>
      </c>
      <c r="AA397" s="419">
        <f>IF(IF(Q397+R397+S397+Y397+Z397+X397+W397+V397+U397+T397=12,0,IF(AA396&gt;$I$28,12-DATEDIF($I$28,AA396+1,"m"),IF(AA396&lt;$I$27,0,DATEDIF($I$27,AA396+1,"m"))))&lt;0,0,IF(Q397+R397+S397+Y397+Z397+X397+W397+V397+U397+T397=12,0,IF(AA396&gt;$I$28,12-DATEDIF($I$28,AA396+1,"m"),IF(AA396&lt;$I$27,0,DATEDIF($I$27,AA396+1,"m")))))</f>
        <v>0</v>
      </c>
      <c r="AB397" s="419">
        <f>IF(IF(Q397+R397+S397+T397+Z397+AA397+Y397+X397+W397+V397+U397=12,0,IF(AB396&gt;$I$28,12-DATEDIF($I$28,AB396+1,"m"),IF(AB396&lt;$I$27,0,DATEDIF($I$27,AB396+1,"m"))))&lt;0,0,IF(Q397+R397+S397+T397+Z397+AA397+Y397+X397+W397+V397+U397=12,0,IF(AB396&gt;$I$28,12-DATEDIF($I$28,AB396+1,"m"),IF(AB396&lt;$I$27,0,DATEDIF($I$27,AB396+1,"m")))))</f>
        <v>0</v>
      </c>
      <c r="AC397" s="419">
        <f>IF(IF(Q397+R397+S397+T397+U397+AA397+AB397+Z397+Y397+X397+W397+V397=12,0,IF(AC396&gt;$I$28,12-DATEDIF($I$28,AC396+1,"m"),IF(AC396&lt;$I$27,0,DATEDIF($I$27,AC396+1,"m"))))&lt;0,0,IF(Q397+R397+S397+T397+U397+AA397+AB397+Z397+Y397+X397+W397+V397=12,0,IF(AC396&gt;$I$28,12-DATEDIF($I$28,AC396+1,"m"),IF(AC396&lt;$I$27,0,DATEDIF($I$27,AC396+1,"m")))))</f>
        <v>0</v>
      </c>
      <c r="AD397" s="419">
        <f>IF(IF(Q397+R397+S397+T397+U397+V397+AB397+AC397+AA397+Z397+Y397+X397+W397=12,0,IF(AD396&gt;$I$28,12-DATEDIF($I$28,AD396+1,"m"),IF(AD396&lt;$I$27,0,DATEDIF($I$27,AD396+1,"m"))))&lt;0,0,IF(Q397+R397+S397+T397+U397+V397+AB397+AC397+AA397+Z397+Y397+X397+W397=12,0,IF(AD396&gt;$I$28,12-DATEDIF($I$28,AD396+1,"m"),IF(AD396&lt;$I$27,0,DATEDIF($I$27,AD396+1,"m")))))</f>
        <v>0</v>
      </c>
      <c r="AE397" s="419">
        <f>IF(IF(Q397+R397+S397+T397+U397+V397+W397+AC397+AD397+AB397+AA397+Z397+Y397+X397=12,0,IF(AE396&gt;$I$28,12-DATEDIF($I$28,AE396+1,"m"),IF(AE396&lt;$I$27,0,DATEDIF($I$27,AE396+1,"m"))))&lt;0,0,IF(Q397+R397+S397+T397+U397+V397+W397+AC397+AD397+AB397+AA397+Z397+Y397+X397=12,0,IF(AE396&gt;$I$28,12-DATEDIF($I$28,AE396+1,"m"),IF(AE396&lt;$I$27,0,DATEDIF($I$27,AE396+1,"m")))))</f>
        <v>0</v>
      </c>
      <c r="AF397" s="419">
        <f>IF(IF(Q397+R397+S397+T397+U397+V397+W397+X397+AD397+AE397+AC397+AB397+AA397+Z397+Y397=12,0,IF(AF396&gt;$I$28,12-DATEDIF($I$28,AF396+1,"m"),IF(AF396&lt;$I$27,0,DATEDIF($I$27,AF396+1,"m"))))&lt;0,0,IF(Q397+R397+S397+T397+U397+V397+W397+X397+AD397+AE397+AC397+AB397+AA397+Z397+Y397=12,0,IF(AF396&gt;$I$28,12-DATEDIF($I$28,AF396+1,"m"),IF(AF396&lt;$I$27,0,DATEDIF($I$27,AF396+1,"m")))))</f>
        <v>0</v>
      </c>
      <c r="AG397" s="419">
        <f>IF(IF(Q397+R397+S397+T397+U397+V397+W397+X397+Y397+AE397+AF397+AD397+AC397+AB397+AA397+Z397=12,0,IF(AG396&gt;$I$28,12-DATEDIF($I$28,AG396+1,"m"),IF(AG396&lt;$I$27,0,DATEDIF($I$27,AG396+1,"m"))))&lt;0,0,IF(Q397+R397+S397+T397+U397+V397+W397+X397+Y397+AE397+AF397+AD397+AC397+AB397+AA397+Z397=12,0,IF(AG396&gt;$I$28,12-DATEDIF($I$28,AG396+1,"m"),IF(AG396&lt;$I$27,0,DATEDIF($I$27,AG396+1,"m")))))</f>
        <v>0</v>
      </c>
      <c r="AH397" s="423">
        <f>SUM(Q397:AG397)</f>
        <v>0</v>
      </c>
      <c r="AI397" s="426">
        <f t="shared" si="186"/>
        <v>0</v>
      </c>
      <c r="AJ397" s="426">
        <f t="shared" si="186"/>
        <v>0</v>
      </c>
      <c r="AK397" s="426">
        <f t="shared" si="186"/>
        <v>0</v>
      </c>
      <c r="AL397" s="426">
        <f t="shared" si="186"/>
        <v>0</v>
      </c>
      <c r="AM397" s="426">
        <f t="shared" si="186"/>
        <v>0</v>
      </c>
      <c r="AN397" s="426">
        <f t="shared" si="186"/>
        <v>0</v>
      </c>
      <c r="AO397" s="426">
        <f t="shared" si="186"/>
        <v>0</v>
      </c>
      <c r="AP397" s="426">
        <f t="shared" si="186"/>
        <v>0</v>
      </c>
      <c r="AQ397" s="426">
        <f t="shared" si="186"/>
        <v>0</v>
      </c>
      <c r="AR397" s="426">
        <f t="shared" si="186"/>
        <v>0</v>
      </c>
      <c r="AS397" s="426">
        <f t="shared" si="187"/>
        <v>0</v>
      </c>
      <c r="AT397" s="426">
        <f t="shared" si="187"/>
        <v>0</v>
      </c>
      <c r="AU397" s="426">
        <f t="shared" si="187"/>
        <v>0</v>
      </c>
      <c r="AV397" s="426">
        <f t="shared" si="187"/>
        <v>0</v>
      </c>
      <c r="AW397" s="426">
        <f t="shared" si="187"/>
        <v>0</v>
      </c>
      <c r="AX397" s="426">
        <f t="shared" si="187"/>
        <v>0</v>
      </c>
      <c r="AY397" s="426">
        <f t="shared" si="187"/>
        <v>0</v>
      </c>
      <c r="AZ397" s="426">
        <f>SUM(AI397:AY397)</f>
        <v>0</v>
      </c>
    </row>
    <row r="398" spans="15:52" ht="18" hidden="1" customHeight="1">
      <c r="Q398" s="419">
        <f>IF(Q397=0,0,(IF(($B$135+$C$135+$D$135+$E$135+$F$135+$G$135+$H$135+$I$135)&lt;=25000,(($I$135/+$AH397)*Q397)*VLOOKUP('1. SUMMARY'!$C$20,rate,Sheet1!T$21,0),((IF(($F$135+$B$135+$C$135+$D$135+$E$135+$G$135+$H$135)&gt;=25000,0,(((25000-($B$135+$C$135+$D$135+$E$135+$F$135+$G$135+$H$135))/+$AH397)*Q397)*(VLOOKUP('1. SUMMARY'!$C$20,rate,Sheet1!T$21,0))))))))</f>
        <v>0</v>
      </c>
      <c r="R398" s="419">
        <f>IF(R397=0,0,(IF(($B$135+$C$135+$D$135+$E$135+$F$135+$G$135+$H$135+$I$135)&lt;=25000,(($I$135/+$AH397)*R397)*VLOOKUP('1. SUMMARY'!$C$20,rate,Sheet1!U$21,0),((IF(($F$135+$B$135+$C$135+$D$135+$E$135+$G$135+$H$135)&gt;=25000,0,(((25000-($B$135+$C$135+$D$135+$E$135+$F$135+$G$135+$H$135))/+$AH397)*R397)*(VLOOKUP('1. SUMMARY'!$C$20,rate,Sheet1!U$21,0))))))))</f>
        <v>0</v>
      </c>
      <c r="S398" s="419">
        <f>IF(S397=0,0,(IF(($B$135+$C$135+$D$135+$E$135+$F$135+$G$135+$H$135+$I$135)&lt;=25000,(($I$135/+$AH397)*S397)*VLOOKUP('1. SUMMARY'!$C$20,rate,Sheet1!V$21,0),((IF(($F$135+$B$135+$C$135+$D$135+$E$135+$G$135+$H$135)&gt;=25000,0,(((25000-($B$135+$C$135+$D$135+$E$135+$F$135+$G$135+$H$135))/+$AH397)*S397)*(VLOOKUP('1. SUMMARY'!$C$20,rate,Sheet1!V$21,0))))))))</f>
        <v>0</v>
      </c>
      <c r="T398" s="419">
        <f>IF(T397=0,0,(IF(($B$135+$C$135+$D$135+$E$135+$F$135+$G$135+$H$135+$I$135)&lt;=25000,(($I$135/+$AH397)*T397)*VLOOKUP('1. SUMMARY'!$C$20,rate,Sheet1!W$21,0),((IF(($F$135+$B$135+$C$135+$D$135+$E$135+$G$135+$H$135)&gt;=25000,0,(((25000-($B$135+$C$135+$D$135+$E$135+$F$135+$G$135+$H$135))/+$AH397)*T397)*(VLOOKUP('1. SUMMARY'!$C$20,rate,Sheet1!W$21,0))))))))</f>
        <v>0</v>
      </c>
      <c r="U398" s="419">
        <f>IF(U397=0,0,(IF(($B$135+$C$135+$D$135+$E$135+$F$135+$G$135+$H$135+$I$135)&lt;=25000,(($I$135/+$AH397)*U397)*VLOOKUP('1. SUMMARY'!$C$20,rate,Sheet1!X$21,0),((IF(($F$135+$B$135+$C$135+$D$135+$E$135+$G$135+$H$135)&gt;=25000,0,(((25000-($B$135+$C$135+$D$135+$E$135+$F$135+$G$135+$H$135))/+$AH397)*U397)*(VLOOKUP('1. SUMMARY'!$C$20,rate,Sheet1!X$21,0))))))))</f>
        <v>0</v>
      </c>
      <c r="V398" s="419">
        <f>IF(V397=0,0,(IF(($B$135+$C$135+$D$135+$E$135+$F$135+$G$135+$H$135+$I$135)&lt;=25000,(($I$135/+$AH397)*V397)*VLOOKUP('1. SUMMARY'!$C$20,rate,Sheet1!Y$21,0),((IF(($F$135+$B$135+$C$135+$D$135+$E$135+$G$135+$H$135)&gt;=25000,0,(((25000-($B$135+$C$135+$D$135+$E$135+$F$135+$G$135+$H$135))/+$AH397)*V397)*(VLOOKUP('1. SUMMARY'!$C$20,rate,Sheet1!Y$21,0))))))))</f>
        <v>0</v>
      </c>
      <c r="W398" s="419">
        <f>IF(W397=0,0,(IF(($B$135+$C$135+$D$135+$E$135+$F$135+$G$135+$H$135+$I$135)&lt;=25000,(($I$135/+$AH397)*W397)*VLOOKUP('1. SUMMARY'!$C$20,rate,Sheet1!Z$21,0),((IF(($F$135+$B$135+$C$135+$D$135+$E$135+$G$135+$H$135)&gt;=25000,0,(((25000-($B$135+$C$135+$D$135+$E$135+$F$135+$G$135+$H$135))/+$AH397)*W397)*(VLOOKUP('1. SUMMARY'!$C$20,rate,Sheet1!Z$21,0))))))))</f>
        <v>0</v>
      </c>
      <c r="X398" s="419">
        <f>IF(X397=0,0,(IF(($B$135+$C$135+$D$135+$E$135+$F$135+$G$135+$H$135+$I$135)&lt;=25000,(($I$135/+$AH397)*X397)*VLOOKUP('1. SUMMARY'!$C$20,rate,Sheet1!AA$21,0),((IF(($F$135+$B$135+$C$135+$D$135+$E$135+$G$135+$H$135)&gt;=25000,0,(((25000-($B$135+$C$135+$D$135+$E$135+$F$135+$G$135+$H$135))/+$AH397)*X397)*(VLOOKUP('1. SUMMARY'!$C$20,rate,Sheet1!AA$21,0))))))))</f>
        <v>0</v>
      </c>
      <c r="Y398" s="419">
        <f>IF(Y397=0,0,(IF(($B$135+$C$135+$D$135+$E$135+$F$135+$G$135+$H$135+$I$135)&lt;=25000,(($I$135/+$AH397)*Y397)*VLOOKUP('1. SUMMARY'!$C$20,rate,Sheet1!AB$21,0),((IF(($F$135+$B$135+$C$135+$D$135+$E$135+$G$135+$H$135)&gt;=25000,0,(((25000-($B$135+$C$135+$D$135+$E$135+$F$135+$G$135+$H$135))/+$AH397)*Y397)*(VLOOKUP('1. SUMMARY'!$C$20,rate,Sheet1!AB$21,0))))))))</f>
        <v>0</v>
      </c>
      <c r="Z398" s="419">
        <f>IF(Z397=0,0,(IF(($B$135+$C$135+$D$135+$E$135+$F$135+$G$135+$H$135+$I$135)&lt;=25000,(($I$135/+$AH397)*Z397)*VLOOKUP('1. SUMMARY'!$C$20,rate,Sheet1!AC$21,0),((IF(($F$135+$B$135+$C$135+$D$135+$E$135+$G$135+$H$135)&gt;=25000,0,(((25000-($B$135+$C$135+$D$135+$E$135+$F$135+$G$135+$H$135))/+$AH397)*Z397)*(VLOOKUP('1. SUMMARY'!$C$20,rate,Sheet1!AC$21,0))))))))</f>
        <v>0</v>
      </c>
      <c r="AA398" s="419">
        <f>IF(AA397=0,0,(IF(($B$135+$C$135+$D$135+$E$135+$F$135+$G$135+$H$135+$I$135)&lt;=25000,(($I$135/+$AH397)*AA397)*VLOOKUP('1. SUMMARY'!$C$20,rate,Sheet1!AD$21,0),((IF(($F$135+$B$135+$C$135+$D$135+$E$135+$G$135+$H$135)&gt;=25000,0,(((25000-($B$135+$C$135+$D$135+$E$135+$F$135+$G$135+$H$135))/+$AH397)*AA397)*(VLOOKUP('1. SUMMARY'!$C$20,rate,Sheet1!AD$21,0))))))))</f>
        <v>0</v>
      </c>
      <c r="AB398" s="419">
        <f>IF(AB397=0,0,(IF(($B$135+$C$135+$D$135+$E$135+$F$135+$G$135+$H$135+$I$135)&lt;=25000,(($I$135/+$AH397)*AB397)*VLOOKUP('1. SUMMARY'!$C$20,rate,Sheet1!AE$21,0),((IF(($F$135+$B$135+$C$135+$D$135+$E$135+$G$135+$H$135)&gt;=25000,0,(((25000-($B$135+$C$135+$D$135+$E$135+$F$135+$G$135+$H$135))/+$AH397)*AB397)*(VLOOKUP('1. SUMMARY'!$C$20,rate,Sheet1!AE$21,0))))))))</f>
        <v>0</v>
      </c>
      <c r="AC398" s="419">
        <f>IF(AC397=0,0,(IF(($B$135+$C$135+$D$135+$E$135+$F$135+$G$135+$H$135+$I$135)&lt;=25000,(($I$135/+$AH397)*AC397)*VLOOKUP('1. SUMMARY'!$C$20,rate,Sheet1!AF$21,0),((IF(($F$135+$B$135+$C$135+$D$135+$E$135+$G$135+$H$135)&gt;=25000,0,(((25000-($B$135+$C$135+$D$135+$E$135+$F$135+$G$135+$H$135))/+$AH397)*AC397)*(VLOOKUP('1. SUMMARY'!$C$20,rate,Sheet1!AF$21,0))))))))</f>
        <v>0</v>
      </c>
      <c r="AD398" s="419">
        <f>IF(AD397=0,0,(IF(($B$135+$C$135+$D$135+$E$135+$F$135+$G$135+$H$135+$I$135)&lt;=25000,(($I$135/+$AH397)*AD397)*VLOOKUP('1. SUMMARY'!$C$20,rate,Sheet1!AG$21,0),((IF(($F$135+$B$135+$C$135+$D$135+$E$135+$G$135+$H$135)&gt;=25000,0,(((25000-($B$135+$C$135+$D$135+$E$135+$F$135+$G$135+$H$135))/+$AH397)*AD397)*(VLOOKUP('1. SUMMARY'!$C$20,rate,Sheet1!AG$21,0))))))))</f>
        <v>0</v>
      </c>
      <c r="AE398" s="419">
        <f>IF(AE397=0,0,(IF(($B$135+$C$135+$D$135+$E$135+$F$135+$G$135+$H$135+$I$135)&lt;=25000,(($I$135/+$AH397)*AE397)*VLOOKUP('1. SUMMARY'!$C$20,rate,Sheet1!AH$21,0),((IF(($F$135+$B$135+$C$135+$D$135+$E$135+$G$135+$H$135)&gt;=25000,0,(((25000-($B$135+$C$135+$D$135+$E$135+$F$135+$G$135+$H$135))/+$AH397)*AE397)*(VLOOKUP('1. SUMMARY'!$C$20,rate,Sheet1!AH$21,0))))))))</f>
        <v>0</v>
      </c>
      <c r="AF398" s="419">
        <f>IF(AF397=0,0,(IF(($B$135+$C$135+$D$135+$E$135+$F$135+$G$135+$H$135+$I$135)&lt;=25000,(($I$135/+$AH397)*AF397)*VLOOKUP('1. SUMMARY'!$C$20,rate,Sheet1!AI$21,0),((IF(($F$135+$B$135+$C$135+$D$135+$E$135+$G$135+$H$135)&gt;=25000,0,(((25000-($B$135+$C$135+$D$135+$E$135+$F$135+$G$135+$H$135))/+$AH397)*AF397)*(VLOOKUP('1. SUMMARY'!$C$20,rate,Sheet1!AI$21,0))))))))</f>
        <v>0</v>
      </c>
      <c r="AG398" s="419">
        <f>IF(AG397=0,0,(IF(($B$135+$C$135+$D$135+$E$135+$F$135+$G$135+$H$135+$I$135)&lt;=25000,(($I$135/+$AH397)*AG397)*VLOOKUP('1. SUMMARY'!$C$20,rate,Sheet1!AJ$21,0),((IF(($F$135+$B$135+$C$135+$D$135+$E$135+$G$135+$H$135)&gt;=25000,0,(((25000-($B$135+$C$135+$D$135+$E$135+$F$135+$G$135+$H$135))/+$AH397)*AG397)*(VLOOKUP('1. SUMMARY'!$C$20,rate,Sheet1!AJ$21,0))))))))</f>
        <v>0</v>
      </c>
      <c r="AH398" s="219">
        <f>SUM(Q398:AG398)</f>
        <v>0</v>
      </c>
      <c r="AI398" s="419">
        <f>IF(AI397=0,0,((+$I135/$AZ397)*AI397)*VLOOKUP('1. SUMMARY'!$C$20,rate,Sheet1!T$21,0))</f>
        <v>0</v>
      </c>
      <c r="AJ398" s="419">
        <f>IF(AJ397=0,0,((+$I135/$AZ397)*AJ397)*VLOOKUP('1. SUMMARY'!$C$20,rate,Sheet1!U$21,0))</f>
        <v>0</v>
      </c>
      <c r="AK398" s="419">
        <f>IF(AK397=0,0,((+$I135/$AZ397)*AK397)*VLOOKUP('1. SUMMARY'!$C$20,rate,Sheet1!V$21,0))</f>
        <v>0</v>
      </c>
      <c r="AL398" s="419">
        <f>IF(AL397=0,0,((+$I135/$AZ397)*AL397)*VLOOKUP('1. SUMMARY'!$C$20,rate,Sheet1!W$21,0))</f>
        <v>0</v>
      </c>
      <c r="AM398" s="419">
        <f>IF(AM397=0,0,((+$I135/$AZ397)*AM397)*VLOOKUP('1. SUMMARY'!$C$20,rate,Sheet1!X$21,0))</f>
        <v>0</v>
      </c>
      <c r="AN398" s="419">
        <f>IF(AN397=0,0,((+$I135/$AZ397)*AN397)*VLOOKUP('1. SUMMARY'!$C$20,rate,Sheet1!Y$21,0))</f>
        <v>0</v>
      </c>
      <c r="AO398" s="419">
        <f>IF(AO397=0,0,((+$I135/$AZ397)*AO397)*VLOOKUP('1. SUMMARY'!$C$20,rate,Sheet1!Z$21,0))</f>
        <v>0</v>
      </c>
      <c r="AP398" s="419">
        <f>IF(AP397=0,0,((+$I135/$AZ397)*AP397)*VLOOKUP('1. SUMMARY'!$C$20,rate,Sheet1!AA$21,0))</f>
        <v>0</v>
      </c>
      <c r="AQ398" s="419">
        <f>IF(AQ397=0,0,((+$I135/$AZ397)*AQ397)*VLOOKUP('1. SUMMARY'!$C$20,rate,Sheet1!AB$21,0))</f>
        <v>0</v>
      </c>
      <c r="AR398" s="419">
        <f>IF(AR397=0,0,((+$I135/$AZ397)*AR397)*VLOOKUP('1. SUMMARY'!$C$20,rate,Sheet1!AC$21,0))</f>
        <v>0</v>
      </c>
      <c r="AS398" s="419">
        <f>IF(AS397=0,0,((+$I135/$AZ397)*AS397)*VLOOKUP('1. SUMMARY'!$C$20,rate,Sheet1!AD$21,0))</f>
        <v>0</v>
      </c>
      <c r="AT398" s="419">
        <f>IF(AT397=0,0,((+$I135/$AZ397)*AT397)*VLOOKUP('1. SUMMARY'!$C$20,rate,Sheet1!AE$21,0))</f>
        <v>0</v>
      </c>
      <c r="AU398" s="419">
        <f>IF(AU397=0,0,((+$I135/$AZ397)*AU397)*VLOOKUP('1. SUMMARY'!$C$20,rate,Sheet1!AF$21,0))</f>
        <v>0</v>
      </c>
      <c r="AV398" s="419">
        <f>IF(AV397=0,0,((+$I135/$AZ397)*AV397)*VLOOKUP('1. SUMMARY'!$C$20,rate,Sheet1!AG$21,0))</f>
        <v>0</v>
      </c>
      <c r="AW398" s="419">
        <f>IF(AW397=0,0,((+$I135/$AZ397)*AW397)*VLOOKUP('1. SUMMARY'!$C$20,rate,Sheet1!AH$21,0))</f>
        <v>0</v>
      </c>
      <c r="AX398" s="419">
        <f>IF(AX397=0,0,((+$I135/$AZ397)*AX397)*VLOOKUP('1. SUMMARY'!$C$20,rate,Sheet1!AI$21,0))</f>
        <v>0</v>
      </c>
      <c r="AY398" s="419">
        <f>IF(AY397=0,0,((+$I135/$AZ397)*AY397)*VLOOKUP('1. SUMMARY'!$C$20,rate,Sheet1!AJ$21,0))</f>
        <v>0</v>
      </c>
      <c r="AZ398" s="419">
        <f>SUM(AI398:AY398)</f>
        <v>0</v>
      </c>
    </row>
    <row r="399" spans="15:52" ht="18" hidden="1" customHeight="1">
      <c r="Q399" s="419">
        <f>+Q398/VLOOKUP('1. SUMMARY'!$C$20,rate,Sheet1!T$21,0)</f>
        <v>0</v>
      </c>
      <c r="R399" s="419">
        <f>+R398/VLOOKUP('1. SUMMARY'!$C$20,rate,Sheet1!U$21,0)</f>
        <v>0</v>
      </c>
      <c r="S399" s="419">
        <f>+S398/VLOOKUP('1. SUMMARY'!$C$20,rate,Sheet1!V$21,0)</f>
        <v>0</v>
      </c>
      <c r="T399" s="419">
        <f>+T398/VLOOKUP('1. SUMMARY'!$C$20,rate,Sheet1!W$21,0)</f>
        <v>0</v>
      </c>
      <c r="U399" s="419">
        <f>+U398/VLOOKUP('1. SUMMARY'!$C$20,rate,Sheet1!X$21,0)</f>
        <v>0</v>
      </c>
      <c r="V399" s="419">
        <f>+V398/VLOOKUP('1. SUMMARY'!$C$20,rate,Sheet1!Y$21,0)</f>
        <v>0</v>
      </c>
      <c r="W399" s="419">
        <f>+W398/VLOOKUP('1. SUMMARY'!$C$20,rate,Sheet1!Z$21,0)</f>
        <v>0</v>
      </c>
      <c r="X399" s="419">
        <f>+X398/VLOOKUP('1. SUMMARY'!$C$20,rate,Sheet1!AA$21,0)</f>
        <v>0</v>
      </c>
      <c r="Y399" s="419">
        <f>+Y398/VLOOKUP('1. SUMMARY'!$C$20,rate,Sheet1!AB$21,0)</f>
        <v>0</v>
      </c>
      <c r="Z399" s="419">
        <f>+Z398/VLOOKUP('1. SUMMARY'!$C$20,rate,Sheet1!AC$21,0)</f>
        <v>0</v>
      </c>
      <c r="AA399" s="419">
        <f>+AA398/VLOOKUP('1. SUMMARY'!$C$20,rate,Sheet1!AD$21,0)</f>
        <v>0</v>
      </c>
      <c r="AB399" s="419">
        <f>+AB398/VLOOKUP('1. SUMMARY'!$C$20,rate,Sheet1!AE$21,0)</f>
        <v>0</v>
      </c>
      <c r="AC399" s="419">
        <f>+AC398/VLOOKUP('1. SUMMARY'!$C$20,rate,Sheet1!AF$21,0)</f>
        <v>0</v>
      </c>
      <c r="AD399" s="419">
        <f>+AD398/VLOOKUP('1. SUMMARY'!$C$20,rate,Sheet1!AG$21,0)</f>
        <v>0</v>
      </c>
      <c r="AE399" s="419">
        <f>+AE398/VLOOKUP('1. SUMMARY'!$C$20,rate,Sheet1!AH$21,0)</f>
        <v>0</v>
      </c>
      <c r="AF399" s="419">
        <f>+AF398/VLOOKUP('1. SUMMARY'!$C$20,rate,Sheet1!AI$21,0)</f>
        <v>0</v>
      </c>
      <c r="AG399" s="419">
        <f>+AG398/VLOOKUP('1. SUMMARY'!$C$20,rate,Sheet1!AJ$21,0)</f>
        <v>0</v>
      </c>
      <c r="AH399" s="219"/>
      <c r="AI399" s="419"/>
      <c r="AJ399" s="419"/>
      <c r="AK399" s="419"/>
      <c r="AL399" s="419"/>
      <c r="AM399" s="419"/>
      <c r="AN399" s="419"/>
      <c r="AO399" s="419"/>
      <c r="AP399" s="419"/>
      <c r="AQ399" s="419"/>
      <c r="AR399" s="419"/>
      <c r="AS399" s="419"/>
      <c r="AT399" s="419"/>
      <c r="AU399" s="419"/>
      <c r="AV399" s="419"/>
      <c r="AW399" s="419"/>
      <c r="AX399" s="419"/>
      <c r="AY399" s="419"/>
      <c r="AZ399" s="419"/>
    </row>
    <row r="400" spans="15:52" ht="18" hidden="1" customHeight="1">
      <c r="Q400" s="416">
        <f>Sheet1!$T$8</f>
        <v>44105</v>
      </c>
      <c r="R400" s="416">
        <f>Sheet1!$U$8</f>
        <v>44470</v>
      </c>
      <c r="S400" s="416">
        <f>Sheet1!$V$8</f>
        <v>44835</v>
      </c>
      <c r="T400" s="416">
        <f>Sheet1!$W$8</f>
        <v>45200</v>
      </c>
      <c r="U400" s="416">
        <f>Sheet1!$X$8</f>
        <v>45566</v>
      </c>
      <c r="V400" s="416">
        <f>Sheet1!$Y$8</f>
        <v>45931</v>
      </c>
      <c r="W400" s="416">
        <f>Sheet1!$Z$8</f>
        <v>46296</v>
      </c>
      <c r="X400" s="416">
        <f>Sheet1!$AA$8</f>
        <v>46661</v>
      </c>
      <c r="Y400" s="416">
        <f>Sheet1!$AB$8</f>
        <v>47027</v>
      </c>
      <c r="Z400" s="416">
        <f>Sheet1!$AC$8</f>
        <v>47392</v>
      </c>
      <c r="AA400" s="416">
        <f>$AA$5</f>
        <v>47757</v>
      </c>
      <c r="AB400" s="416">
        <f>$AB$5</f>
        <v>48122</v>
      </c>
      <c r="AC400" s="416">
        <f>$AC$5</f>
        <v>48488</v>
      </c>
      <c r="AD400" s="416">
        <f>$AD$5</f>
        <v>48853</v>
      </c>
      <c r="AE400" s="416">
        <f>$AE$5</f>
        <v>49218</v>
      </c>
      <c r="AF400" s="416">
        <f>$AF$5</f>
        <v>49583</v>
      </c>
      <c r="AG400" s="416">
        <f>$AG$5</f>
        <v>49949</v>
      </c>
      <c r="AH400" s="219"/>
      <c r="AI400" s="416">
        <f t="shared" ref="AI400:AR402" si="188">+Q400</f>
        <v>44105</v>
      </c>
      <c r="AJ400" s="416">
        <f t="shared" si="188"/>
        <v>44470</v>
      </c>
      <c r="AK400" s="416">
        <f t="shared" si="188"/>
        <v>44835</v>
      </c>
      <c r="AL400" s="416">
        <f t="shared" si="188"/>
        <v>45200</v>
      </c>
      <c r="AM400" s="416">
        <f t="shared" si="188"/>
        <v>45566</v>
      </c>
      <c r="AN400" s="416">
        <f t="shared" si="188"/>
        <v>45931</v>
      </c>
      <c r="AO400" s="416">
        <f t="shared" si="188"/>
        <v>46296</v>
      </c>
      <c r="AP400" s="416">
        <f t="shared" si="188"/>
        <v>46661</v>
      </c>
      <c r="AQ400" s="416">
        <f t="shared" si="188"/>
        <v>47027</v>
      </c>
      <c r="AR400" s="416">
        <f t="shared" si="188"/>
        <v>47392</v>
      </c>
      <c r="AS400" s="416">
        <f t="shared" ref="AS400:AY402" si="189">+AA400</f>
        <v>47757</v>
      </c>
      <c r="AT400" s="416">
        <f t="shared" si="189"/>
        <v>48122</v>
      </c>
      <c r="AU400" s="416">
        <f t="shared" si="189"/>
        <v>48488</v>
      </c>
      <c r="AV400" s="416">
        <f t="shared" si="189"/>
        <v>48853</v>
      </c>
      <c r="AW400" s="416">
        <f t="shared" si="189"/>
        <v>49218</v>
      </c>
      <c r="AX400" s="416">
        <f t="shared" si="189"/>
        <v>49583</v>
      </c>
      <c r="AY400" s="416">
        <f t="shared" si="189"/>
        <v>49949</v>
      </c>
      <c r="AZ400" s="416"/>
    </row>
    <row r="401" spans="15:52" ht="18" hidden="1" customHeight="1">
      <c r="Q401" s="416">
        <f>Sheet1!$T$9</f>
        <v>44469</v>
      </c>
      <c r="R401" s="416">
        <f>Sheet1!$U$9</f>
        <v>44834</v>
      </c>
      <c r="S401" s="416">
        <f>Sheet1!$V$9</f>
        <v>45199</v>
      </c>
      <c r="T401" s="416">
        <f>Sheet1!$W$9</f>
        <v>45565</v>
      </c>
      <c r="U401" s="416">
        <f>Sheet1!$X$9</f>
        <v>45930</v>
      </c>
      <c r="V401" s="416">
        <f>Sheet1!$Y$9</f>
        <v>46295</v>
      </c>
      <c r="W401" s="416">
        <f>Sheet1!$Z$9</f>
        <v>46660</v>
      </c>
      <c r="X401" s="416">
        <f>Sheet1!$AA$9</f>
        <v>47026</v>
      </c>
      <c r="Y401" s="416">
        <f>Sheet1!$AB$9</f>
        <v>47391</v>
      </c>
      <c r="Z401" s="416">
        <f>Sheet1!$AC$9</f>
        <v>47756</v>
      </c>
      <c r="AA401" s="416">
        <f>$AA$6</f>
        <v>48121</v>
      </c>
      <c r="AB401" s="416">
        <f>$AB$6</f>
        <v>48487</v>
      </c>
      <c r="AC401" s="416">
        <f>$AC$6</f>
        <v>48852</v>
      </c>
      <c r="AD401" s="416">
        <f>$AD$6</f>
        <v>49217</v>
      </c>
      <c r="AE401" s="416">
        <f>$AE$6</f>
        <v>49582</v>
      </c>
      <c r="AF401" s="416">
        <f>$AF$6</f>
        <v>49948</v>
      </c>
      <c r="AG401" s="416">
        <f>$AG$6</f>
        <v>50313</v>
      </c>
      <c r="AH401" s="219"/>
      <c r="AI401" s="416">
        <f t="shared" si="188"/>
        <v>44469</v>
      </c>
      <c r="AJ401" s="416">
        <f t="shared" si="188"/>
        <v>44834</v>
      </c>
      <c r="AK401" s="416">
        <f t="shared" si="188"/>
        <v>45199</v>
      </c>
      <c r="AL401" s="416">
        <f t="shared" si="188"/>
        <v>45565</v>
      </c>
      <c r="AM401" s="416">
        <f t="shared" si="188"/>
        <v>45930</v>
      </c>
      <c r="AN401" s="416">
        <f t="shared" si="188"/>
        <v>46295</v>
      </c>
      <c r="AO401" s="416">
        <f t="shared" si="188"/>
        <v>46660</v>
      </c>
      <c r="AP401" s="416">
        <f t="shared" si="188"/>
        <v>47026</v>
      </c>
      <c r="AQ401" s="416">
        <f t="shared" si="188"/>
        <v>47391</v>
      </c>
      <c r="AR401" s="416">
        <f t="shared" si="188"/>
        <v>47756</v>
      </c>
      <c r="AS401" s="416">
        <f t="shared" si="189"/>
        <v>48121</v>
      </c>
      <c r="AT401" s="416">
        <f t="shared" si="189"/>
        <v>48487</v>
      </c>
      <c r="AU401" s="416">
        <f t="shared" si="189"/>
        <v>48852</v>
      </c>
      <c r="AV401" s="416">
        <f t="shared" si="189"/>
        <v>49217</v>
      </c>
      <c r="AW401" s="416">
        <f t="shared" si="189"/>
        <v>49582</v>
      </c>
      <c r="AX401" s="416">
        <f t="shared" si="189"/>
        <v>49948</v>
      </c>
      <c r="AY401" s="416">
        <f t="shared" si="189"/>
        <v>50313</v>
      </c>
      <c r="AZ401" s="416"/>
    </row>
    <row r="402" spans="15:52" ht="18" hidden="1" customHeight="1">
      <c r="O402" s="207" t="s">
        <v>256</v>
      </c>
      <c r="Q402" s="417">
        <f>IF(IF(Q401&lt;$J$27,0,DATEDIF($J$27,Q401+1,"m"))&lt;0,0,IF(Q401&lt;$J$27,0,DATEDIF($J$27,Q401+1,"m")))</f>
        <v>0</v>
      </c>
      <c r="R402" s="417">
        <f>IF(IF(Q402=12,0,IF(R401&gt;$J$28,12-DATEDIF($J$28,R401+1,"m"),IF(R401&lt;$J$27,0,DATEDIF($J$27,R401+1,"m"))))&lt;0,0,IF(Q402=12,0,IF(R401&gt;$J$28,12-DATEDIF($J$28,R401+1,"m"),IF(R401&lt;$J$27,0,DATEDIF($J$27,R401+1,"m")))))</f>
        <v>0</v>
      </c>
      <c r="S402" s="417">
        <f>IF(IF(Q402+R402=12,0,IF(S401&gt;$J$28,12-DATEDIF($J$28,S401+1,"m"),IF(S401&lt;$J$27,0,DATEDIF($J$27,S401+1,"m"))))&lt;0,0,IF(Q402+R402=12,0,IF(S401&gt;$J$28,12-DATEDIF($J$28,S401+1,"m"),IF(S401&lt;$J$27,0,DATEDIF($J$27,S401+1,"m")))))</f>
        <v>0</v>
      </c>
      <c r="T402" s="417">
        <f>IF(IF(R402+S402+Q402=12,0,IF(T401&gt;$J$28,12-DATEDIF($J$28,T401+1,"m"),IF(T401&lt;$J$27,0,DATEDIF($J$27,T401+1,"m"))))&lt;0,0,IF(R402+S402+Q402=12,0,IF(T401&gt;$J$28,12-DATEDIF($J$28,T401+1,"m"),IF(T401&lt;$J$27,0,DATEDIF($J$27,T401+1,"m")))))</f>
        <v>0</v>
      </c>
      <c r="U402" s="417">
        <f>IF(IF(S402+T402+R402+Q402=12,0,IF(U401&gt;$J$28,12-DATEDIF($J$28,U401+1,"m"),IF(U401&lt;$J$27,0,DATEDIF($J$27,U401+1,"m"))))&lt;0,0,IF(S402+T402+R402+Q402=12,0,IF(U401&gt;$J$28,12-DATEDIF($J$28,U401+1,"m"),IF(U401&lt;$J$27,0,DATEDIF($J$27,U401+1,"m")))))</f>
        <v>0</v>
      </c>
      <c r="V402" s="417">
        <f>IF(IF(T402+U402+S402+R402+Q402=12,0,IF(V401&gt;$J$28,12-DATEDIF($J$28,V401+1,"m"),IF(V401&lt;$J$27,0,DATEDIF($J$27,V401+1,"m"))))&lt;0,0,IF(T402+U402+S402+R402+Q402=12,0,IF(V401&gt;$J$28,12-DATEDIF($J$28,V401+1,"m"),IF(V401&lt;$J$27,0,DATEDIF($J$27,V401+1,"m")))))</f>
        <v>0</v>
      </c>
      <c r="W402" s="417">
        <f>IF(IF(U402+V402+T402+S402+R402+Q402=12,0,IF(W401&gt;$J$28,12-DATEDIF($J$28,W401+1,"m"),IF(W401&lt;$J$27,0,DATEDIF($J$27,W401+1,"m"))))&lt;0,0,IF(U402+V402+T402+S402+R402+Q402=12,0,IF(W401&gt;$J$28,12-DATEDIF($J$28,W401+1,"m"),IF(W401&lt;$J$27,0,DATEDIF($J$27,W401+1,"m")))))</f>
        <v>0</v>
      </c>
      <c r="X402" s="417">
        <f>IF(IF(V402+W402+U402+T402+S402+R402+Q402=12,0,IF(X401&gt;$J$28,12-DATEDIF($J$28,X401+1,"m"),IF(X401&lt;$J$27,0,DATEDIF($J$27,X401+1,"m"))))&lt;0,0,IF(V402+W402+U402+T402+S402+R402+Q402=12,0,IF(X401&gt;$J$28,12-DATEDIF($J$28,X401+1,"m"),IF(X401&lt;$J$27,0,DATEDIF($J$27,X401+1,"m")))))</f>
        <v>0</v>
      </c>
      <c r="Y402" s="417">
        <f>IF(IF(W402+X402+V402+U402+T402+S402+R402+Q402=12,0,IF(Y401&gt;$J$28,12-DATEDIF($J$28,Y401+1,"m"),IF(Y401&lt;$J$27,0,DATEDIF($J$27,Y401+1,"m"))))&lt;0,0,IF(W402+X402+V402+U402+T402+S402+R402+Q402=12,0,IF(Y401&gt;$J$28,12-DATEDIF($J$28,Y401+1,"m"),IF(Y401&lt;$J$27,0,DATEDIF($J$27,Y401+1,"m")))))</f>
        <v>0</v>
      </c>
      <c r="Z402" s="417">
        <f>IF(IF(X402+Y402+W402+V402+U402+T402+S402+R402+Q402=12,0,IF(Z401&gt;$J$28,12-DATEDIF($J$28,Z401+1,"m"),IF(Z401&lt;$J$27,0,DATEDIF($J$27,Z401+1,"m"))))&lt;0,0,IF(X402+Y402+W402+V402+U402+T402+S402+R402+Q402=12,0,IF(Z401&gt;$J$28,12-DATEDIF($J$28,Z401+1,"m"),IF(Z401&lt;$J$27,0,DATEDIF($J$27,Z401+1,"m")))))</f>
        <v>0</v>
      </c>
      <c r="AA402" s="417">
        <f>IF(IF(Q402+R402+S402+Y402+Z402+X402+W402+V402+U402+T402=12,0,IF(AA401&gt;$J$28,12-DATEDIF($J$28,AA401+1,"m"),IF(AA401&lt;$J$27,0,DATEDIF($J$27,AA401+1,"m"))))&lt;0,0,IF(Q402+R402+S402+Y402+Z402+X402+W402+V402+U402+T402=12,0,IF(AA401&gt;$J$28,12-DATEDIF($J$28,AA401+1,"m"),IF(AA401&lt;$J$27,0,DATEDIF($J$27,AA401+1,"m")))))</f>
        <v>0</v>
      </c>
      <c r="AB402" s="417">
        <f>IF(IF(Q402+R402+S402+T402+Z402+AA402+Y402+X402+W402+V402+U402=12,0,IF(AB401&gt;$J$28,12-DATEDIF($J$28,AB401+1,"m"),IF(AB401&lt;$J$27,0,DATEDIF($J$27,AB401+1,"m"))))&lt;0,0,IF(Q402+R402+S402+T402+Z402+AA402+Y402+X402+W402+V402+U402=12,0,IF(AB401&gt;$J$28,12-DATEDIF($J$28,AB401+1,"m"),IF(AB401&lt;$J$27,0,DATEDIF($J$27,AB401+1,"m")))))</f>
        <v>0</v>
      </c>
      <c r="AC402" s="417">
        <f>IF(IF(Q402+R402+S402+T402+U402+AA402+AB402+Z402+Y402+X402+W402+V402=12,0,IF(AC401&gt;$J$28,12-DATEDIF($J$28,AC401+1,"m"),IF(AC401&lt;$J$27,0,DATEDIF($J$27,AC401+1,"m"))))&lt;0,0,IF(Q402+R402+S402+T402+U402+AA402+AB402+Z402+Y402+X402+W402+V402=12,0,IF(AC401&gt;$J$28,12-DATEDIF($J$28,AC401+1,"m"),IF(AC401&lt;$J$27,0,DATEDIF($J$27,AC401+1,"m")))))</f>
        <v>0</v>
      </c>
      <c r="AD402" s="417">
        <f>IF(IF(Q402+R402+S402+T402+U402+V402+AB402+AC402+AA402+Z402+Y402+X402+W402=12,0,IF(AD401&gt;$J$28,12-DATEDIF($J$28,AD401+1,"m"),IF(AD401&lt;$J$27,0,DATEDIF($J$27,AD401+1,"m"))))&lt;0,0,IF(Q402+R402+S402+T402+U402+V402+AB402+AC402+AA402+Z402+Y402+X402+W402=12,0,IF(AD401&gt;$J$28,12-DATEDIF($J$28,AD401+1,"m"),IF(AD401&lt;$J$27,0,DATEDIF($J$27,AD401+1,"m")))))</f>
        <v>0</v>
      </c>
      <c r="AE402" s="417">
        <f>IF(IF(Q402+R402+S402+T402+U402+V402+W402+AC402+AD402+AB402+AA402+Z402+Y402+X402=12,0,IF(AE401&gt;$J$28,12-DATEDIF($J$28,AE401+1,"m"),IF(AE401&lt;$J$27,0,DATEDIF($J$27,AE401+1,"m"))))&lt;0,0,IF(Q402+R402+S402+T402+U402+V402+W402+AC402+AD402+AB402+AA402+Z402+Y402+X402=12,0,IF(AE401&gt;$J$28,12-DATEDIF($J$28,AE401+1,"m"),IF(AE401&lt;$J$27,0,DATEDIF($J$27,AE401+1,"m")))))</f>
        <v>0</v>
      </c>
      <c r="AF402" s="417">
        <f>IF(IF(Q402+R402+S402+T402+U402+V402+W402+X402+AD402+AE402+AC402+AB402+AA402+Z402+Y402=12,0,IF(AF401&gt;$J$28,12-DATEDIF($J$28,AF401+1,"m"),IF(AF401&lt;$J$27,0,DATEDIF($J$27,AF401+1,"m"))))&lt;0,0,IF(Q402+R402+S402+T402+U402+V402+W402+X402+AD402+AE402+AC402+AB402+AA402+Z402+Y402=12,0,IF(AF401&gt;$J$28,12-DATEDIF($J$28,AF401+1,"m"),IF(AF401&lt;$J$27,0,DATEDIF($J$27,AF401+1,"m")))))</f>
        <v>0</v>
      </c>
      <c r="AG402" s="417">
        <f>IF(IF(Q402+R402+S402+T402+U402+V402+W402+X402+Y402+AE402+AF402+AD402+AC402+AB402+AA402+Z402=12,0,IF(AG401&gt;$J$28,12-DATEDIF($J$28,AG401+1,"m"),IF(AG401&lt;$J$27,0,DATEDIF($J$27,AG401+1,"m"))))&lt;0,0,IF(Q402+R402+S402+T402+U402+V402+W402+X402+Y402+AE402+AF402+AD402+AC402+AB402+AA402+Z402=12,0,IF(AG401&gt;$J$28,12-DATEDIF($J$28,AG401+1,"m"),IF(AG401&lt;$J$27,0,DATEDIF($J$27,AG401+1,"m")))))</f>
        <v>0</v>
      </c>
      <c r="AH402" s="423">
        <f>SUM(Q402:AG402)</f>
        <v>0</v>
      </c>
      <c r="AI402" s="427">
        <f t="shared" si="188"/>
        <v>0</v>
      </c>
      <c r="AJ402" s="427">
        <f t="shared" si="188"/>
        <v>0</v>
      </c>
      <c r="AK402" s="427">
        <f t="shared" si="188"/>
        <v>0</v>
      </c>
      <c r="AL402" s="427">
        <f t="shared" si="188"/>
        <v>0</v>
      </c>
      <c r="AM402" s="427">
        <f t="shared" si="188"/>
        <v>0</v>
      </c>
      <c r="AN402" s="427">
        <f t="shared" si="188"/>
        <v>0</v>
      </c>
      <c r="AO402" s="427">
        <f t="shared" si="188"/>
        <v>0</v>
      </c>
      <c r="AP402" s="427">
        <f t="shared" si="188"/>
        <v>0</v>
      </c>
      <c r="AQ402" s="427">
        <f t="shared" si="188"/>
        <v>0</v>
      </c>
      <c r="AR402" s="427">
        <f t="shared" si="188"/>
        <v>0</v>
      </c>
      <c r="AS402" s="427">
        <f t="shared" si="189"/>
        <v>0</v>
      </c>
      <c r="AT402" s="427">
        <f t="shared" si="189"/>
        <v>0</v>
      </c>
      <c r="AU402" s="427">
        <f t="shared" si="189"/>
        <v>0</v>
      </c>
      <c r="AV402" s="427">
        <f t="shared" si="189"/>
        <v>0</v>
      </c>
      <c r="AW402" s="427">
        <f t="shared" si="189"/>
        <v>0</v>
      </c>
      <c r="AX402" s="427">
        <f t="shared" si="189"/>
        <v>0</v>
      </c>
      <c r="AY402" s="427">
        <f t="shared" si="189"/>
        <v>0</v>
      </c>
      <c r="AZ402" s="427">
        <f>SUM(AI402:AY402)</f>
        <v>0</v>
      </c>
    </row>
    <row r="403" spans="15:52" ht="18" hidden="1" customHeight="1">
      <c r="Q403" s="417">
        <f>IF(Q402=0,0,(IF(($B$135+$C$135+$D$135+$E$135+$F$135+$G$135+$H$135+$I$135+$J$135)&lt;=25000,(($J$135/+$AH402)*Q402)*VLOOKUP('1. SUMMARY'!$C$20,rate,Sheet1!T$21,0),((IF(($F$135+$B$135+$C$135+$D$135+$E$135+$G$135+$H$135+$I$135)&gt;=25000,0,(((25000-($B$135+$C$135+$D$135+$E$135+$F$135+$G$135+$H$135+$I$135))/+$AH402)*Q402)*(VLOOKUP('1. SUMMARY'!$C$20,rate,Sheet1!T$21,0))))))))</f>
        <v>0</v>
      </c>
      <c r="R403" s="417">
        <f>IF(R402=0,0,(IF(($B$135+$C$135+$D$135+$E$135+$F$135+$G$135+$H$135+$I$135+$J$135)&lt;=25000,(($J$135/+$AH402)*R402)*VLOOKUP('1. SUMMARY'!$C$20,rate,Sheet1!U$21,0),((IF(($F$135+$B$135+$C$135+$D$135+$E$135+$G$135+$H$135+$I$135)&gt;=25000,0,(((25000-($B$135+$C$135+$D$135+$E$135+$F$135+$G$135+$H$135+$I$135))/+$AH402)*R402)*(VLOOKUP('1. SUMMARY'!$C$20,rate,Sheet1!U$21,0))))))))</f>
        <v>0</v>
      </c>
      <c r="S403" s="417">
        <f>IF(S402=0,0,(IF(($B$135+$C$135+$D$135+$E$135+$F$135+$G$135+$H$135+$I$135+$J$135)&lt;=25000,(($J$135/+$AH402)*S402)*VLOOKUP('1. SUMMARY'!$C$20,rate,Sheet1!V$21,0),((IF(($F$135+$B$135+$C$135+$D$135+$E$135+$G$135+$H$135+$I$135)&gt;=25000,0,(((25000-($B$135+$C$135+$D$135+$E$135+$F$135+$G$135+$H$135+$I$135))/+$AH402)*S402)*(VLOOKUP('1. SUMMARY'!$C$20,rate,Sheet1!V$21,0))))))))</f>
        <v>0</v>
      </c>
      <c r="T403" s="417">
        <f>IF(T402=0,0,(IF(($B$135+$C$135+$D$135+$E$135+$F$135+$G$135+$H$135+$I$135+$J$135)&lt;=25000,(($J$135/+$AH402)*T402)*VLOOKUP('1. SUMMARY'!$C$20,rate,Sheet1!W$21,0),((IF(($F$135+$B$135+$C$135+$D$135+$E$135+$G$135+$H$135+$I$135)&gt;=25000,0,(((25000-($B$135+$C$135+$D$135+$E$135+$F$135+$G$135+$H$135+$I$135))/+$AH402)*T402)*(VLOOKUP('1. SUMMARY'!$C$20,rate,Sheet1!W$21,0))))))))</f>
        <v>0</v>
      </c>
      <c r="U403" s="417">
        <f>IF(U402=0,0,(IF(($B$135+$C$135+$D$135+$E$135+$F$135+$G$135+$H$135+$I$135+$J$135)&lt;=25000,(($J$135/+$AH402)*U402)*VLOOKUP('1. SUMMARY'!$C$20,rate,Sheet1!X$21,0),((IF(($F$135+$B$135+$C$135+$D$135+$E$135+$G$135+$H$135+$I$135)&gt;=25000,0,(((25000-($B$135+$C$135+$D$135+$E$135+$F$135+$G$135+$H$135+$I$135))/+$AH402)*U402)*(VLOOKUP('1. SUMMARY'!$C$20,rate,Sheet1!X$21,0))))))))</f>
        <v>0</v>
      </c>
      <c r="V403" s="417">
        <f>IF(V402=0,0,(IF(($B$135+$C$135+$D$135+$E$135+$F$135+$G$135+$H$135+$I$135+$J$135)&lt;=25000,(($J$135/+$AH402)*V402)*VLOOKUP('1. SUMMARY'!$C$20,rate,Sheet1!Y$21,0),((IF(($F$135+$B$135+$C$135+$D$135+$E$135+$G$135+$H$135+$I$135)&gt;=25000,0,(((25000-($B$135+$C$135+$D$135+$E$135+$F$135+$G$135+$H$135+$I$135))/+$AH402)*V402)*(VLOOKUP('1. SUMMARY'!$C$20,rate,Sheet1!Y$21,0))))))))</f>
        <v>0</v>
      </c>
      <c r="W403" s="417">
        <f>IF(W402=0,0,(IF(($B$135+$C$135+$D$135+$E$135+$F$135+$G$135+$H$135+$I$135+$J$135)&lt;=25000,(($J$135/+$AH402)*W402)*VLOOKUP('1. SUMMARY'!$C$20,rate,Sheet1!Z$21,0),((IF(($F$135+$B$135+$C$135+$D$135+$E$135+$G$135+$H$135+$I$135)&gt;=25000,0,(((25000-($B$135+$C$135+$D$135+$E$135+$F$135+$G$135+$H$135+$I$135))/+$AH402)*W402)*(VLOOKUP('1. SUMMARY'!$C$20,rate,Sheet1!Z$21,0))))))))</f>
        <v>0</v>
      </c>
      <c r="X403" s="417">
        <f>IF(X402=0,0,(IF(($B$135+$C$135+$D$135+$E$135+$F$135+$G$135+$H$135+$I$135+$J$135)&lt;=25000,(($J$135/+$AH402)*X402)*VLOOKUP('1. SUMMARY'!$C$20,rate,Sheet1!AA$21,0),((IF(($F$135+$B$135+$C$135+$D$135+$E$135+$G$135+$H$135+$I$135)&gt;=25000,0,(((25000-($B$135+$C$135+$D$135+$E$135+$F$135+$G$135+$H$135+$I$135))/+$AH402)*X402)*(VLOOKUP('1. SUMMARY'!$C$20,rate,Sheet1!AA$21,0))))))))</f>
        <v>0</v>
      </c>
      <c r="Y403" s="417">
        <f>IF(Y402=0,0,(IF(($B$135+$C$135+$D$135+$E$135+$F$135+$G$135+$H$135+$I$135+$J$135)&lt;=25000,(($J$135/+$AH402)*Y402)*VLOOKUP('1. SUMMARY'!$C$20,rate,Sheet1!AB$21,0),((IF(($F$135+$B$135+$C$135+$D$135+$E$135+$G$135+$H$135+$I$135)&gt;=25000,0,(((25000-($B$135+$C$135+$D$135+$E$135+$F$135+$G$135+$H$135+$I$135))/+$AH402)*Y402)*(VLOOKUP('1. SUMMARY'!$C$20,rate,Sheet1!AB$21,0))))))))</f>
        <v>0</v>
      </c>
      <c r="Z403" s="417">
        <f>IF(Z402=0,0,(IF(($B$135+$C$135+$D$135+$E$135+$F$135+$G$135+$H$135+$I$135+$J$135)&lt;=25000,(($J$135/+$AH402)*Z402)*VLOOKUP('1. SUMMARY'!$C$20,rate,Sheet1!AC$21,0),((IF(($F$135+$B$135+$C$135+$D$135+$E$135+$G$135+$H$135+$I$135)&gt;=25000,0,(((25000-($B$135+$C$135+$D$135+$E$135+$F$135+$G$135+$H$135+$I$135))/+$AH402)*Z402)*(VLOOKUP('1. SUMMARY'!$C$20,rate,Sheet1!AC$21,0))))))))</f>
        <v>0</v>
      </c>
      <c r="AA403" s="417">
        <f>IF(AA402=0,0,(IF(($B$135+$C$135+$D$135+$E$135+$F$135+$G$135+$H$135+$I$135+$J$135)&lt;=25000,(($J$135/+$AH402)*AA402)*VLOOKUP('1. SUMMARY'!$C$20,rate,Sheet1!AD$21,0),((IF(($F$135+$B$135+$C$135+$D$135+$E$135+$G$135+$H$135+$I$135)&gt;=25000,0,(((25000-($B$135+$C$135+$D$135+$E$135+$F$135+$G$135+$H$135+$I$135))/+$AH402)*AA402)*(VLOOKUP('1. SUMMARY'!$C$20,rate,Sheet1!AD$21,0))))))))</f>
        <v>0</v>
      </c>
      <c r="AB403" s="417">
        <f>IF(AB402=0,0,(IF(($B$135+$C$135+$D$135+$E$135+$F$135+$G$135+$H$135+$I$135+$J$135)&lt;=25000,(($J$135/+$AH402)*AB402)*VLOOKUP('1. SUMMARY'!$C$20,rate,Sheet1!AE$21,0),((IF(($F$135+$B$135+$C$135+$D$135+$E$135+$G$135+$H$135+$I$135)&gt;=25000,0,(((25000-($B$135+$C$135+$D$135+$E$135+$F$135+$G$135+$H$135+$I$135))/+$AH402)*AB402)*(VLOOKUP('1. SUMMARY'!$C$20,rate,Sheet1!AE$21,0))))))))</f>
        <v>0</v>
      </c>
      <c r="AC403" s="417">
        <f>IF(AC402=0,0,(IF(($B$135+$C$135+$D$135+$E$135+$F$135+$G$135+$H$135+$I$135+$J$135)&lt;=25000,(($J$135/+$AH402)*AC402)*VLOOKUP('1. SUMMARY'!$C$20,rate,Sheet1!AF$21,0),((IF(($F$135+$B$135+$C$135+$D$135+$E$135+$G$135+$H$135+$I$135)&gt;=25000,0,(((25000-($B$135+$C$135+$D$135+$E$135+$F$135+$G$135+$H$135+$I$135))/+$AH402)*AC402)*(VLOOKUP('1. SUMMARY'!$C$20,rate,Sheet1!AF$21,0))))))))</f>
        <v>0</v>
      </c>
      <c r="AD403" s="417">
        <f>IF(AD402=0,0,(IF(($B$135+$C$135+$D$135+$E$135+$F$135+$G$135+$H$135+$I$135+$J$135)&lt;=25000,(($J$135/+$AH402)*AD402)*VLOOKUP('1. SUMMARY'!$C$20,rate,Sheet1!AG$21,0),((IF(($F$135+$B$135+$C$135+$D$135+$E$135+$G$135+$H$135+$I$135)&gt;=25000,0,(((25000-($B$135+$C$135+$D$135+$E$135+$F$135+$G$135+$H$135+$I$135))/+$AH402)*AD402)*(VLOOKUP('1. SUMMARY'!$C$20,rate,Sheet1!AG$21,0))))))))</f>
        <v>0</v>
      </c>
      <c r="AE403" s="417">
        <f>IF(AE402=0,0,(IF(($B$135+$C$135+$D$135+$E$135+$F$135+$G$135+$H$135+$I$135+$J$135)&lt;=25000,(($J$135/+$AH402)*AE402)*VLOOKUP('1. SUMMARY'!$C$20,rate,Sheet1!AH$21,0),((IF(($F$135+$B$135+$C$135+$D$135+$E$135+$G$135+$H$135+$I$135)&gt;=25000,0,(((25000-($B$135+$C$135+$D$135+$E$135+$F$135+$G$135+$H$135+$I$135))/+$AH402)*AE402)*(VLOOKUP('1. SUMMARY'!$C$20,rate,Sheet1!AH$21,0))))))))</f>
        <v>0</v>
      </c>
      <c r="AF403" s="417">
        <f>IF(AF402=0,0,(IF(($B$135+$C$135+$D$135+$E$135+$F$135+$G$135+$H$135+$I$135+$J$135)&lt;=25000,(($J$135/+$AH402)*AF402)*VLOOKUP('1. SUMMARY'!$C$20,rate,Sheet1!AI$21,0),((IF(($F$135+$B$135+$C$135+$D$135+$E$135+$G$135+$H$135+$I$135)&gt;=25000,0,(((25000-($B$135+$C$135+$D$135+$E$135+$F$135+$G$135+$H$135+$I$135))/+$AH402)*AF402)*(VLOOKUP('1. SUMMARY'!$C$20,rate,Sheet1!AI$21,0))))))))</f>
        <v>0</v>
      </c>
      <c r="AG403" s="417">
        <f>IF(AG402=0,0,(IF(($B$135+$C$135+$D$135+$E$135+$F$135+$G$135+$H$135+$I$135+$J$135)&lt;=25000,(($J$135/+$AH402)*AG402)*VLOOKUP('1. SUMMARY'!$C$20,rate,Sheet1!AJ$21,0),((IF(($F$135+$B$135+$C$135+$D$135+$E$135+$G$135+$H$135+$I$135)&gt;=25000,0,(((25000-($B$135+$C$135+$D$135+$E$135+$F$135+$G$135+$H$135+$I$135))/+$AH402)*AG402)*(VLOOKUP('1. SUMMARY'!$C$20,rate,Sheet1!AJ$21,0))))))))</f>
        <v>0</v>
      </c>
      <c r="AH403" s="219">
        <f>SUM(Q403:AG403)</f>
        <v>0</v>
      </c>
      <c r="AI403" s="417">
        <f>IF(AI402=0,0,((+$J135/$AZ402)*AI402)*VLOOKUP('1. SUMMARY'!$C$20,rate,Sheet1!T$21,0))</f>
        <v>0</v>
      </c>
      <c r="AJ403" s="417">
        <f>IF(AJ402=0,0,((+$J135/$AZ402)*AJ402)*VLOOKUP('1. SUMMARY'!$C$20,rate,Sheet1!U$21,0))</f>
        <v>0</v>
      </c>
      <c r="AK403" s="417">
        <f>IF(AK402=0,0,((+$J135/$AZ402)*AK402)*VLOOKUP('1. SUMMARY'!$C$20,rate,Sheet1!V$21,0))</f>
        <v>0</v>
      </c>
      <c r="AL403" s="417">
        <f>IF(AL402=0,0,((+$J135/$AZ402)*AL402)*VLOOKUP('1. SUMMARY'!$C$20,rate,Sheet1!W$21,0))</f>
        <v>0</v>
      </c>
      <c r="AM403" s="417">
        <f>IF(AM402=0,0,((+$J135/$AZ402)*AM402)*VLOOKUP('1. SUMMARY'!$C$20,rate,Sheet1!X$21,0))</f>
        <v>0</v>
      </c>
      <c r="AN403" s="417">
        <f>IF(AN402=0,0,((+$J135/$AZ402)*AN402)*VLOOKUP('1. SUMMARY'!$C$20,rate,Sheet1!Y$21,0))</f>
        <v>0</v>
      </c>
      <c r="AO403" s="417">
        <f>IF(AO402=0,0,((+$J135/$AZ402)*AO402)*VLOOKUP('1. SUMMARY'!$C$20,rate,Sheet1!Z$21,0))</f>
        <v>0</v>
      </c>
      <c r="AP403" s="417">
        <f>IF(AP402=0,0,((+$J135/$AZ402)*AP402)*VLOOKUP('1. SUMMARY'!$C$20,rate,Sheet1!AA$21,0))</f>
        <v>0</v>
      </c>
      <c r="AQ403" s="417">
        <f>IF(AQ402=0,0,((+$J135/$AZ402)*AQ402)*VLOOKUP('1. SUMMARY'!$C$20,rate,Sheet1!AB$21,0))</f>
        <v>0</v>
      </c>
      <c r="AR403" s="417">
        <f>IF(AR402=0,0,((+$J135/$AZ402)*AR402)*VLOOKUP('1. SUMMARY'!$C$20,rate,Sheet1!AC$21,0))</f>
        <v>0</v>
      </c>
      <c r="AS403" s="417">
        <f>IF(AS402=0,0,((+$J135/$AZ402)*AS402)*VLOOKUP('1. SUMMARY'!$C$20,rate,Sheet1!AD$21,0))</f>
        <v>0</v>
      </c>
      <c r="AT403" s="417">
        <f>IF(AT402=0,0,((+$J135/$AZ402)*AT402)*VLOOKUP('1. SUMMARY'!$C$20,rate,Sheet1!AE$21,0))</f>
        <v>0</v>
      </c>
      <c r="AU403" s="417">
        <f>IF(AU402=0,0,((+$J135/$AZ402)*AU402)*VLOOKUP('1. SUMMARY'!$C$20,rate,Sheet1!AF$21,0))</f>
        <v>0</v>
      </c>
      <c r="AV403" s="417">
        <f>IF(AV402=0,0,((+$J135/$AZ402)*AV402)*VLOOKUP('1. SUMMARY'!$C$20,rate,Sheet1!AG$21,0))</f>
        <v>0</v>
      </c>
      <c r="AW403" s="417">
        <f>IF(AW402=0,0,((+$J135/$AZ402)*AW402)*VLOOKUP('1. SUMMARY'!$C$20,rate,Sheet1!AH$21,0))</f>
        <v>0</v>
      </c>
      <c r="AX403" s="417">
        <f>IF(AX402=0,0,((+$J135/$AZ402)*AX402)*VLOOKUP('1. SUMMARY'!$C$20,rate,Sheet1!AI$21,0))</f>
        <v>0</v>
      </c>
      <c r="AY403" s="417">
        <f>IF(AY402=0,0,((+$J135/$AZ402)*AY402)*VLOOKUP('1. SUMMARY'!$C$20,rate,Sheet1!AJ$21,0))</f>
        <v>0</v>
      </c>
      <c r="AZ403" s="417">
        <f>SUM(AI403:AY403)</f>
        <v>0</v>
      </c>
    </row>
    <row r="404" spans="15:52" ht="18" hidden="1" customHeight="1">
      <c r="Q404" s="417">
        <f>+Q403/VLOOKUP('1. SUMMARY'!$C$20,rate,Sheet1!T$21,0)</f>
        <v>0</v>
      </c>
      <c r="R404" s="417">
        <f>+R403/VLOOKUP('1. SUMMARY'!$C$20,rate,Sheet1!U$21,0)</f>
        <v>0</v>
      </c>
      <c r="S404" s="417">
        <f>+S403/VLOOKUP('1. SUMMARY'!$C$20,rate,Sheet1!V$21,0)</f>
        <v>0</v>
      </c>
      <c r="T404" s="417">
        <f>+T403/VLOOKUP('1. SUMMARY'!$C$20,rate,Sheet1!W$21,0)</f>
        <v>0</v>
      </c>
      <c r="U404" s="417">
        <f>+U403/VLOOKUP('1. SUMMARY'!$C$20,rate,Sheet1!X$21,0)</f>
        <v>0</v>
      </c>
      <c r="V404" s="417">
        <f>+V403/VLOOKUP('1. SUMMARY'!$C$20,rate,Sheet1!Y$21,0)</f>
        <v>0</v>
      </c>
      <c r="W404" s="417">
        <f>+W403/VLOOKUP('1. SUMMARY'!$C$20,rate,Sheet1!Z$21,0)</f>
        <v>0</v>
      </c>
      <c r="X404" s="417">
        <f>+X403/VLOOKUP('1. SUMMARY'!$C$20,rate,Sheet1!AA$21,0)</f>
        <v>0</v>
      </c>
      <c r="Y404" s="417">
        <f>+Y403/VLOOKUP('1. SUMMARY'!$C$20,rate,Sheet1!AB$21,0)</f>
        <v>0</v>
      </c>
      <c r="Z404" s="417">
        <f>+Z403/VLOOKUP('1. SUMMARY'!$C$20,rate,Sheet1!AC$21,0)</f>
        <v>0</v>
      </c>
      <c r="AA404" s="417">
        <f>+AA403/VLOOKUP('1. SUMMARY'!$C$20,rate,Sheet1!AD$21,0)</f>
        <v>0</v>
      </c>
      <c r="AB404" s="417">
        <f>+AB403/VLOOKUP('1. SUMMARY'!$C$20,rate,Sheet1!AE$21,0)</f>
        <v>0</v>
      </c>
      <c r="AC404" s="417">
        <f>+AC403/VLOOKUP('1. SUMMARY'!$C$20,rate,Sheet1!AF$21,0)</f>
        <v>0</v>
      </c>
      <c r="AD404" s="417">
        <f>+AD403/VLOOKUP('1. SUMMARY'!$C$20,rate,Sheet1!AG$21,0)</f>
        <v>0</v>
      </c>
      <c r="AE404" s="417">
        <f>+AE403/VLOOKUP('1. SUMMARY'!$C$20,rate,Sheet1!AH$21,0)</f>
        <v>0</v>
      </c>
      <c r="AF404" s="417">
        <f>+AF403/VLOOKUP('1. SUMMARY'!$C$20,rate,Sheet1!AI$21,0)</f>
        <v>0</v>
      </c>
      <c r="AG404" s="417">
        <f>+AG403/VLOOKUP('1. SUMMARY'!$C$20,rate,Sheet1!AJ$21,0)</f>
        <v>0</v>
      </c>
      <c r="AH404" s="219"/>
      <c r="AI404" s="417"/>
      <c r="AJ404" s="417"/>
      <c r="AK404" s="417"/>
      <c r="AL404" s="417"/>
      <c r="AM404" s="417"/>
      <c r="AN404" s="417"/>
      <c r="AO404" s="417"/>
      <c r="AP404" s="417"/>
      <c r="AQ404" s="417"/>
      <c r="AR404" s="417"/>
      <c r="AS404" s="417"/>
      <c r="AT404" s="417"/>
      <c r="AU404" s="417"/>
      <c r="AV404" s="417"/>
      <c r="AW404" s="417"/>
      <c r="AX404" s="417"/>
      <c r="AY404" s="417"/>
      <c r="AZ404" s="417"/>
    </row>
    <row r="405" spans="15:52" ht="18" hidden="1" customHeight="1">
      <c r="Q405" s="420">
        <f>Sheet1!$T$8</f>
        <v>44105</v>
      </c>
      <c r="R405" s="420">
        <f>Sheet1!$U$8</f>
        <v>44470</v>
      </c>
      <c r="S405" s="420">
        <f>Sheet1!$V$8</f>
        <v>44835</v>
      </c>
      <c r="T405" s="420">
        <f>Sheet1!$W$8</f>
        <v>45200</v>
      </c>
      <c r="U405" s="420">
        <f>Sheet1!$X$8</f>
        <v>45566</v>
      </c>
      <c r="V405" s="420">
        <f>Sheet1!$Y$8</f>
        <v>45931</v>
      </c>
      <c r="W405" s="420">
        <f>Sheet1!$Z$8</f>
        <v>46296</v>
      </c>
      <c r="X405" s="420">
        <f>Sheet1!$AA$8</f>
        <v>46661</v>
      </c>
      <c r="Y405" s="420">
        <f>Sheet1!$AB$8</f>
        <v>47027</v>
      </c>
      <c r="Z405" s="420">
        <f>Sheet1!$AC$8</f>
        <v>47392</v>
      </c>
      <c r="AA405" s="420">
        <f>$AA$5</f>
        <v>47757</v>
      </c>
      <c r="AB405" s="420">
        <f>$AB$5</f>
        <v>48122</v>
      </c>
      <c r="AC405" s="420">
        <f>$AC$5</f>
        <v>48488</v>
      </c>
      <c r="AD405" s="420">
        <f>$AD$5</f>
        <v>48853</v>
      </c>
      <c r="AE405" s="420">
        <f>$AE$5</f>
        <v>49218</v>
      </c>
      <c r="AF405" s="420">
        <f>$AF$5</f>
        <v>49583</v>
      </c>
      <c r="AG405" s="420">
        <f>$AG$5</f>
        <v>49949</v>
      </c>
      <c r="AH405" s="219"/>
      <c r="AI405" s="420">
        <f t="shared" ref="AI405:AR407" si="190">+Q405</f>
        <v>44105</v>
      </c>
      <c r="AJ405" s="420">
        <f t="shared" si="190"/>
        <v>44470</v>
      </c>
      <c r="AK405" s="420">
        <f t="shared" si="190"/>
        <v>44835</v>
      </c>
      <c r="AL405" s="420">
        <f t="shared" si="190"/>
        <v>45200</v>
      </c>
      <c r="AM405" s="420">
        <f t="shared" si="190"/>
        <v>45566</v>
      </c>
      <c r="AN405" s="420">
        <f t="shared" si="190"/>
        <v>45931</v>
      </c>
      <c r="AO405" s="420">
        <f t="shared" si="190"/>
        <v>46296</v>
      </c>
      <c r="AP405" s="420">
        <f t="shared" si="190"/>
        <v>46661</v>
      </c>
      <c r="AQ405" s="420">
        <f t="shared" si="190"/>
        <v>47027</v>
      </c>
      <c r="AR405" s="420">
        <f t="shared" si="190"/>
        <v>47392</v>
      </c>
      <c r="AS405" s="420">
        <f t="shared" ref="AS405:AY407" si="191">+AA405</f>
        <v>47757</v>
      </c>
      <c r="AT405" s="420">
        <f t="shared" si="191"/>
        <v>48122</v>
      </c>
      <c r="AU405" s="420">
        <f t="shared" si="191"/>
        <v>48488</v>
      </c>
      <c r="AV405" s="420">
        <f t="shared" si="191"/>
        <v>48853</v>
      </c>
      <c r="AW405" s="420">
        <f t="shared" si="191"/>
        <v>49218</v>
      </c>
      <c r="AX405" s="420">
        <f t="shared" si="191"/>
        <v>49583</v>
      </c>
      <c r="AY405" s="420">
        <f t="shared" si="191"/>
        <v>49949</v>
      </c>
      <c r="AZ405" s="420"/>
    </row>
    <row r="406" spans="15:52" ht="18" hidden="1" customHeight="1">
      <c r="O406" s="207" t="s">
        <v>257</v>
      </c>
      <c r="Q406" s="420">
        <f>Sheet1!$T$9</f>
        <v>44469</v>
      </c>
      <c r="R406" s="420">
        <f>Sheet1!$U$9</f>
        <v>44834</v>
      </c>
      <c r="S406" s="420">
        <f>Sheet1!$V$9</f>
        <v>45199</v>
      </c>
      <c r="T406" s="420">
        <f>Sheet1!$W$9</f>
        <v>45565</v>
      </c>
      <c r="U406" s="420">
        <f>Sheet1!$X$9</f>
        <v>45930</v>
      </c>
      <c r="V406" s="420">
        <f>Sheet1!$Y$9</f>
        <v>46295</v>
      </c>
      <c r="W406" s="420">
        <f>Sheet1!$Z$9</f>
        <v>46660</v>
      </c>
      <c r="X406" s="420">
        <f>Sheet1!$AA$9</f>
        <v>47026</v>
      </c>
      <c r="Y406" s="420">
        <f>Sheet1!$AB$9</f>
        <v>47391</v>
      </c>
      <c r="Z406" s="420">
        <f>Sheet1!$AC$9</f>
        <v>47756</v>
      </c>
      <c r="AA406" s="420">
        <f>$AA$6</f>
        <v>48121</v>
      </c>
      <c r="AB406" s="420">
        <f>$AB$6</f>
        <v>48487</v>
      </c>
      <c r="AC406" s="420">
        <f>$AC$6</f>
        <v>48852</v>
      </c>
      <c r="AD406" s="420">
        <f>$AD$6</f>
        <v>49217</v>
      </c>
      <c r="AE406" s="420">
        <f>$AE$6</f>
        <v>49582</v>
      </c>
      <c r="AF406" s="420">
        <f>$AF$6</f>
        <v>49948</v>
      </c>
      <c r="AG406" s="420">
        <f>$AG$6</f>
        <v>50313</v>
      </c>
      <c r="AH406" s="219"/>
      <c r="AI406" s="420">
        <f t="shared" si="190"/>
        <v>44469</v>
      </c>
      <c r="AJ406" s="420">
        <f t="shared" si="190"/>
        <v>44834</v>
      </c>
      <c r="AK406" s="420">
        <f t="shared" si="190"/>
        <v>45199</v>
      </c>
      <c r="AL406" s="420">
        <f t="shared" si="190"/>
        <v>45565</v>
      </c>
      <c r="AM406" s="420">
        <f t="shared" si="190"/>
        <v>45930</v>
      </c>
      <c r="AN406" s="420">
        <f t="shared" si="190"/>
        <v>46295</v>
      </c>
      <c r="AO406" s="420">
        <f t="shared" si="190"/>
        <v>46660</v>
      </c>
      <c r="AP406" s="420">
        <f t="shared" si="190"/>
        <v>47026</v>
      </c>
      <c r="AQ406" s="420">
        <f t="shared" si="190"/>
        <v>47391</v>
      </c>
      <c r="AR406" s="420">
        <f t="shared" si="190"/>
        <v>47756</v>
      </c>
      <c r="AS406" s="420">
        <f t="shared" si="191"/>
        <v>48121</v>
      </c>
      <c r="AT406" s="420">
        <f t="shared" si="191"/>
        <v>48487</v>
      </c>
      <c r="AU406" s="420">
        <f t="shared" si="191"/>
        <v>48852</v>
      </c>
      <c r="AV406" s="420">
        <f t="shared" si="191"/>
        <v>49217</v>
      </c>
      <c r="AW406" s="420">
        <f t="shared" si="191"/>
        <v>49582</v>
      </c>
      <c r="AX406" s="420">
        <f t="shared" si="191"/>
        <v>49948</v>
      </c>
      <c r="AY406" s="420">
        <f t="shared" si="191"/>
        <v>50313</v>
      </c>
      <c r="AZ406" s="420"/>
    </row>
    <row r="407" spans="15:52" ht="18" hidden="1" customHeight="1">
      <c r="Q407" s="421">
        <f>IF(IF(Q406&lt;$K$27,0,DATEDIF($K$27,Q406+1,"m"))&lt;0,0,IF(Q406&lt;$K$27,0,DATEDIF($K$27,Q406+1,"m")))</f>
        <v>0</v>
      </c>
      <c r="R407" s="421">
        <f>IF(IF(Q407=12,0,IF(R406&gt;$K$28,12-DATEDIF($K$28,R406+1,"m"),IF(R406&lt;$K$27,0,DATEDIF($K$27,R406+1,"m"))))&lt;0,0,IF(Q407=12,0,IF(R406&gt;$K$28,12-DATEDIF($K$28,R406+1,"m"),IF(R406&lt;$K$27,0,DATEDIF($K$27,R406+1,"m")))))</f>
        <v>0</v>
      </c>
      <c r="S407" s="421">
        <f>IF(IF(Q407+R407=12,0,IF(S406&gt;$K$28,12-DATEDIF($K$28,S406+1,"m"),IF(S406&lt;$K$27,0,DATEDIF($K$27,S406+1,"m"))))&lt;0,0,IF(Q407+R407=12,0,IF(S406&gt;$K$28,12-DATEDIF($K$28,S406+1,"m"),IF(S406&lt;$K$27,0,DATEDIF($K$27,S406+1,"m")))))</f>
        <v>0</v>
      </c>
      <c r="T407" s="421">
        <f>IF(IF(R407+S407+Q407=12,0,IF(T406&gt;$K$28,12-DATEDIF($K$28,T406+1,"m"),IF(T406&lt;$K$27,0,DATEDIF($K$27,T406+1,"m"))))&lt;0,0,IF(R407+S407+Q407=12,0,IF(T406&gt;$K$28,12-DATEDIF($K$28,T406+1,"m"),IF(T406&lt;$K$27,0,DATEDIF($K$27,T406+1,"m")))))</f>
        <v>0</v>
      </c>
      <c r="U407" s="421">
        <f>IF(IF(S407+T407+R407+Q407=12,0,IF(U406&gt;$K$28,12-DATEDIF($K$28,U406+1,"m"),IF(U406&lt;$K$27,0,DATEDIF($K$27,U406+1,"m"))))&lt;0,0,IF(S407+T407+R407+Q407=12,0,IF(U406&gt;$K$28,12-DATEDIF($K$28,U406+1,"m"),IF(U406&lt;$K$27,0,DATEDIF($K$27,U406+1,"m")))))</f>
        <v>0</v>
      </c>
      <c r="V407" s="421">
        <f>IF(IF(T407+U407+S407+R407+Q407=12,0,IF(V406&gt;$K$28,12-DATEDIF($K$28,V406+1,"m"),IF(V406&lt;$K$27,0,DATEDIF($K$27,V406+1,"m"))))&lt;0,0,IF(T407+U407+S407+R407+Q407=12,0,IF(V406&gt;$K$28,12-DATEDIF($K$28,V406+1,"m"),IF(V406&lt;$K$27,0,DATEDIF($K$27,V406+1,"m")))))</f>
        <v>0</v>
      </c>
      <c r="W407" s="421">
        <f>IF(IF(U407+V407+T407+S407+R407+Q407=12,0,IF(W406&gt;$K$28,12-DATEDIF($K$28,W406+1,"m"),IF(W406&lt;$K$27,0,DATEDIF($K$27,W406+1,"m"))))&lt;0,0,IF(U407+V407+T407+S407+R407+Q407=12,0,IF(W406&gt;$K$28,12-DATEDIF($K$28,W406+1,"m"),IF(W406&lt;$K$27,0,DATEDIF($K$27,W406+1,"m")))))</f>
        <v>0</v>
      </c>
      <c r="X407" s="421">
        <f>IF(IF(V407+W407+U407+T407+S407+R407+Q407=12,0,IF(X406&gt;$K$28,12-DATEDIF($K$28,X406+1,"m"),IF(X406&lt;$K$27,0,DATEDIF($K$27,X406+1,"m"))))&lt;0,0,IF(V407+W407+U407+T407+S407+R407+Q407=12,0,IF(X406&gt;$K$28,12-DATEDIF($K$28,X406+1,"m"),IF(X406&lt;$K$27,0,DATEDIF($K$27,X406+1,"m")))))</f>
        <v>0</v>
      </c>
      <c r="Y407" s="421">
        <f>IF(IF(W407+X407+V407+U407+T407+S407+R407+Q407=12,0,IF(Y406&gt;$K$28,12-DATEDIF($K$28,Y406+1,"m"),IF(Y406&lt;$K$27,0,DATEDIF($K$27,Y406+1,"m"))))&lt;0,0,IF(W407+X407+V407+U407+T407+S407+R407+Q407=12,0,IF(Y406&gt;$K$28,12-DATEDIF($K$28,Y406+1,"m"),IF(Y406&lt;$K$27,0,DATEDIF($K$27,Y406+1,"m")))))</f>
        <v>0</v>
      </c>
      <c r="Z407" s="421">
        <f>IF(IF(X407+Y407+W407+V407+U407+T407+S407+R407+Q407=12,0,IF(Z406&gt;$K$28,12-DATEDIF($K$28,Z406+1,"m"),IF(Z406&lt;$K$27,0,DATEDIF($K$27,Z406+1,"m"))))&lt;0,0,IF(X407+Y407+W407+V407+U407+T407+S407+R407+Q407=12,0,IF(Z406&gt;$K$28,12-DATEDIF($K$28,Z406+1,"m"),IF(Z406&lt;$K$27,0,DATEDIF($K$27,Z406+1,"m")))))</f>
        <v>0</v>
      </c>
      <c r="AA407" s="421">
        <f>IF(IF(Q407+R407+S407+Y407+Z407+X407+W407+V407+U407+T407=12,0,IF(AA406&gt;$K$28,12-DATEDIF($K$28,AA406+1,"m"),IF(AA406&lt;$K$27,0,DATEDIF($K$27,AA406+1,"m"))))&lt;0,0,IF(Q407+R407+S407+Y407+Z407+X407+W407+V407+U407+T407=12,0,IF(AA406&gt;$K$28,12-DATEDIF($K$28,AA406+1,"m"),IF(AA406&lt;$K$27,0,DATEDIF($K$27,AA406+1,"m")))))</f>
        <v>0</v>
      </c>
      <c r="AB407" s="421">
        <f>IF(IF(Q407+R407+S407+T407+Z407+AA407+Y407+X407+W407+V407+U407=12,0,IF(AB406&gt;$K$28,12-DATEDIF($K$28,AB406+1,"m"),IF(AB406&lt;$K$27,0,DATEDIF($K$27,AB406+1,"m"))))&lt;0,0,IF(Q407+R407+S407+T407+Z407+AA407+Y407+X407+W407+V407+U407=12,0,IF(AB406&gt;$K$28,12-DATEDIF($K$28,AB406+1,"m"),IF(AB406&lt;$K$27,0,DATEDIF($K$27,AB406+1,"m")))))</f>
        <v>0</v>
      </c>
      <c r="AC407" s="421">
        <f>IF(IF(Q407+R407+S407+T407+U407+AA407+AB407+Z407+Y407+X407+W407+V407=12,0,IF(AC406&gt;$K$28,12-DATEDIF($K$28,AC406+1,"m"),IF(AC406&lt;$K$27,0,DATEDIF($K$27,AC406+1,"m"))))&lt;0,0,IF(Q407+R407+S407+T407+U407+AA407+AB407+Z407+Y407+X407+W407+V407=12,0,IF(AC406&gt;$K$28,12-DATEDIF($K$28,AC406+1,"m"),IF(AC406&lt;$K$27,0,DATEDIF($K$27,AC406+1,"m")))))</f>
        <v>0</v>
      </c>
      <c r="AD407" s="421">
        <f>IF(IF(Q407+R407+S407+T407+U407+V407+AB407+AC407+AA407+Z407+Y407+X407+W407=12,0,IF(AD406&gt;$K$28,12-DATEDIF($K$28,AD406+1,"m"),IF(AD406&lt;$K$27,0,DATEDIF($K$27,AD406+1,"m"))))&lt;0,0,IF(Q407+R407+S407+T407+U407+V407+AB407+AC407+AA407+Z407+Y407+X407+W407=12,0,IF(AD406&gt;$K$28,12-DATEDIF($K$28,AD406+1,"m"),IF(AD406&lt;$K$27,0,DATEDIF($K$27,AD406+1,"m")))))</f>
        <v>0</v>
      </c>
      <c r="AE407" s="421">
        <f>IF(IF(Q407+R407+S407+T407+U407+V407+W407+AC407+AD407+AB407+AA407+Z407+Y407+X407=12,0,IF(AE406&gt;$K$28,12-DATEDIF($K$28,AE406+1,"m"),IF(AE406&lt;$K$27,0,DATEDIF($K$27,AE406+1,"m"))))&lt;0,0,IF(Q407+R407+S407+T407+U407+V407+W407+AC407+AD407+AB407+AA407+Z407+Y407+X407=12,0,IF(AE406&gt;$K$28,12-DATEDIF($K$28,AE406+1,"m"),IF(AE406&lt;$K$27,0,DATEDIF($K$27,AE406+1,"m")))))</f>
        <v>0</v>
      </c>
      <c r="AF407" s="421">
        <f>IF(IF(Q407+R407+S407+T407+U407+V407+W407+X407+AD407+AE407+AC407+AB407+AA407+Z407+Y407=12,0,IF(AF406&gt;$K$28,12-DATEDIF($K$28,AF406+1,"m"),IF(AF406&lt;$K$27,0,DATEDIF($K$27,AF406+1,"m"))))&lt;0,0,IF(Q407+R407+S407+T407+U407+V407+W407+X407+AD407+AE407+AC407+AB407+AA407+Z407+Y407=12,0,IF(AF406&gt;$K$28,12-DATEDIF($K$28,AF406+1,"m"),IF(AF406&lt;$K$27,0,DATEDIF($K$27,AF406+1,"m")))))</f>
        <v>0</v>
      </c>
      <c r="AG407" s="421">
        <f>IF(IF(Q407+R407+S407+T407+U407+V407+W407+X407+Y407+AE407+AF407+AD407+AC407+AB407+AA407+Z407=12,0,IF(AG406&gt;$K$28,12-DATEDIF($K$28,AG406+1,"m"),IF(AG406&lt;$K$27,0,DATEDIF($K$27,AG406+1,"m"))))&lt;0,0,IF(Q407+R407+S407+T407+U407+V407+W407+X407+Y407+AE407+AF407+AD407+AC407+AB407+AA407+Z407=12,0,IF(AG406&gt;$K$28,12-DATEDIF($K$28,AG406+1,"m"),IF(AG406&lt;$K$27,0,DATEDIF($K$27,AG406+1,"m")))))</f>
        <v>0</v>
      </c>
      <c r="AH407" s="423">
        <f>SUM(Q407:AG407)</f>
        <v>0</v>
      </c>
      <c r="AI407" s="428">
        <f t="shared" si="190"/>
        <v>0</v>
      </c>
      <c r="AJ407" s="428">
        <f t="shared" si="190"/>
        <v>0</v>
      </c>
      <c r="AK407" s="428">
        <f t="shared" si="190"/>
        <v>0</v>
      </c>
      <c r="AL407" s="428">
        <f t="shared" si="190"/>
        <v>0</v>
      </c>
      <c r="AM407" s="428">
        <f t="shared" si="190"/>
        <v>0</v>
      </c>
      <c r="AN407" s="428">
        <f t="shared" si="190"/>
        <v>0</v>
      </c>
      <c r="AO407" s="428">
        <f t="shared" si="190"/>
        <v>0</v>
      </c>
      <c r="AP407" s="428">
        <f t="shared" si="190"/>
        <v>0</v>
      </c>
      <c r="AQ407" s="428">
        <f t="shared" si="190"/>
        <v>0</v>
      </c>
      <c r="AR407" s="428">
        <f t="shared" si="190"/>
        <v>0</v>
      </c>
      <c r="AS407" s="428">
        <f t="shared" si="191"/>
        <v>0</v>
      </c>
      <c r="AT407" s="428">
        <f t="shared" si="191"/>
        <v>0</v>
      </c>
      <c r="AU407" s="428">
        <f t="shared" si="191"/>
        <v>0</v>
      </c>
      <c r="AV407" s="428">
        <f t="shared" si="191"/>
        <v>0</v>
      </c>
      <c r="AW407" s="428">
        <f t="shared" si="191"/>
        <v>0</v>
      </c>
      <c r="AX407" s="428">
        <f t="shared" si="191"/>
        <v>0</v>
      </c>
      <c r="AY407" s="428">
        <f t="shared" si="191"/>
        <v>0</v>
      </c>
      <c r="AZ407" s="428">
        <f>SUM(AI407:AY407)</f>
        <v>0</v>
      </c>
    </row>
    <row r="408" spans="15:52" ht="18" hidden="1" customHeight="1">
      <c r="Q408" s="421">
        <f>IF(Q407=0,0,(IF(($B$135+$C$135+$D$135+$E$135+$F$135+$G$135+$H$135+$I$135+$J$135+$K$135)&lt;=25000,(($K$135/+$AH407)*Q407)*VLOOKUP('1. SUMMARY'!$C$20,rate,Sheet1!T$21,0),((IF(($F$135+$B$135+$C$135+$D$135+$E$135+$G$135+$H$135+$I$135+$J$135)&gt;=25000,0,(((25000-($B$135+$C$135+$D$135+$E$135+$F$135+$G$135+$H$135+$I$135+$J$135))/+$AH407)*Q407)*(VLOOKUP('1. SUMMARY'!$C$20,rate,Sheet1!T$21,0))))))))</f>
        <v>0</v>
      </c>
      <c r="R408" s="421">
        <f>IF(R407=0,0,(IF(($B$135+$C$135+$D$135+$E$135+$F$135+$G$135+$H$135+$I$135+$J$135+$K$135)&lt;=25000,(($K$135/+$AH407)*R407)*VLOOKUP('1. SUMMARY'!$C$20,rate,Sheet1!U$21,0),((IF(($F$135+$B$135+$C$135+$D$135+$E$135+$G$135+$H$135+$I$135+$J$135)&gt;=25000,0,(((25000-($B$135+$C$135+$D$135+$E$135+$F$135+$G$135+$H$135+$I$135+$J$135))/+$AH407)*R407)*(VLOOKUP('1. SUMMARY'!$C$20,rate,Sheet1!U$21,0))))))))</f>
        <v>0</v>
      </c>
      <c r="S408" s="421">
        <f>IF(S407=0,0,(IF(($B$135+$C$135+$D$135+$E$135+$F$135+$G$135+$H$135+$I$135+$J$135+$K$135)&lt;=25000,(($K$135/+$AH407)*S407)*VLOOKUP('1. SUMMARY'!$C$20,rate,Sheet1!V$21,0),((IF(($F$135+$B$135+$C$135+$D$135+$E$135+$G$135+$H$135+$I$135+$J$135)&gt;=25000,0,(((25000-($B$135+$C$135+$D$135+$E$135+$F$135+$G$135+$H$135+$I$135+$J$135))/+$AH407)*S407)*(VLOOKUP('1. SUMMARY'!$C$20,rate,Sheet1!V$21,0))))))))</f>
        <v>0</v>
      </c>
      <c r="T408" s="421">
        <f>IF(T407=0,0,(IF(($B$135+$C$135+$D$135+$E$135+$F$135+$G$135+$H$135+$I$135+$J$135+$K$135)&lt;=25000,(($K$135/+$AH407)*T407)*VLOOKUP('1. SUMMARY'!$C$20,rate,Sheet1!W$21,0),((IF(($F$135+$B$135+$C$135+$D$135+$E$135+$G$135+$H$135+$I$135+$J$135)&gt;=25000,0,(((25000-($B$135+$C$135+$D$135+$E$135+$F$135+$G$135+$H$135+$I$135+$J$135))/+$AH407)*T407)*(VLOOKUP('1. SUMMARY'!$C$20,rate,Sheet1!W$21,0))))))))</f>
        <v>0</v>
      </c>
      <c r="U408" s="421">
        <f>IF(U407=0,0,(IF(($B$135+$C$135+$D$135+$E$135+$F$135+$G$135+$H$135+$I$135+$J$135+$K$135)&lt;=25000,(($K$135/+$AH407)*U407)*VLOOKUP('1. SUMMARY'!$C$20,rate,Sheet1!X$21,0),((IF(($F$135+$B$135+$C$135+$D$135+$E$135+$G$135+$H$135+$I$135+$J$135)&gt;=25000,0,(((25000-($B$135+$C$135+$D$135+$E$135+$F$135+$G$135+$H$135+$I$135+$J$135))/+$AH407)*U407)*(VLOOKUP('1. SUMMARY'!$C$20,rate,Sheet1!X$21,0))))))))</f>
        <v>0</v>
      </c>
      <c r="V408" s="421">
        <f>IF(V407=0,0,(IF(($B$135+$C$135+$D$135+$E$135+$F$135+$G$135+$H$135+$I$135+$J$135+$K$135)&lt;=25000,(($K$135/+$AH407)*V407)*VLOOKUP('1. SUMMARY'!$C$20,rate,Sheet1!Y$21,0),((IF(($F$135+$B$135+$C$135+$D$135+$E$135+$G$135+$H$135+$I$135+$J$135)&gt;=25000,0,(((25000-($B$135+$C$135+$D$135+$E$135+$F$135+$G$135+$H$135+$I$135+$J$135))/+$AH407)*V407)*(VLOOKUP('1. SUMMARY'!$C$20,rate,Sheet1!Y$21,0))))))))</f>
        <v>0</v>
      </c>
      <c r="W408" s="421">
        <f>IF(W407=0,0,(IF(($B$135+$C$135+$D$135+$E$135+$F$135+$G$135+$H$135+$I$135+$J$135+$K$135)&lt;=25000,(($K$135/+$AH407)*W407)*VLOOKUP('1. SUMMARY'!$C$20,rate,Sheet1!Z$21,0),((IF(($F$135+$B$135+$C$135+$D$135+$E$135+$G$135+$H$135+$I$135+$J$135)&gt;=25000,0,(((25000-($B$135+$C$135+$D$135+$E$135+$F$135+$G$135+$H$135+$I$135+$J$135))/+$AH407)*W407)*(VLOOKUP('1. SUMMARY'!$C$20,rate,Sheet1!Z$21,0))))))))</f>
        <v>0</v>
      </c>
      <c r="X408" s="421">
        <f>IF(X407=0,0,(IF(($B$135+$C$135+$D$135+$E$135+$F$135+$G$135+$H$135+$I$135+$J$135+$K$135)&lt;=25000,(($K$135/+$AH407)*X407)*VLOOKUP('1. SUMMARY'!$C$20,rate,Sheet1!AA$21,0),((IF(($F$135+$B$135+$C$135+$D$135+$E$135+$G$135+$H$135+$I$135+$J$135)&gt;=25000,0,(((25000-($B$135+$C$135+$D$135+$E$135+$F$135+$G$135+$H$135+$I$135+$J$135))/+$AH407)*X407)*(VLOOKUP('1. SUMMARY'!$C$20,rate,Sheet1!AA$21,0))))))))</f>
        <v>0</v>
      </c>
      <c r="Y408" s="421">
        <f>IF(Y407=0,0,(IF(($B$135+$C$135+$D$135+$E$135+$F$135+$G$135+$H$135+$I$135+$J$135+$K$135)&lt;=25000,(($K$135/+$AH407)*Y407)*VLOOKUP('1. SUMMARY'!$C$20,rate,Sheet1!AB$21,0),((IF(($F$135+$B$135+$C$135+$D$135+$E$135+$G$135+$H$135+$I$135+$J$135)&gt;=25000,0,(((25000-($B$135+$C$135+$D$135+$E$135+$F$135+$G$135+$H$135+$I$135+$J$135))/+$AH407)*Y407)*(VLOOKUP('1. SUMMARY'!$C$20,rate,Sheet1!AB$21,0))))))))</f>
        <v>0</v>
      </c>
      <c r="Z408" s="421">
        <f>IF(Z407=0,0,(IF(($B$135+$C$135+$D$135+$E$135+$F$135+$G$135+$H$135+$I$135+$J$135+$K$135)&lt;=25000,(($K$135/+$AH407)*Z407)*VLOOKUP('1. SUMMARY'!$C$20,rate,Sheet1!AC$21,0),((IF(($F$135+$B$135+$C$135+$D$135+$E$135+$G$135+$H$135+$I$135+$J$135)&gt;=25000,0,(((25000-($B$135+$C$135+$D$135+$E$135+$F$135+$G$135+$H$135+$I$135+$J$135))/+$AH407)*Z407)*(VLOOKUP('1. SUMMARY'!$C$20,rate,Sheet1!AC$21,0))))))))</f>
        <v>0</v>
      </c>
      <c r="AA408" s="421">
        <f>IF(AA407=0,0,(IF(($B$135+$C$135+$D$135+$E$135+$F$135+$G$135+$H$135+$I$135+$J$135+$K$135)&lt;=25000,(($K$135/+$AH407)*AA407)*VLOOKUP('1. SUMMARY'!$C$20,rate,Sheet1!AD$21,0),((IF(($F$135+$B$135+$C$135+$D$135+$E$135+$G$135+$H$135+$I$135+$J$135)&gt;=25000,0,(((25000-($B$135+$C$135+$D$135+$E$135+$F$135+$G$135+$H$135+$I$135+$J$135))/+$AH407)*AA407)*(VLOOKUP('1. SUMMARY'!$C$20,rate,Sheet1!AD$21,0))))))))</f>
        <v>0</v>
      </c>
      <c r="AB408" s="421">
        <f>IF(AB407=0,0,(IF(($B$135+$C$135+$D$135+$E$135+$F$135+$G$135+$H$135+$I$135+$J$135+$K$135)&lt;=25000,(($K$135/+$AH407)*AB407)*VLOOKUP('1. SUMMARY'!$C$20,rate,Sheet1!AE$21,0),((IF(($F$135+$B$135+$C$135+$D$135+$E$135+$G$135+$H$135+$I$135+$J$135)&gt;=25000,0,(((25000-($B$135+$C$135+$D$135+$E$135+$F$135+$G$135+$H$135+$I$135+$J$135))/+$AH407)*AB407)*(VLOOKUP('1. SUMMARY'!$C$20,rate,Sheet1!AE$21,0))))))))</f>
        <v>0</v>
      </c>
      <c r="AC408" s="421">
        <f>IF(AC407=0,0,(IF(($B$135+$C$135+$D$135+$E$135+$F$135+$G$135+$H$135+$I$135+$J$135+$K$135)&lt;=25000,(($K$135/+$AH407)*AC407)*VLOOKUP('1. SUMMARY'!$C$20,rate,Sheet1!AF$21,0),((IF(($F$135+$B$135+$C$135+$D$135+$E$135+$G$135+$H$135+$I$135+$J$135)&gt;=25000,0,(((25000-($B$135+$C$135+$D$135+$E$135+$F$135+$G$135+$H$135+$I$135+$J$135))/+$AH407)*AC407)*(VLOOKUP('1. SUMMARY'!$C$20,rate,Sheet1!AF$21,0))))))))</f>
        <v>0</v>
      </c>
      <c r="AD408" s="421">
        <f>IF(AD407=0,0,(IF(($B$135+$C$135+$D$135+$E$135+$F$135+$G$135+$H$135+$I$135+$J$135+$K$135)&lt;=25000,(($K$135/+$AH407)*AD407)*VLOOKUP('1. SUMMARY'!$C$20,rate,Sheet1!AG$21,0),((IF(($F$135+$B$135+$C$135+$D$135+$E$135+$G$135+$H$135+$I$135+$J$135)&gt;=25000,0,(((25000-($B$135+$C$135+$D$135+$E$135+$F$135+$G$135+$H$135+$I$135+$J$135))/+$AH407)*AD407)*(VLOOKUP('1. SUMMARY'!$C$20,rate,Sheet1!AG$21,0))))))))</f>
        <v>0</v>
      </c>
      <c r="AE408" s="421">
        <f>IF(AE407=0,0,(IF(($B$135+$C$135+$D$135+$E$135+$F$135+$G$135+$H$135+$I$135+$J$135+$K$135)&lt;=25000,(($K$135/+$AH407)*AE407)*VLOOKUP('1. SUMMARY'!$C$20,rate,Sheet1!AH$21,0),((IF(($F$135+$B$135+$C$135+$D$135+$E$135+$G$135+$H$135+$I$135+$J$135)&gt;=25000,0,(((25000-($B$135+$C$135+$D$135+$E$135+$F$135+$G$135+$H$135+$I$135+$J$135))/+$AH407)*AE407)*(VLOOKUP('1. SUMMARY'!$C$20,rate,Sheet1!AH$21,0))))))))</f>
        <v>0</v>
      </c>
      <c r="AF408" s="421">
        <f>IF(AF407=0,0,(IF(($B$135+$C$135+$D$135+$E$135+$F$135+$G$135+$H$135+$I$135+$J$135+$K$135)&lt;=25000,(($K$135/+$AH407)*AF407)*VLOOKUP('1. SUMMARY'!$C$20,rate,Sheet1!AI$21,0),((IF(($F$135+$B$135+$C$135+$D$135+$E$135+$G$135+$H$135+$I$135+$J$135)&gt;=25000,0,(((25000-($B$135+$C$135+$D$135+$E$135+$F$135+$G$135+$H$135+$I$135+$J$135))/+$AH407)*AF407)*(VLOOKUP('1. SUMMARY'!$C$20,rate,Sheet1!AI$21,0))))))))</f>
        <v>0</v>
      </c>
      <c r="AG408" s="421">
        <f>IF(AG407=0,0,(IF(($B$135+$C$135+$D$135+$E$135+$F$135+$G$135+$H$135+$I$135+$J$135+$K$135)&lt;=25000,(($K$135/+$AH407)*AG407)*VLOOKUP('1. SUMMARY'!$C$20,rate,Sheet1!AJ$21,0),((IF(($F$135+$B$135+$C$135+$D$135+$E$135+$G$135+$H$135+$I$135+$J$135)&gt;=25000,0,(((25000-($B$135+$C$135+$D$135+$E$135+$F$135+$G$135+$H$135+$I$135+$J$135))/+$AH407)*AG407)*(VLOOKUP('1. SUMMARY'!$C$20,rate,Sheet1!AJ$21,0))))))))</f>
        <v>0</v>
      </c>
      <c r="AH408" s="219">
        <f>SUM(Q408:AG408)</f>
        <v>0</v>
      </c>
      <c r="AI408" s="421">
        <f>IF(AI407=0,0,((+$K135/$AZ407)*AI407)*VLOOKUP('1. SUMMARY'!$C$20,rate,Sheet1!T$21,0))</f>
        <v>0</v>
      </c>
      <c r="AJ408" s="421">
        <f>IF(AJ407=0,0,((+$K135/$AZ407)*AJ407)*VLOOKUP('1. SUMMARY'!$C$20,rate,Sheet1!U$21,0))</f>
        <v>0</v>
      </c>
      <c r="AK408" s="421">
        <f>IF(AK407=0,0,((+$K135/$AZ407)*AK407)*VLOOKUP('1. SUMMARY'!$C$20,rate,Sheet1!V$21,0))</f>
        <v>0</v>
      </c>
      <c r="AL408" s="421">
        <f>IF(AL407=0,0,((+$K135/$AZ407)*AL407)*VLOOKUP('1. SUMMARY'!$C$20,rate,Sheet1!W$21,0))</f>
        <v>0</v>
      </c>
      <c r="AM408" s="421">
        <f>IF(AM407=0,0,((+$K135/$AZ407)*AM407)*VLOOKUP('1. SUMMARY'!$C$20,rate,Sheet1!X$21,0))</f>
        <v>0</v>
      </c>
      <c r="AN408" s="421">
        <f>IF(AN407=0,0,((+$K135/$AZ407)*AN407)*VLOOKUP('1. SUMMARY'!$C$20,rate,Sheet1!Y$21,0))</f>
        <v>0</v>
      </c>
      <c r="AO408" s="421">
        <f>IF(AO407=0,0,((+$K135/$AZ407)*AO407)*VLOOKUP('1. SUMMARY'!$C$20,rate,Sheet1!Z$21,0))</f>
        <v>0</v>
      </c>
      <c r="AP408" s="421">
        <f>IF(AP407=0,0,((+$K135/$AZ407)*AP407)*VLOOKUP('1. SUMMARY'!$C$20,rate,Sheet1!AA$21,0))</f>
        <v>0</v>
      </c>
      <c r="AQ408" s="421">
        <f>IF(AQ407=0,0,((+$K135/$AZ407)*AQ407)*VLOOKUP('1. SUMMARY'!$C$20,rate,Sheet1!AB$21,0))</f>
        <v>0</v>
      </c>
      <c r="AR408" s="421">
        <f>IF(AR407=0,0,((+$K135/$AZ407)*AR407)*VLOOKUP('1. SUMMARY'!$C$20,rate,Sheet1!AC$21,0))</f>
        <v>0</v>
      </c>
      <c r="AS408" s="421">
        <f>IF(AS407=0,0,((+$K135/$AZ407)*AS407)*VLOOKUP('1. SUMMARY'!$C$20,rate,Sheet1!AD$21,0))</f>
        <v>0</v>
      </c>
      <c r="AT408" s="421">
        <f>IF(AT407=0,0,((+$K135/$AZ407)*AT407)*VLOOKUP('1. SUMMARY'!$C$20,rate,Sheet1!AE$21,0))</f>
        <v>0</v>
      </c>
      <c r="AU408" s="421">
        <f>IF(AU407=0,0,((+$K135/$AZ407)*AU407)*VLOOKUP('1. SUMMARY'!$C$20,rate,Sheet1!AF$21,0))</f>
        <v>0</v>
      </c>
      <c r="AV408" s="421">
        <f>IF(AV407=0,0,((+$K135/$AZ407)*AV407)*VLOOKUP('1. SUMMARY'!$C$20,rate,Sheet1!AG$21,0))</f>
        <v>0</v>
      </c>
      <c r="AW408" s="421">
        <f>IF(AW407=0,0,((+$K135/$AZ407)*AW407)*VLOOKUP('1. SUMMARY'!$C$20,rate,Sheet1!AH$21,0))</f>
        <v>0</v>
      </c>
      <c r="AX408" s="421">
        <f>IF(AX407=0,0,((+$K135/$AZ407)*AX407)*VLOOKUP('1. SUMMARY'!$C$20,rate,Sheet1!AI$21,0))</f>
        <v>0</v>
      </c>
      <c r="AY408" s="421">
        <f>IF(AY407=0,0,((+$K135/$AZ407)*AY407)*VLOOKUP('1. SUMMARY'!$C$20,rate,Sheet1!AJ$21,0))</f>
        <v>0</v>
      </c>
      <c r="AZ408" s="421">
        <f>SUM(AI408:AY408)</f>
        <v>0</v>
      </c>
    </row>
    <row r="409" spans="15:52" ht="18" hidden="1" customHeight="1">
      <c r="Q409" s="421">
        <f>+Q408/VLOOKUP('1. SUMMARY'!$C$20,rate,Sheet1!T$21,0)</f>
        <v>0</v>
      </c>
      <c r="R409" s="421">
        <f>+R408/VLOOKUP('1. SUMMARY'!$C$20,rate,Sheet1!U$21,0)</f>
        <v>0</v>
      </c>
      <c r="S409" s="421">
        <f>+S408/VLOOKUP('1. SUMMARY'!$C$20,rate,Sheet1!V$21,0)</f>
        <v>0</v>
      </c>
      <c r="T409" s="421">
        <f>+T408/VLOOKUP('1. SUMMARY'!$C$20,rate,Sheet1!W$21,0)</f>
        <v>0</v>
      </c>
      <c r="U409" s="421">
        <f>+U408/VLOOKUP('1. SUMMARY'!$C$20,rate,Sheet1!X$21,0)</f>
        <v>0</v>
      </c>
      <c r="V409" s="421">
        <f>+V408/VLOOKUP('1. SUMMARY'!$C$20,rate,Sheet1!Y$21,0)</f>
        <v>0</v>
      </c>
      <c r="W409" s="421">
        <f>+W408/VLOOKUP('1. SUMMARY'!$C$20,rate,Sheet1!Z$21,0)</f>
        <v>0</v>
      </c>
      <c r="X409" s="421">
        <f>+X408/VLOOKUP('1. SUMMARY'!$C$20,rate,Sheet1!AA$21,0)</f>
        <v>0</v>
      </c>
      <c r="Y409" s="421">
        <f>+Y408/VLOOKUP('1. SUMMARY'!$C$20,rate,Sheet1!AB$21,0)</f>
        <v>0</v>
      </c>
      <c r="Z409" s="421">
        <f>+Z408/VLOOKUP('1. SUMMARY'!$C$20,rate,Sheet1!AC$21,0)</f>
        <v>0</v>
      </c>
      <c r="AA409" s="421">
        <f>+AA408/VLOOKUP('1. SUMMARY'!$C$20,rate,Sheet1!AD$21,0)</f>
        <v>0</v>
      </c>
      <c r="AB409" s="421">
        <f>+AB408/VLOOKUP('1. SUMMARY'!$C$20,rate,Sheet1!AE$21,0)</f>
        <v>0</v>
      </c>
      <c r="AC409" s="421">
        <f>+AC408/VLOOKUP('1. SUMMARY'!$C$20,rate,Sheet1!AF$21,0)</f>
        <v>0</v>
      </c>
      <c r="AD409" s="421">
        <f>+AD408/VLOOKUP('1. SUMMARY'!$C$20,rate,Sheet1!AG$21,0)</f>
        <v>0</v>
      </c>
      <c r="AE409" s="421">
        <f>+AE408/VLOOKUP('1. SUMMARY'!$C$20,rate,Sheet1!AH$21,0)</f>
        <v>0</v>
      </c>
      <c r="AF409" s="421">
        <f>+AF408/VLOOKUP('1. SUMMARY'!$C$20,rate,Sheet1!AI$21,0)</f>
        <v>0</v>
      </c>
      <c r="AG409" s="421">
        <f>+AG408/VLOOKUP('1. SUMMARY'!$C$20,rate,Sheet1!AJ$21,0)</f>
        <v>0</v>
      </c>
      <c r="AH409" s="219"/>
      <c r="AI409" s="421"/>
      <c r="AJ409" s="421"/>
      <c r="AK409" s="421"/>
      <c r="AL409" s="421"/>
      <c r="AM409" s="421"/>
      <c r="AN409" s="421"/>
      <c r="AO409" s="421"/>
      <c r="AP409" s="421"/>
      <c r="AQ409" s="421"/>
      <c r="AR409" s="421"/>
      <c r="AS409" s="421"/>
      <c r="AT409" s="421"/>
      <c r="AU409" s="421"/>
      <c r="AV409" s="421"/>
      <c r="AW409" s="421"/>
      <c r="AX409" s="421"/>
      <c r="AY409" s="421"/>
      <c r="AZ409" s="421"/>
    </row>
    <row r="410" spans="15:52" ht="18" hidden="1" customHeight="1">
      <c r="P410" s="207">
        <f>IF(Q535=39356,(+P384+1),P384)</f>
        <v>1</v>
      </c>
      <c r="Q410" s="396">
        <f>Sheet1!$T$8</f>
        <v>44105</v>
      </c>
      <c r="R410" s="396">
        <f>Sheet1!$U$8</f>
        <v>44470</v>
      </c>
      <c r="S410" s="396">
        <f>Sheet1!$V$8</f>
        <v>44835</v>
      </c>
      <c r="T410" s="396">
        <f>Sheet1!$W$8</f>
        <v>45200</v>
      </c>
      <c r="U410" s="396">
        <f>Sheet1!$X$8</f>
        <v>45566</v>
      </c>
      <c r="V410" s="396">
        <f>Sheet1!$Y$8</f>
        <v>45931</v>
      </c>
      <c r="W410" s="396">
        <f>Sheet1!$Z$8</f>
        <v>46296</v>
      </c>
      <c r="X410" s="396">
        <f>Sheet1!$AA$8</f>
        <v>46661</v>
      </c>
      <c r="Y410" s="396">
        <f>Sheet1!$AB$8</f>
        <v>47027</v>
      </c>
      <c r="Z410" s="396">
        <f>Sheet1!$AC$8</f>
        <v>47392</v>
      </c>
      <c r="AA410" s="396">
        <f>$AA$5</f>
        <v>47757</v>
      </c>
      <c r="AB410" s="396">
        <f>$AB$5</f>
        <v>48122</v>
      </c>
      <c r="AC410" s="396">
        <f>$AC$5</f>
        <v>48488</v>
      </c>
      <c r="AD410" s="396">
        <f>$AD$5</f>
        <v>48853</v>
      </c>
      <c r="AE410" s="396">
        <f>$AE$5</f>
        <v>49218</v>
      </c>
      <c r="AF410" s="396">
        <f>$AF$5</f>
        <v>49583</v>
      </c>
      <c r="AG410" s="396">
        <f>$AG$5</f>
        <v>49949</v>
      </c>
      <c r="AH410" s="211"/>
      <c r="AI410" s="396">
        <f t="shared" ref="AI410:AR412" si="192">+Q410</f>
        <v>44105</v>
      </c>
      <c r="AJ410" s="396">
        <f t="shared" si="192"/>
        <v>44470</v>
      </c>
      <c r="AK410" s="396">
        <f t="shared" si="192"/>
        <v>44835</v>
      </c>
      <c r="AL410" s="396">
        <f t="shared" si="192"/>
        <v>45200</v>
      </c>
      <c r="AM410" s="396">
        <f t="shared" si="192"/>
        <v>45566</v>
      </c>
      <c r="AN410" s="396">
        <f t="shared" si="192"/>
        <v>45931</v>
      </c>
      <c r="AO410" s="396">
        <f t="shared" si="192"/>
        <v>46296</v>
      </c>
      <c r="AP410" s="396">
        <f t="shared" si="192"/>
        <v>46661</v>
      </c>
      <c r="AQ410" s="396">
        <f t="shared" si="192"/>
        <v>47027</v>
      </c>
      <c r="AR410" s="396">
        <f t="shared" si="192"/>
        <v>47392</v>
      </c>
      <c r="AS410" s="396">
        <f t="shared" ref="AS410:AY412" si="193">+AA410</f>
        <v>47757</v>
      </c>
      <c r="AT410" s="396">
        <f t="shared" si="193"/>
        <v>48122</v>
      </c>
      <c r="AU410" s="396">
        <f t="shared" si="193"/>
        <v>48488</v>
      </c>
      <c r="AV410" s="396">
        <f t="shared" si="193"/>
        <v>48853</v>
      </c>
      <c r="AW410" s="396">
        <f t="shared" si="193"/>
        <v>49218</v>
      </c>
      <c r="AX410" s="396">
        <f t="shared" si="193"/>
        <v>49583</v>
      </c>
      <c r="AY410" s="396">
        <f t="shared" si="193"/>
        <v>49949</v>
      </c>
      <c r="AZ410" s="396"/>
    </row>
    <row r="411" spans="15:52" ht="18" hidden="1" customHeight="1">
      <c r="P411" s="207">
        <f t="shared" ref="P411:P419" si="194">IF(Q536=39356,(+P410+1),P410)</f>
        <v>1</v>
      </c>
      <c r="Q411" s="396">
        <f>Sheet1!$T$9</f>
        <v>44469</v>
      </c>
      <c r="R411" s="396">
        <f>Sheet1!$U$9</f>
        <v>44834</v>
      </c>
      <c r="S411" s="396">
        <f>Sheet1!$V$9</f>
        <v>45199</v>
      </c>
      <c r="T411" s="396">
        <f>Sheet1!$W$9</f>
        <v>45565</v>
      </c>
      <c r="U411" s="396">
        <f>Sheet1!$X$9</f>
        <v>45930</v>
      </c>
      <c r="V411" s="396">
        <f>Sheet1!$Y$9</f>
        <v>46295</v>
      </c>
      <c r="W411" s="396">
        <f>Sheet1!$Z$9</f>
        <v>46660</v>
      </c>
      <c r="X411" s="396">
        <f>Sheet1!$AA$9</f>
        <v>47026</v>
      </c>
      <c r="Y411" s="396">
        <f>Sheet1!$AB$9</f>
        <v>47391</v>
      </c>
      <c r="Z411" s="396">
        <f>Sheet1!$AC$9</f>
        <v>47756</v>
      </c>
      <c r="AA411" s="396">
        <f>$AA$6</f>
        <v>48121</v>
      </c>
      <c r="AB411" s="396">
        <f>$AB$6</f>
        <v>48487</v>
      </c>
      <c r="AC411" s="396">
        <f>$AC$6</f>
        <v>48852</v>
      </c>
      <c r="AD411" s="396">
        <f>$AD$6</f>
        <v>49217</v>
      </c>
      <c r="AE411" s="396">
        <f>$AE$6</f>
        <v>49582</v>
      </c>
      <c r="AF411" s="396">
        <f>$AF$6</f>
        <v>49948</v>
      </c>
      <c r="AG411" s="396">
        <f>$AG$6</f>
        <v>50313</v>
      </c>
      <c r="AH411" s="211"/>
      <c r="AI411" s="396">
        <f t="shared" si="192"/>
        <v>44469</v>
      </c>
      <c r="AJ411" s="396">
        <f t="shared" si="192"/>
        <v>44834</v>
      </c>
      <c r="AK411" s="396">
        <f t="shared" si="192"/>
        <v>45199</v>
      </c>
      <c r="AL411" s="396">
        <f t="shared" si="192"/>
        <v>45565</v>
      </c>
      <c r="AM411" s="396">
        <f t="shared" si="192"/>
        <v>45930</v>
      </c>
      <c r="AN411" s="396">
        <f t="shared" si="192"/>
        <v>46295</v>
      </c>
      <c r="AO411" s="396">
        <f t="shared" si="192"/>
        <v>46660</v>
      </c>
      <c r="AP411" s="396">
        <f t="shared" si="192"/>
        <v>47026</v>
      </c>
      <c r="AQ411" s="396">
        <f t="shared" si="192"/>
        <v>47391</v>
      </c>
      <c r="AR411" s="396">
        <f t="shared" si="192"/>
        <v>47756</v>
      </c>
      <c r="AS411" s="396">
        <f t="shared" si="193"/>
        <v>48121</v>
      </c>
      <c r="AT411" s="396">
        <f t="shared" si="193"/>
        <v>48487</v>
      </c>
      <c r="AU411" s="396">
        <f t="shared" si="193"/>
        <v>48852</v>
      </c>
      <c r="AV411" s="396">
        <f t="shared" si="193"/>
        <v>49217</v>
      </c>
      <c r="AW411" s="396">
        <f t="shared" si="193"/>
        <v>49582</v>
      </c>
      <c r="AX411" s="396">
        <f t="shared" si="193"/>
        <v>49948</v>
      </c>
      <c r="AY411" s="396">
        <f t="shared" si="193"/>
        <v>50313</v>
      </c>
      <c r="AZ411" s="396"/>
    </row>
    <row r="412" spans="15:52" ht="18" hidden="1" customHeight="1">
      <c r="O412" s="207" t="s">
        <v>258</v>
      </c>
      <c r="P412" s="207">
        <f t="shared" si="194"/>
        <v>1</v>
      </c>
      <c r="Q412" s="397">
        <f>IF(IF(Q411&lt;$B$27,0,DATEDIF($B$27,Q411+1,"m"))&lt;0,0,IF(Q411&lt;$B$27,0,DATEDIF($B$27,Q411+1,"m")))</f>
        <v>1461</v>
      </c>
      <c r="R412" s="397">
        <f>IF(IF(Q412=12,0,IF(R411&gt;$B$28,12-DATEDIF($B$28,R411+1,"m"),IF(R411&lt;$B$27,0,DATEDIF($B$27,R411+1,"m"))))&lt;0,0,IF(Q412=12,0,IF(R411&gt;$B$28,12-DATEDIF($B$28,R411+1,"m"),IF(R411&lt;$B$27,0,DATEDIF($B$27,R411+1,"m")))))</f>
        <v>0</v>
      </c>
      <c r="S412" s="397">
        <f>IF(IF(Q412+R412=12,0,IF(S411&gt;$B$28,12-DATEDIF($B$28,S411+1,"m"),IF(S411&lt;$B$27,0,DATEDIF($B$27,S411+1,"m"))))&lt;0,0,IF(Q412+R412=12,0,IF(S411&gt;$B$28,12-DATEDIF($B$28,S411+1,"m"),IF(S411&lt;$B$27,0,DATEDIF($B$27,S411+1,"m")))))</f>
        <v>0</v>
      </c>
      <c r="T412" s="397">
        <f>IF(IF(R412+S412+Q412=12,0,IF(T411&gt;$B$28,12-DATEDIF($B$28,T411+1,"m"),IF(T411&lt;$B$27,0,DATEDIF($B$27,T411+1,"m"))))&lt;0,0,IF(R412+S412+Q412=12,0,IF(T411&gt;$B$28,12-DATEDIF($B$28,T411+1,"m"),IF(T411&lt;$B$27,0,DATEDIF($B$27,T411+1,"m")))))</f>
        <v>0</v>
      </c>
      <c r="U412" s="397">
        <f>IF(IF(S412+T412+R412+Q412=12,0,IF(U411&gt;$B$28,12-DATEDIF($B$28,U411+1,"m"),IF(U411&lt;$B$27,0,DATEDIF($B$27,U411+1,"m"))))&lt;0,0,IF(S412+T412+R412+Q412=12,0,IF(U411&gt;$B$28,12-DATEDIF($B$28,U411+1,"m"),IF(U411&lt;$B$27,0,DATEDIF($B$27,U411+1,"m")))))</f>
        <v>0</v>
      </c>
      <c r="V412" s="397">
        <f>IF(IF(T412+U412+S412+R412+Q412=12,0,IF(V411&gt;$B$28,12-DATEDIF($B$28,V411+1,"m"),IF(V411&lt;$B$27,0,DATEDIF($B$27,V411+1,"m"))))&lt;0,0,IF(T412+U412+S412+R412+Q412=12,0,IF(V411&gt;$B$28,12-DATEDIF($B$28,V411+1,"m"),IF(V411&lt;$B$27,0,DATEDIF($B$27,V411+1,"m")))))</f>
        <v>0</v>
      </c>
      <c r="W412" s="397">
        <f>IF(IF(U412+V412+T412+S412+R412+Q412=12,0,IF(W411&gt;$B$28,12-DATEDIF($B$28,W411+1,"m"),IF(W411&lt;$B$27,0,DATEDIF($B$27,W411+1,"m"))))&lt;0,0,IF(U412+V412+T412+S412+R412+Q412=12,0,IF(W411&gt;$B$28,12-DATEDIF($B$28,W411+1,"m"),IF(W411&lt;$B$27,0,DATEDIF($B$27,W411+1,"m")))))</f>
        <v>0</v>
      </c>
      <c r="X412" s="397">
        <f>IF(IF(V412+W412+U412+T412+S412+R412+Q412=12,0,IF(X411&gt;$B$28,12-DATEDIF($B$28,X411+1,"m"),IF(X411&lt;$B$27,0,DATEDIF($B$27,X411+1,"m"))))&lt;0,0,IF(V412+W412+U412+T412+S412+R412+Q412=12,0,IF(X411&gt;$B$28,12-DATEDIF($B$28,X411+1,"m"),IF(X411&lt;$B$27,0,DATEDIF($B$27,X411+1,"m")))))</f>
        <v>0</v>
      </c>
      <c r="Y412" s="397">
        <f>IF(IF(W412+X412+V412+U412+T412+S412+R412=12,0,IF(Y411&gt;$B$28,12-DATEDIF($B$28,Y411+1,"m"),IF(Y411&lt;$B$27,0,DATEDIF($B$27,Y411+1,"m"))))&lt;0,0,IF(W412+X412+V412+U412+T412+S412+R412=12,0,IF(Y411&gt;$B$28,12-DATEDIF($B$28,Y411+1,"m"),IF(Y411&lt;$B$27,0,DATEDIF($B$27,Y411+1,"m")))))</f>
        <v>0</v>
      </c>
      <c r="Z412" s="397">
        <f>IF(IF(X412+Y412+W412+V412+U412+T412+S412=12,0,IF(Z411&gt;$B$28,12-DATEDIF($B$28,Z411+1,"m"),IF(Z411&lt;$B$27,0,DATEDIF($B$27,Z411+1,"m"))))&lt;0,0,IF(X412+Y412+W412+V412+U412+T412+S412=12,0,IF(Z411&gt;$B$28,12-DATEDIF($B$28,Z411+1,"m"),IF(Z411&lt;$B$27,0,DATEDIF($B$27,Z411+1,"m")))))</f>
        <v>0</v>
      </c>
      <c r="AA412" s="397"/>
      <c r="AB412" s="397"/>
      <c r="AC412" s="397"/>
      <c r="AD412" s="397"/>
      <c r="AE412" s="397"/>
      <c r="AF412" s="397"/>
      <c r="AG412" s="397"/>
      <c r="AH412" s="219">
        <f>SUM(Q412:AG412)</f>
        <v>1461</v>
      </c>
      <c r="AI412" s="397">
        <f t="shared" si="192"/>
        <v>1461</v>
      </c>
      <c r="AJ412" s="397">
        <f t="shared" si="192"/>
        <v>0</v>
      </c>
      <c r="AK412" s="397">
        <f t="shared" si="192"/>
        <v>0</v>
      </c>
      <c r="AL412" s="397">
        <f t="shared" si="192"/>
        <v>0</v>
      </c>
      <c r="AM412" s="397">
        <f t="shared" si="192"/>
        <v>0</v>
      </c>
      <c r="AN412" s="397">
        <f t="shared" si="192"/>
        <v>0</v>
      </c>
      <c r="AO412" s="397">
        <f t="shared" si="192"/>
        <v>0</v>
      </c>
      <c r="AP412" s="397">
        <f t="shared" si="192"/>
        <v>0</v>
      </c>
      <c r="AQ412" s="397">
        <f t="shared" si="192"/>
        <v>0</v>
      </c>
      <c r="AR412" s="397">
        <f t="shared" si="192"/>
        <v>0</v>
      </c>
      <c r="AS412" s="397">
        <f t="shared" si="193"/>
        <v>0</v>
      </c>
      <c r="AT412" s="397">
        <f t="shared" si="193"/>
        <v>0</v>
      </c>
      <c r="AU412" s="397">
        <f t="shared" si="193"/>
        <v>0</v>
      </c>
      <c r="AV412" s="397">
        <f t="shared" si="193"/>
        <v>0</v>
      </c>
      <c r="AW412" s="397">
        <f t="shared" si="193"/>
        <v>0</v>
      </c>
      <c r="AX412" s="397">
        <f t="shared" si="193"/>
        <v>0</v>
      </c>
      <c r="AY412" s="397">
        <f t="shared" si="193"/>
        <v>0</v>
      </c>
      <c r="AZ412" s="397">
        <f>SUM(AI412:AY412)</f>
        <v>1461</v>
      </c>
    </row>
    <row r="413" spans="15:52" ht="18" hidden="1" customHeight="1">
      <c r="P413" s="207">
        <f t="shared" si="194"/>
        <v>1</v>
      </c>
      <c r="Q413" s="398">
        <f>IF(Q412=0,0,(IF($B$152&gt;25000,((25000/+$AH412)*Q412)*VLOOKUP('1. SUMMARY'!$C$20,rate,Sheet1!T$21,0),(($B$152/+$AH412)*Q412)*VLOOKUP('1. SUMMARY'!$C$20,rate,Sheet1!T$21,0))))</f>
        <v>0</v>
      </c>
      <c r="R413" s="398">
        <f>IF(R412=0,0,(IF($B$152&gt;25000,((25000/+$AH412)*R412)*VLOOKUP('1. SUMMARY'!$C$20,rate,Sheet1!U$21,0),(($B$152/+$AH412)*R412)*VLOOKUP('1. SUMMARY'!$C$20,rate,Sheet1!U$21,0))))</f>
        <v>0</v>
      </c>
      <c r="S413" s="398">
        <f>IF(S412=0,0,(IF($B$152&gt;25000,((25000/+$AH412)*S412)*VLOOKUP('1. SUMMARY'!$C$20,rate,Sheet1!V$21,0),(($B$152/+$AH412)*S412)*VLOOKUP('1. SUMMARY'!$C$20,rate,Sheet1!V$21,0))))</f>
        <v>0</v>
      </c>
      <c r="T413" s="398">
        <f>IF(T412=0,0,(IF($B$152&gt;25000,((25000/+$AH412)*T412)*VLOOKUP('1. SUMMARY'!$C$20,rate,Sheet1!W$21,0),(($B$152/+$AH412)*T412)*VLOOKUP('1. SUMMARY'!$C$20,rate,Sheet1!W$21,0))))</f>
        <v>0</v>
      </c>
      <c r="U413" s="398">
        <f>IF(U412=0,0,(IF($B$152&gt;25000,((25000/+$AH412)*U412)*VLOOKUP('1. SUMMARY'!$C$20,rate,Sheet1!X$21,0),(($B$152/+$AH412)*U412)*VLOOKUP('1. SUMMARY'!$C$20,rate,Sheet1!X$21,0))))</f>
        <v>0</v>
      </c>
      <c r="V413" s="398">
        <f>IF(V412=0,0,(IF($B$152&gt;25000,((25000/+$AH412)*V412)*VLOOKUP('1. SUMMARY'!$C$20,rate,Sheet1!Y$21,0),(($B$152/+$AH412)*V412)*VLOOKUP('1. SUMMARY'!$C$20,rate,Sheet1!Y$21,0))))</f>
        <v>0</v>
      </c>
      <c r="W413" s="398">
        <f>IF(W412=0,0,(IF($B$152&gt;25000,((25000/+$AH412)*W412)*VLOOKUP('1. SUMMARY'!$C$20,rate,Sheet1!Z$21,0),(($B$152/+$AH412)*W412)*VLOOKUP('1. SUMMARY'!$C$20,rate,Sheet1!Z$21,0))))</f>
        <v>0</v>
      </c>
      <c r="X413" s="398">
        <f>IF(X412=0,0,(IF($B$152&gt;25000,((25000/+$AH412)*X412)*VLOOKUP('1. SUMMARY'!$C$20,rate,Sheet1!AA$21,0),(($B$152/+$AH412)*X412)*VLOOKUP('1. SUMMARY'!$C$20,rate,Sheet1!AA$21,0))))</f>
        <v>0</v>
      </c>
      <c r="Y413" s="398">
        <f>IF(Y412=0,0,(IF($B$152&gt;25000,((25000/+$AH412)*Y412)*VLOOKUP('1. SUMMARY'!$C$20,rate,Sheet1!AB$21,0),(($B$152/+$AH412)*Y412)*VLOOKUP('1. SUMMARY'!$C$20,rate,Sheet1!AB$21,0))))</f>
        <v>0</v>
      </c>
      <c r="Z413" s="398">
        <f>IF(Z412=0,0,(IF($B$152&gt;25000,((25000/+$AH412)*Z412)*VLOOKUP('1. SUMMARY'!$C$20,rate,Sheet1!AC$21,0),(($B$152/+$AH412)*Z412)*VLOOKUP('1. SUMMARY'!$C$20,rate,Sheet1!AC$21,0))))</f>
        <v>0</v>
      </c>
      <c r="AA413" s="398">
        <f>IF(AA412=0,0,(IF($B$152&gt;25000,((25000/+$AH412)*AA412)*VLOOKUP('1. SUMMARY'!$C$20,rate,Sheet1!AD$21,0),(($B$152/+$AH412)*AA412)*VLOOKUP('1. SUMMARY'!$C$20,rate,Sheet1!AD$21,0))))</f>
        <v>0</v>
      </c>
      <c r="AB413" s="398">
        <f>IF(AB412=0,0,(IF($B$152&gt;25000,((25000/+$AH412)*AB412)*VLOOKUP('1. SUMMARY'!$C$20,rate,Sheet1!AE$21,0),(($B$152/+$AH412)*AB412)*VLOOKUP('1. SUMMARY'!$C$20,rate,Sheet1!AE$21,0))))</f>
        <v>0</v>
      </c>
      <c r="AC413" s="398">
        <f>IF(AC412=0,0,(IF($B$152&gt;25000,((25000/+$AH412)*AC412)*VLOOKUP('1. SUMMARY'!$C$20,rate,Sheet1!AF$21,0),(($B$152/+$AH412)*AC412)*VLOOKUP('1. SUMMARY'!$C$20,rate,Sheet1!AF$21,0))))</f>
        <v>0</v>
      </c>
      <c r="AD413" s="398">
        <f>IF(AD412=0,0,(IF($B$152&gt;25000,((25000/+$AH412)*AD412)*VLOOKUP('1. SUMMARY'!$C$20,rate,Sheet1!AG$21,0),(($B$152/+$AH412)*AD412)*VLOOKUP('1. SUMMARY'!$C$20,rate,Sheet1!AG$21,0))))</f>
        <v>0</v>
      </c>
      <c r="AE413" s="398">
        <f>IF(AE412=0,0,(IF($B$152&gt;25000,((25000/+$AH412)*AE412)*VLOOKUP('1. SUMMARY'!$C$20,rate,Sheet1!AH$21,0),(($B$152/+$AH412)*AE412)*VLOOKUP('1. SUMMARY'!$C$20,rate,Sheet1!AH$21,0))))</f>
        <v>0</v>
      </c>
      <c r="AF413" s="398">
        <f>IF(AF412=0,0,(IF($B$152&gt;25000,((25000/+$AH412)*AF412)*VLOOKUP('1. SUMMARY'!$C$20,rate,Sheet1!AI$21,0),(($B$152/+$AH412)*AF412)*VLOOKUP('1. SUMMARY'!$C$20,rate,Sheet1!AI$21,0))))</f>
        <v>0</v>
      </c>
      <c r="AG413" s="398">
        <f>IF(AG412=0,0,(IF($B$152&gt;25000,((25000/+$AH412)*AG412)*VLOOKUP('1. SUMMARY'!$C$20,rate,Sheet1!AJ$21,0),(($B$152/+$AH412)*AG412)*VLOOKUP('1. SUMMARY'!$C$20,rate,Sheet1!AJ$21,0))))</f>
        <v>0</v>
      </c>
      <c r="AH413" s="219">
        <f>SUM(Q413:AG413)</f>
        <v>0</v>
      </c>
      <c r="AI413" s="398">
        <f>IF(Q412=0,0,((+$B152/$AZ412)*AI412)*VLOOKUP('1. SUMMARY'!$C$20,rate,Sheet1!T$21,0))</f>
        <v>0</v>
      </c>
      <c r="AJ413" s="398">
        <f>IF(R412=0,0,((+$B152/$AZ412)*AJ412)*VLOOKUP('1. SUMMARY'!$C$20,rate,Sheet1!U$21,0))</f>
        <v>0</v>
      </c>
      <c r="AK413" s="398">
        <f>IF(S412=0,0,((+$B152/$AZ412)*AK412)*VLOOKUP('1. SUMMARY'!$C$20,rate,Sheet1!V$21,0))</f>
        <v>0</v>
      </c>
      <c r="AL413" s="398">
        <f>IF(T412=0,0,((+$B152/$AZ412)*AL412)*VLOOKUP('1. SUMMARY'!$C$20,rate,Sheet1!W$21,0))</f>
        <v>0</v>
      </c>
      <c r="AM413" s="398">
        <f>IF(U412=0,0,((+$B152/$AZ412)*AM412)*VLOOKUP('1. SUMMARY'!$C$20,rate,Sheet1!X$21,0))</f>
        <v>0</v>
      </c>
      <c r="AN413" s="398">
        <f>IF(V412=0,0,((+$B152/$AZ412)*AN412)*VLOOKUP('1. SUMMARY'!$C$20,rate,Sheet1!Y$21,0))</f>
        <v>0</v>
      </c>
      <c r="AO413" s="398">
        <f>IF(W412=0,0,((+$B152/$AZ412)*AO412)*VLOOKUP('1. SUMMARY'!$C$20,rate,Sheet1!Z$21,0))</f>
        <v>0</v>
      </c>
      <c r="AP413" s="398">
        <f>IF(X412=0,0,((+$B152/$AZ412)*AP412)*VLOOKUP('1. SUMMARY'!$C$20,rate,Sheet1!AA$21,0))</f>
        <v>0</v>
      </c>
      <c r="AQ413" s="398">
        <f>IF(Y412=0,0,((+$B152/$AZ412)*AQ412)*VLOOKUP('1. SUMMARY'!$C$20,rate,Sheet1!AB$21,0))</f>
        <v>0</v>
      </c>
      <c r="AR413" s="398">
        <f>IF(Z412=0,0,((+$B152/$AZ412)*AR412)*VLOOKUP('1. SUMMARY'!$C$20,rate,Sheet1!AC$21,0))</f>
        <v>0</v>
      </c>
      <c r="AS413" s="398">
        <f>IF(AA412=0,0,((+$B152/$AZ412)*AS412)*VLOOKUP('1. SUMMARY'!$C$20,rate,Sheet1!AD$21,0))</f>
        <v>0</v>
      </c>
      <c r="AT413" s="398">
        <f>IF(AB412=0,0,((+$B152/$AZ412)*AT412)*VLOOKUP('1. SUMMARY'!$C$20,rate,Sheet1!AE$21,0))</f>
        <v>0</v>
      </c>
      <c r="AU413" s="398">
        <f>IF(AC412=0,0,((+$B152/$AZ412)*AU412)*VLOOKUP('1. SUMMARY'!$C$20,rate,Sheet1!AF$21,0))</f>
        <v>0</v>
      </c>
      <c r="AV413" s="398">
        <f>IF(AD412=0,0,((+$B152/$AZ412)*AV412)*VLOOKUP('1. SUMMARY'!$C$20,rate,Sheet1!AG$21,0))</f>
        <v>0</v>
      </c>
      <c r="AW413" s="398">
        <f>IF(AE412=0,0,((+$B152/$AZ412)*AW412)*VLOOKUP('1. SUMMARY'!$C$20,rate,Sheet1!AH$21,0))</f>
        <v>0</v>
      </c>
      <c r="AX413" s="398">
        <f>IF(AF412=0,0,((+$B152/$AZ412)*AX412)*VLOOKUP('1. SUMMARY'!$C$20,rate,Sheet1!AI$21,0))</f>
        <v>0</v>
      </c>
      <c r="AY413" s="398">
        <f>IF(AG412=0,0,((+$B152/$AZ412)*AY412)*VLOOKUP('1. SUMMARY'!$C$20,rate,Sheet1!AJ$21,0))</f>
        <v>0</v>
      </c>
      <c r="AZ413" s="398">
        <f>SUM(AI413:AY413)</f>
        <v>0</v>
      </c>
    </row>
    <row r="414" spans="15:52" ht="18" hidden="1" customHeight="1">
      <c r="P414" s="207">
        <f t="shared" si="194"/>
        <v>1</v>
      </c>
      <c r="Q414" s="398">
        <f>+Q413/VLOOKUP('1. SUMMARY'!$C$20,rate,Sheet1!T$21,0)</f>
        <v>0</v>
      </c>
      <c r="R414" s="398">
        <f>+R413/VLOOKUP('1. SUMMARY'!$C$20,rate,Sheet1!U$21,0)</f>
        <v>0</v>
      </c>
      <c r="S414" s="398">
        <f>+S413/VLOOKUP('1. SUMMARY'!$C$20,rate,Sheet1!V$21,0)</f>
        <v>0</v>
      </c>
      <c r="T414" s="398">
        <f>+T413/VLOOKUP('1. SUMMARY'!$C$20,rate,Sheet1!W$21,0)</f>
        <v>0</v>
      </c>
      <c r="U414" s="398">
        <f>+U413/VLOOKUP('1. SUMMARY'!$C$20,rate,Sheet1!X$21,0)</f>
        <v>0</v>
      </c>
      <c r="V414" s="398">
        <f>+V413/VLOOKUP('1. SUMMARY'!$C$20,rate,Sheet1!Y$21,0)</f>
        <v>0</v>
      </c>
      <c r="W414" s="398">
        <f>+W413/VLOOKUP('1. SUMMARY'!$C$20,rate,Sheet1!Z$21,0)</f>
        <v>0</v>
      </c>
      <c r="X414" s="398">
        <f>+X413/VLOOKUP('1. SUMMARY'!$C$20,rate,Sheet1!AA$21,0)</f>
        <v>0</v>
      </c>
      <c r="Y414" s="398">
        <f>+Y413/VLOOKUP('1. SUMMARY'!$C$20,rate,Sheet1!AB$21,0)</f>
        <v>0</v>
      </c>
      <c r="Z414" s="398">
        <f>+Z413/VLOOKUP('1. SUMMARY'!$C$20,rate,Sheet1!AC$21,0)</f>
        <v>0</v>
      </c>
      <c r="AA414" s="398">
        <f>+AA413/VLOOKUP('1. SUMMARY'!$C$20,rate,Sheet1!AD$21,0)</f>
        <v>0</v>
      </c>
      <c r="AB414" s="398">
        <f>+AB413/VLOOKUP('1. SUMMARY'!$C$20,rate,Sheet1!AE$21,0)</f>
        <v>0</v>
      </c>
      <c r="AC414" s="398">
        <f>+AC413/VLOOKUP('1. SUMMARY'!$C$20,rate,Sheet1!AF$21,0)</f>
        <v>0</v>
      </c>
      <c r="AD414" s="398">
        <f>+AD413/VLOOKUP('1. SUMMARY'!$C$20,rate,Sheet1!AG$21,0)</f>
        <v>0</v>
      </c>
      <c r="AE414" s="398">
        <f>+AE413/VLOOKUP('1. SUMMARY'!$C$20,rate,Sheet1!AH$21,0)</f>
        <v>0</v>
      </c>
      <c r="AF414" s="398">
        <f>+AF413/VLOOKUP('1. SUMMARY'!$C$20,rate,Sheet1!AI$21,0)</f>
        <v>0</v>
      </c>
      <c r="AG414" s="398">
        <f>+AG413/VLOOKUP('1. SUMMARY'!$C$20,rate,Sheet1!AJ$21,0)</f>
        <v>0</v>
      </c>
      <c r="AH414" s="219"/>
      <c r="AI414" s="398">
        <v>0</v>
      </c>
      <c r="AJ414" s="398">
        <v>0</v>
      </c>
      <c r="AK414" s="398">
        <v>0</v>
      </c>
      <c r="AL414" s="398">
        <v>0</v>
      </c>
      <c r="AM414" s="398">
        <v>0</v>
      </c>
      <c r="AN414" s="398">
        <v>0</v>
      </c>
      <c r="AO414" s="398">
        <v>0</v>
      </c>
      <c r="AP414" s="398">
        <v>0</v>
      </c>
      <c r="AQ414" s="398"/>
      <c r="AR414" s="398"/>
      <c r="AS414" s="398"/>
      <c r="AT414" s="398"/>
      <c r="AU414" s="398"/>
      <c r="AV414" s="398"/>
      <c r="AW414" s="398"/>
      <c r="AX414" s="398"/>
      <c r="AY414" s="398"/>
      <c r="AZ414" s="398"/>
    </row>
    <row r="415" spans="15:52" ht="18" hidden="1" customHeight="1">
      <c r="P415" s="207">
        <f t="shared" si="194"/>
        <v>1</v>
      </c>
      <c r="Q415" s="402">
        <f>Sheet1!$T$8</f>
        <v>44105</v>
      </c>
      <c r="R415" s="402">
        <f>Sheet1!$U$8</f>
        <v>44470</v>
      </c>
      <c r="S415" s="402">
        <f>Sheet1!$V$8</f>
        <v>44835</v>
      </c>
      <c r="T415" s="402">
        <f>Sheet1!$W$8</f>
        <v>45200</v>
      </c>
      <c r="U415" s="402">
        <f>Sheet1!$X$8</f>
        <v>45566</v>
      </c>
      <c r="V415" s="402">
        <f>Sheet1!$Y$8</f>
        <v>45931</v>
      </c>
      <c r="W415" s="402">
        <f>Sheet1!$Z$8</f>
        <v>46296</v>
      </c>
      <c r="X415" s="402">
        <f>Sheet1!$AA$8</f>
        <v>46661</v>
      </c>
      <c r="Y415" s="402">
        <f>Sheet1!$AB$8</f>
        <v>47027</v>
      </c>
      <c r="Z415" s="402">
        <f>Sheet1!$AC$8</f>
        <v>47392</v>
      </c>
      <c r="AA415" s="402">
        <f>$AA$5</f>
        <v>47757</v>
      </c>
      <c r="AB415" s="402">
        <f>$AB$5</f>
        <v>48122</v>
      </c>
      <c r="AC415" s="402">
        <f>$AC$5</f>
        <v>48488</v>
      </c>
      <c r="AD415" s="402">
        <f>$AD$5</f>
        <v>48853</v>
      </c>
      <c r="AE415" s="402">
        <f>$AE$5</f>
        <v>49218</v>
      </c>
      <c r="AF415" s="402">
        <f>$AF$5</f>
        <v>49583</v>
      </c>
      <c r="AG415" s="402">
        <f>$AG$5</f>
        <v>49949</v>
      </c>
      <c r="AH415" s="211"/>
      <c r="AI415" s="402">
        <f t="shared" ref="AI415:AR417" si="195">+Q415</f>
        <v>44105</v>
      </c>
      <c r="AJ415" s="402">
        <f t="shared" si="195"/>
        <v>44470</v>
      </c>
      <c r="AK415" s="402">
        <f t="shared" si="195"/>
        <v>44835</v>
      </c>
      <c r="AL415" s="402">
        <f t="shared" si="195"/>
        <v>45200</v>
      </c>
      <c r="AM415" s="402">
        <f t="shared" si="195"/>
        <v>45566</v>
      </c>
      <c r="AN415" s="402">
        <f t="shared" si="195"/>
        <v>45931</v>
      </c>
      <c r="AO415" s="402">
        <f t="shared" si="195"/>
        <v>46296</v>
      </c>
      <c r="AP415" s="402">
        <f t="shared" si="195"/>
        <v>46661</v>
      </c>
      <c r="AQ415" s="402">
        <f t="shared" si="195"/>
        <v>47027</v>
      </c>
      <c r="AR415" s="402">
        <f t="shared" si="195"/>
        <v>47392</v>
      </c>
      <c r="AS415" s="402">
        <f t="shared" ref="AS415:AY417" si="196">+AA415</f>
        <v>47757</v>
      </c>
      <c r="AT415" s="402">
        <f t="shared" si="196"/>
        <v>48122</v>
      </c>
      <c r="AU415" s="402">
        <f t="shared" si="196"/>
        <v>48488</v>
      </c>
      <c r="AV415" s="402">
        <f t="shared" si="196"/>
        <v>48853</v>
      </c>
      <c r="AW415" s="402">
        <f t="shared" si="196"/>
        <v>49218</v>
      </c>
      <c r="AX415" s="402">
        <f t="shared" si="196"/>
        <v>49583</v>
      </c>
      <c r="AY415" s="402">
        <f t="shared" si="196"/>
        <v>49949</v>
      </c>
      <c r="AZ415" s="402"/>
    </row>
    <row r="416" spans="15:52" ht="18" hidden="1" customHeight="1">
      <c r="P416" s="207">
        <f t="shared" si="194"/>
        <v>1</v>
      </c>
      <c r="Q416" s="402">
        <f>Sheet1!$T$9</f>
        <v>44469</v>
      </c>
      <c r="R416" s="402">
        <f>Sheet1!$U$9</f>
        <v>44834</v>
      </c>
      <c r="S416" s="402">
        <f>Sheet1!$V$9</f>
        <v>45199</v>
      </c>
      <c r="T416" s="402">
        <f>Sheet1!$W$9</f>
        <v>45565</v>
      </c>
      <c r="U416" s="402">
        <f>Sheet1!$X$9</f>
        <v>45930</v>
      </c>
      <c r="V416" s="402">
        <f>Sheet1!$Y$9</f>
        <v>46295</v>
      </c>
      <c r="W416" s="402">
        <f>Sheet1!$Z$9</f>
        <v>46660</v>
      </c>
      <c r="X416" s="402">
        <f>Sheet1!$AA$9</f>
        <v>47026</v>
      </c>
      <c r="Y416" s="402">
        <f>Sheet1!$AB$9</f>
        <v>47391</v>
      </c>
      <c r="Z416" s="402">
        <f>Sheet1!$AC$9</f>
        <v>47756</v>
      </c>
      <c r="AA416" s="402">
        <f>$AA$6</f>
        <v>48121</v>
      </c>
      <c r="AB416" s="402">
        <f>$AB$6</f>
        <v>48487</v>
      </c>
      <c r="AC416" s="402">
        <f>$AC$6</f>
        <v>48852</v>
      </c>
      <c r="AD416" s="402">
        <f>$AD$6</f>
        <v>49217</v>
      </c>
      <c r="AE416" s="402">
        <f>$AE$6</f>
        <v>49582</v>
      </c>
      <c r="AF416" s="402">
        <f>$AF$6</f>
        <v>49948</v>
      </c>
      <c r="AG416" s="402">
        <f>$AG$6</f>
        <v>50313</v>
      </c>
      <c r="AH416" s="211"/>
      <c r="AI416" s="402">
        <f t="shared" si="195"/>
        <v>44469</v>
      </c>
      <c r="AJ416" s="402">
        <f t="shared" si="195"/>
        <v>44834</v>
      </c>
      <c r="AK416" s="402">
        <f t="shared" si="195"/>
        <v>45199</v>
      </c>
      <c r="AL416" s="402">
        <f t="shared" si="195"/>
        <v>45565</v>
      </c>
      <c r="AM416" s="402">
        <f t="shared" si="195"/>
        <v>45930</v>
      </c>
      <c r="AN416" s="402">
        <f t="shared" si="195"/>
        <v>46295</v>
      </c>
      <c r="AO416" s="402">
        <f t="shared" si="195"/>
        <v>46660</v>
      </c>
      <c r="AP416" s="402">
        <f t="shared" si="195"/>
        <v>47026</v>
      </c>
      <c r="AQ416" s="402">
        <f t="shared" si="195"/>
        <v>47391</v>
      </c>
      <c r="AR416" s="402">
        <f t="shared" si="195"/>
        <v>47756</v>
      </c>
      <c r="AS416" s="402">
        <f t="shared" si="196"/>
        <v>48121</v>
      </c>
      <c r="AT416" s="402">
        <f t="shared" si="196"/>
        <v>48487</v>
      </c>
      <c r="AU416" s="402">
        <f t="shared" si="196"/>
        <v>48852</v>
      </c>
      <c r="AV416" s="402">
        <f t="shared" si="196"/>
        <v>49217</v>
      </c>
      <c r="AW416" s="402">
        <f t="shared" si="196"/>
        <v>49582</v>
      </c>
      <c r="AX416" s="402">
        <f t="shared" si="196"/>
        <v>49948</v>
      </c>
      <c r="AY416" s="402">
        <f t="shared" si="196"/>
        <v>50313</v>
      </c>
      <c r="AZ416" s="402"/>
    </row>
    <row r="417" spans="15:52" ht="18" hidden="1" customHeight="1">
      <c r="O417" s="207" t="s">
        <v>259</v>
      </c>
      <c r="P417" s="207">
        <f t="shared" si="194"/>
        <v>1</v>
      </c>
      <c r="Q417" s="403">
        <f>IF(IF(Q416&lt;$C$27,0,DATEDIF($C$27,Q416+1,"m"))&lt;0,0,IF(Q416&lt;$C$27,0,DATEDIF($C$27,Q416+1,"m")))</f>
        <v>0</v>
      </c>
      <c r="R417" s="403">
        <f>IF(IF(Q417=12,0,IF(R416&gt;$C$28,12-DATEDIF($C$28,R416+1,"m"),IF(R416&lt;$C$27,0,DATEDIF($C$27,R416+1,"m"))))&lt;0,0,IF(Q417=12,0,IF(R416&gt;$C$28,12-DATEDIF($C$28,R416+1,"m"),IF(R416&lt;$C$27,0,DATEDIF($C$27,R416+1,"m")))))</f>
        <v>0</v>
      </c>
      <c r="S417" s="403">
        <f>IF(IF(Q417+R417=12,0,IF(S416&gt;$C$28,12-DATEDIF($C$28,S416+1,"m"),IF(S416&lt;$C$27,0,DATEDIF($C$27,S416+1,"m"))))&lt;0,0,IF(Q417+R417=12,0,IF(S416&gt;$C$28,12-DATEDIF($C$28,S416+1,"m"),IF(S416&lt;$C$27,0,DATEDIF($C$27,S416+1,"m")))))</f>
        <v>0</v>
      </c>
      <c r="T417" s="403">
        <f>IF(IF(R417+S417+Q417=12,0,IF(T416&gt;$C$28,12-DATEDIF($C$28,T416+1,"m"),IF(T416&lt;$C$27,0,DATEDIF($C$27,T416+1,"m"))))&lt;0,0,IF(R417+S417+Q417=12,0,IF(T416&gt;$C$28,12-DATEDIF($C$28,T416+1,"m"),IF(T416&lt;$C$27,0,DATEDIF($C$27,T416+1,"m")))))</f>
        <v>0</v>
      </c>
      <c r="U417" s="403">
        <f>IF(IF(S417+T417+R417+Q417=12,0,IF(U416&gt;$C$28,12-DATEDIF($C$28,U416+1,"m"),IF(U416&lt;$C$27,0,DATEDIF($C$27,U416+1,"m"))))&lt;0,0,IF(S417+T417+R417+Q417=12,0,IF(U416&gt;$C$28,12-DATEDIF($C$28,U416+1,"m"),IF(U416&lt;$C$27,0,DATEDIF($C$27,U416+1,"m")))))</f>
        <v>0</v>
      </c>
      <c r="V417" s="403">
        <f>IF(IF(T417+U417+S417+R417+Q417=12,0,IF(V416&gt;$C$28,12-DATEDIF($C$28,V416+1,"m"),IF(V416&lt;$C$27,0,DATEDIF($C$27,V416+1,"m"))))&lt;0,0,IF(T417+U417+S417+R417+Q417=12,0,IF(V416&gt;$C$28,12-DATEDIF($C$28,V416+1,"m"),IF(V416&lt;$C$27,0,DATEDIF($C$27,V416+1,"m")))))</f>
        <v>0</v>
      </c>
      <c r="W417" s="403">
        <f>IF(IF(U417+V417+T417+S417+R417+Q417=12,0,IF(W416&gt;$C$28,12-DATEDIF($C$28,W416+1,"m"),IF(W416&lt;$C$27,0,DATEDIF($C$27,W416+1,"m"))))&lt;0,0,IF(U417+V417+T417+S417+R417+Q417=12,0,IF(W416&gt;$C$28,12-DATEDIF($C$28,W416+1,"m"),IF(W416&lt;$C$27,0,DATEDIF($C$27,W416+1,"m")))))</f>
        <v>0</v>
      </c>
      <c r="X417" s="403">
        <f>IF(IF(V417+W417+U417+T417+S417+R417+Q417=12,0,IF(X416&gt;$C$28,12-DATEDIF($C$28,X416+1,"m"),IF(X416&lt;$C$27,0,DATEDIF($C$27,X416+1,"m"))))&lt;0,0,IF(V417+W417+U417+T417+S417+R417+Q417=12,0,IF(X416&gt;$C$28,12-DATEDIF($C$28,X416+1,"m"),IF(X416&lt;$C$27,0,DATEDIF($C$27,X416+1,"m")))))</f>
        <v>0</v>
      </c>
      <c r="Y417" s="403">
        <f>IF(IF(Q417+W417+X417+V417+U417+T417+S417+R417=12,0,IF(Y416&gt;$C$28,12-DATEDIF($C$28,Y416+1,"m"),IF(Y416&lt;$C$27,0,DATEDIF($C$27,Y416+1,"m"))))&lt;0,0,IF(Q417+W417+X417+V417+U417+T417+S417+R417=12,0,IF(Y416&gt;$C$28,12-DATEDIF($C$28,Y416+1,"m"),IF(Y416&lt;$C$27,0,DATEDIF($C$27,Y416+1,"m")))))</f>
        <v>0</v>
      </c>
      <c r="Z417" s="403">
        <f>IF(IF(Q417+R417+X417+Y417+W417+V417+U417+T417+S417=12,0,IF(Z416&gt;$C$28,12-DATEDIF($C$28,Z416+1,"m"),IF(Z416&lt;$C$27,0,DATEDIF($C$27,Z416+1,"m"))))&lt;0,0,IF(+Q417+R417+X417+Y417+W417+V417+U417+T417+S417=12,0,IF(Z416&gt;$C$28,12-DATEDIF($C$28,Z416+1,"m"),IF(Z416&lt;$C$27,0,DATEDIF($C$27,Z416+1,"m")))))</f>
        <v>0</v>
      </c>
      <c r="AA417" s="403"/>
      <c r="AB417" s="403"/>
      <c r="AC417" s="403"/>
      <c r="AD417" s="403"/>
      <c r="AE417" s="403"/>
      <c r="AF417" s="403"/>
      <c r="AG417" s="403"/>
      <c r="AH417" s="423">
        <f>SUM(Q417:AG417)</f>
        <v>0</v>
      </c>
      <c r="AI417" s="403">
        <f t="shared" si="195"/>
        <v>0</v>
      </c>
      <c r="AJ417" s="403">
        <f t="shared" si="195"/>
        <v>0</v>
      </c>
      <c r="AK417" s="403">
        <f t="shared" si="195"/>
        <v>0</v>
      </c>
      <c r="AL417" s="403">
        <f t="shared" si="195"/>
        <v>0</v>
      </c>
      <c r="AM417" s="403">
        <f t="shared" si="195"/>
        <v>0</v>
      </c>
      <c r="AN417" s="403">
        <f t="shared" si="195"/>
        <v>0</v>
      </c>
      <c r="AO417" s="403">
        <f t="shared" si="195"/>
        <v>0</v>
      </c>
      <c r="AP417" s="403">
        <f t="shared" si="195"/>
        <v>0</v>
      </c>
      <c r="AQ417" s="403">
        <f t="shared" si="195"/>
        <v>0</v>
      </c>
      <c r="AR417" s="403">
        <f t="shared" si="195"/>
        <v>0</v>
      </c>
      <c r="AS417" s="403">
        <f t="shared" si="196"/>
        <v>0</v>
      </c>
      <c r="AT417" s="403">
        <f t="shared" si="196"/>
        <v>0</v>
      </c>
      <c r="AU417" s="403">
        <f t="shared" si="196"/>
        <v>0</v>
      </c>
      <c r="AV417" s="403">
        <f t="shared" si="196"/>
        <v>0</v>
      </c>
      <c r="AW417" s="403">
        <f t="shared" si="196"/>
        <v>0</v>
      </c>
      <c r="AX417" s="403">
        <f t="shared" si="196"/>
        <v>0</v>
      </c>
      <c r="AY417" s="403">
        <f t="shared" si="196"/>
        <v>0</v>
      </c>
      <c r="AZ417" s="403">
        <f>SUM(AI417:AY417)</f>
        <v>0</v>
      </c>
    </row>
    <row r="418" spans="15:52" ht="18" hidden="1" customHeight="1">
      <c r="P418" s="207">
        <f t="shared" si="194"/>
        <v>1</v>
      </c>
      <c r="Q418" s="404">
        <f>IF(Q417=0,0,(IF(($C$152+$B$152)&lt;=25000,(($C$152/+$AH417)*Q417)*VLOOKUP('1. SUMMARY'!$C$20,rate,Sheet1!T$21,0),((IF($B$152&gt;=25000,0,((25000-$B$152)/+$AH417)*Q417)*VLOOKUP('1. SUMMARY'!$C$20,rate,Sheet1!T$21,0))))))</f>
        <v>0</v>
      </c>
      <c r="R418" s="404">
        <f>IF(R417=0,0,(IF(($C$152+$B$152)&lt;=25000,(($C$152/+$AH417)*R417)*VLOOKUP('1. SUMMARY'!$C$20,rate,Sheet1!U$21,0),((IF($B$152&gt;=25000,0,((25000-$B$152)/+$AH417)*R417)*VLOOKUP('1. SUMMARY'!$C$20,rate,Sheet1!U$21,0))))))</f>
        <v>0</v>
      </c>
      <c r="S418" s="404">
        <f>IF(S417=0,0,(IF(($C$152+$B$152)&lt;=25000,(($C$152/+$AH417)*S417)*VLOOKUP('1. SUMMARY'!$C$20,rate,Sheet1!V$21,0),((IF($B$152&gt;=25000,0,((25000-$B$152)/+$AH417)*S417)*VLOOKUP('1. SUMMARY'!$C$20,rate,Sheet1!V$21,0))))))</f>
        <v>0</v>
      </c>
      <c r="T418" s="404">
        <f>IF(T417=0,0,(IF(($C$152+$B$152)&lt;=25000,(($C$152/+$AH417)*T417)*VLOOKUP('1. SUMMARY'!$C$20,rate,Sheet1!W$21,0),((IF($B$152&gt;=25000,0,((25000-$B$152)/+$AH417)*T417)*VLOOKUP('1. SUMMARY'!$C$20,rate,Sheet1!W$21,0))))))</f>
        <v>0</v>
      </c>
      <c r="U418" s="404">
        <f>IF(U417=0,0,(IF(($C$152+$B$152)&lt;=25000,(($C$152/+$AH417)*U417)*VLOOKUP('1. SUMMARY'!$C$20,rate,Sheet1!X$21,0),((IF($B$152&gt;=25000,0,((25000-$B$152)/+$AH417)*U417)*VLOOKUP('1. SUMMARY'!$C$20,rate,Sheet1!X$21,0))))))</f>
        <v>0</v>
      </c>
      <c r="V418" s="404">
        <f>IF(V417=0,0,(IF(($C$152+$B$152)&lt;=25000,(($C$152/+$AH417)*V417)*VLOOKUP('1. SUMMARY'!$C$20,rate,Sheet1!Y$21,0),((IF($B$152&gt;=25000,0,((25000-$B$152)/+$AH417)*V417)*VLOOKUP('1. SUMMARY'!$C$20,rate,Sheet1!Y$21,0))))))</f>
        <v>0</v>
      </c>
      <c r="W418" s="404">
        <f>IF(W417=0,0,(IF(($C$152+$B$152)&lt;=25000,(($C$152/+$AH417)*W417)*VLOOKUP('1. SUMMARY'!$C$20,rate,Sheet1!Z$21,0),((IF($B$152&gt;=25000,0,((25000-$B$152)/+$AH417)*W417)*VLOOKUP('1. SUMMARY'!$C$20,rate,Sheet1!Z$21,0))))))</f>
        <v>0</v>
      </c>
      <c r="X418" s="404">
        <f>IF(X417=0,0,(IF(($C$152+$B$152)&lt;=25000,(($C$152/+$AH417)*X417)*VLOOKUP('1. SUMMARY'!$C$20,rate,Sheet1!AA$21,0),((IF($B$152&gt;=25000,0,((25000-$B$152)/+$AH417)*X417)*VLOOKUP('1. SUMMARY'!$C$20,rate,Sheet1!AA$21,0))))))</f>
        <v>0</v>
      </c>
      <c r="Y418" s="404">
        <f>IF(Y417=0,0,(IF(($C$152+$B$152)&lt;=25000,(($C$152/+$AH417)*Y417)*VLOOKUP('1. SUMMARY'!$C$20,rate,Sheet1!AB$21,0),((IF($B$152&gt;=25000,0,((25000-$B$152)/+$AH417)*Y417)*VLOOKUP('1. SUMMARY'!$C$20,rate,Sheet1!AB$21,0))))))</f>
        <v>0</v>
      </c>
      <c r="Z418" s="404">
        <f>IF(Z417=0,0,(IF(($C$152+$B$152)&lt;=25000,(($C$152/+$AH417)*Z417)*VLOOKUP('1. SUMMARY'!$C$20,rate,Sheet1!AC$21,0),((IF($B$152&gt;=25000,0,((25000-$B$152)/+$AH417)*Z417)*VLOOKUP('1. SUMMARY'!$C$20,rate,Sheet1!AC$21,0))))))</f>
        <v>0</v>
      </c>
      <c r="AA418" s="404">
        <f>IF(AA417=0,0,(IF(($C$152+$B$152)&lt;=25000,(($C$152/+$AH417)*AA417)*VLOOKUP('1. SUMMARY'!$C$20,rate,Sheet1!AD$21,0),((IF($B$152&gt;=25000,0,((25000-$B$152)/+$AH417)*AA417)*VLOOKUP('1. SUMMARY'!$C$20,rate,Sheet1!AD$21,0))))))</f>
        <v>0</v>
      </c>
      <c r="AB418" s="404">
        <f>IF(AB417=0,0,(IF(($C$152+$B$152)&lt;=25000,(($C$152/+$AH417)*AB417)*VLOOKUP('1. SUMMARY'!$C$20,rate,Sheet1!AE$21,0),((IF($B$152&gt;=25000,0,((25000-$B$152)/+$AH417)*AB417)*VLOOKUP('1. SUMMARY'!$C$20,rate,Sheet1!AE$21,0))))))</f>
        <v>0</v>
      </c>
      <c r="AC418" s="404">
        <f>IF(AC417=0,0,(IF(($C$152+$B$152)&lt;=25000,(($C$152/+$AH417)*AC417)*VLOOKUP('1. SUMMARY'!$C$20,rate,Sheet1!AF$21,0),((IF($B$152&gt;=25000,0,((25000-$B$152)/+$AH417)*AC417)*VLOOKUP('1. SUMMARY'!$C$20,rate,Sheet1!AF$21,0))))))</f>
        <v>0</v>
      </c>
      <c r="AD418" s="404">
        <f>IF(AD417=0,0,(IF(($C$152+$B$152)&lt;=25000,(($C$152/+$AH417)*AD417)*VLOOKUP('1. SUMMARY'!$C$20,rate,Sheet1!AG$21,0),((IF($B$152&gt;=25000,0,((25000-$B$152)/+$AH417)*AD417)*VLOOKUP('1. SUMMARY'!$C$20,rate,Sheet1!AG$21,0))))))</f>
        <v>0</v>
      </c>
      <c r="AE418" s="404">
        <f>IF(AE417=0,0,(IF(($C$152+$B$152)&lt;=25000,(($C$152/+$AH417)*AE417)*VLOOKUP('1. SUMMARY'!$C$20,rate,Sheet1!AH$21,0),((IF($B$152&gt;=25000,0,((25000-$B$152)/+$AH417)*AE417)*VLOOKUP('1. SUMMARY'!$C$20,rate,Sheet1!AH$21,0))))))</f>
        <v>0</v>
      </c>
      <c r="AF418" s="404">
        <f>IF(AF417=0,0,(IF(($C$152+$B$152)&lt;=25000,(($C$152/+$AH417)*AF417)*VLOOKUP('1. SUMMARY'!$C$20,rate,Sheet1!AI$21,0),((IF($B$152&gt;=25000,0,((25000-$B$152)/+$AH417)*AF417)*VLOOKUP('1. SUMMARY'!$C$20,rate,Sheet1!AI$21,0))))))</f>
        <v>0</v>
      </c>
      <c r="AG418" s="404">
        <f>IF(AG417=0,0,(IF(($C$152+$B$152)&lt;=25000,(($C$152/+$AH417)*AG417)*VLOOKUP('1. SUMMARY'!$C$20,rate,Sheet1!AJ$21,0),((IF($B$152&gt;=25000,0,((25000-$B$152)/+$AH417)*AG417)*VLOOKUP('1. SUMMARY'!$C$20,rate,Sheet1!AJ$21,0))))))</f>
        <v>0</v>
      </c>
      <c r="AH418" s="219">
        <f>SUM(Q418:AG418)</f>
        <v>0</v>
      </c>
      <c r="AI418" s="404">
        <f>IF(AI417=0,0,((+$C152/$AZ417)*AI417)*VLOOKUP('1. SUMMARY'!$C$20,rate,Sheet1!T$21,0))</f>
        <v>0</v>
      </c>
      <c r="AJ418" s="404">
        <f>IF(AJ417=0,0,((+$C152/$AZ417)*AJ417)*VLOOKUP('1. SUMMARY'!$C$20,rate,Sheet1!U$21,0))</f>
        <v>0</v>
      </c>
      <c r="AK418" s="404">
        <f>IF(AK417=0,0,((+$C152/$AZ417)*AK417)*VLOOKUP('1. SUMMARY'!$C$20,rate,Sheet1!V$21,0))</f>
        <v>0</v>
      </c>
      <c r="AL418" s="404">
        <f>IF(AL417=0,0,((+$C152/$AZ417)*AL417)*VLOOKUP('1. SUMMARY'!$C$20,rate,Sheet1!W$21,0))</f>
        <v>0</v>
      </c>
      <c r="AM418" s="404">
        <f>IF(AM417=0,0,((+$C152/$AZ417)*AM417)*VLOOKUP('1. SUMMARY'!$C$20,rate,Sheet1!X$21,0))</f>
        <v>0</v>
      </c>
      <c r="AN418" s="404">
        <f>IF(AN417=0,0,((+$C152/$AZ417)*AN417)*VLOOKUP('1. SUMMARY'!$C$20,rate,Sheet1!Y$21,0))</f>
        <v>0</v>
      </c>
      <c r="AO418" s="404">
        <f>IF(AO417=0,0,((+$C152/$AZ417)*AO417)*VLOOKUP('1. SUMMARY'!$C$20,rate,Sheet1!Z$21,0))</f>
        <v>0</v>
      </c>
      <c r="AP418" s="404">
        <f>IF(AP417=0,0,((+$C152/$AZ417)*AP417)*VLOOKUP('1. SUMMARY'!$C$20,rate,Sheet1!AA$21,0))</f>
        <v>0</v>
      </c>
      <c r="AQ418" s="404">
        <f>IF(AQ417=0,0,((+$C152/$AZ417)*AQ417)*VLOOKUP('1. SUMMARY'!$C$20,rate,Sheet1!AB$21,0))</f>
        <v>0</v>
      </c>
      <c r="AR418" s="404">
        <f>IF(AR417=0,0,((+$C152/$AZ417)*AR417)*VLOOKUP('1. SUMMARY'!$C$20,rate,Sheet1!AC$21,0))</f>
        <v>0</v>
      </c>
      <c r="AS418" s="404">
        <f>IF(AS417=0,0,((+$C152/$AZ417)*AS417)*VLOOKUP('1. SUMMARY'!$C$20,rate,Sheet1!AD$21,0))</f>
        <v>0</v>
      </c>
      <c r="AT418" s="404">
        <f>IF(AT417=0,0,((+$C152/$AZ417)*AT417)*VLOOKUP('1. SUMMARY'!$C$20,rate,Sheet1!AE$21,0))</f>
        <v>0</v>
      </c>
      <c r="AU418" s="404">
        <f>IF(AU417=0,0,((+$C152/$AZ417)*AU417)*VLOOKUP('1. SUMMARY'!$C$20,rate,Sheet1!AF$21,0))</f>
        <v>0</v>
      </c>
      <c r="AV418" s="404">
        <f>IF(AV417=0,0,((+$C152/$AZ417)*AV417)*VLOOKUP('1. SUMMARY'!$C$20,rate,Sheet1!AG$21,0))</f>
        <v>0</v>
      </c>
      <c r="AW418" s="404">
        <f>IF(AW417=0,0,((+$C152/$AZ417)*AW417)*VLOOKUP('1. SUMMARY'!$C$20,rate,Sheet1!AH$21,0))</f>
        <v>0</v>
      </c>
      <c r="AX418" s="404">
        <f>IF(AX417=0,0,((+$C152/$AZ417)*AX417)*VLOOKUP('1. SUMMARY'!$C$20,rate,Sheet1!AI$21,0))</f>
        <v>0</v>
      </c>
      <c r="AY418" s="404">
        <f>IF(AY417=0,0,((+$C152/$AZ417)*AY417)*VLOOKUP('1. SUMMARY'!$C$20,rate,Sheet1!AJ$21,0))</f>
        <v>0</v>
      </c>
      <c r="AZ418" s="404">
        <f>SUM(AI418:AY418)</f>
        <v>0</v>
      </c>
    </row>
    <row r="419" spans="15:52" ht="15" hidden="1" customHeight="1">
      <c r="P419" s="207">
        <f t="shared" si="194"/>
        <v>1</v>
      </c>
      <c r="Q419" s="404">
        <f>+Q418/VLOOKUP('1. SUMMARY'!$C$20,rate,Sheet1!T$21,0)</f>
        <v>0</v>
      </c>
      <c r="R419" s="404">
        <f>+R418/VLOOKUP('1. SUMMARY'!$C$20,rate,Sheet1!U$21,0)</f>
        <v>0</v>
      </c>
      <c r="S419" s="404">
        <f>+S418/VLOOKUP('1. SUMMARY'!$C$20,rate,Sheet1!V$21,0)</f>
        <v>0</v>
      </c>
      <c r="T419" s="404">
        <f>+T418/VLOOKUP('1. SUMMARY'!$C$20,rate,Sheet1!W$21,0)</f>
        <v>0</v>
      </c>
      <c r="U419" s="404">
        <f>+U418/VLOOKUP('1. SUMMARY'!$C$20,rate,Sheet1!X$21,0)</f>
        <v>0</v>
      </c>
      <c r="V419" s="404">
        <f>+V418/VLOOKUP('1. SUMMARY'!$C$20,rate,Sheet1!Y$21,0)</f>
        <v>0</v>
      </c>
      <c r="W419" s="404">
        <f>+W418/VLOOKUP('1. SUMMARY'!$C$20,rate,Sheet1!Z$21,0)</f>
        <v>0</v>
      </c>
      <c r="X419" s="404">
        <f>+X418/VLOOKUP('1. SUMMARY'!$C$20,rate,Sheet1!AA$21,0)</f>
        <v>0</v>
      </c>
      <c r="Y419" s="404">
        <f>+Y418/VLOOKUP('1. SUMMARY'!$C$20,rate,Sheet1!AB$21,0)</f>
        <v>0</v>
      </c>
      <c r="Z419" s="404">
        <f>+Z418/VLOOKUP('1. SUMMARY'!$C$20,rate,Sheet1!AC$21,0)</f>
        <v>0</v>
      </c>
      <c r="AA419" s="404">
        <f>+AA418/VLOOKUP('1. SUMMARY'!$C$20,rate,Sheet1!AD$21,0)</f>
        <v>0</v>
      </c>
      <c r="AB419" s="404">
        <f>+AB418/VLOOKUP('1. SUMMARY'!$C$20,rate,Sheet1!AE$21,0)</f>
        <v>0</v>
      </c>
      <c r="AC419" s="404">
        <f>+AC418/VLOOKUP('1. SUMMARY'!$C$20,rate,Sheet1!AF$21,0)</f>
        <v>0</v>
      </c>
      <c r="AD419" s="404">
        <f>+AD418/VLOOKUP('1. SUMMARY'!$C$20,rate,Sheet1!AG$21,0)</f>
        <v>0</v>
      </c>
      <c r="AE419" s="404">
        <f>+AE418/VLOOKUP('1. SUMMARY'!$C$20,rate,Sheet1!AH$21,0)</f>
        <v>0</v>
      </c>
      <c r="AF419" s="404">
        <f>+AF418/VLOOKUP('1. SUMMARY'!$C$20,rate,Sheet1!AI$21,0)</f>
        <v>0</v>
      </c>
      <c r="AG419" s="404">
        <f>+AG418/VLOOKUP('1. SUMMARY'!$C$20,rate,Sheet1!AJ$21,0)</f>
        <v>0</v>
      </c>
      <c r="AH419" s="219"/>
      <c r="AI419" s="404">
        <v>0</v>
      </c>
      <c r="AJ419" s="404">
        <v>0</v>
      </c>
      <c r="AK419" s="404">
        <v>0</v>
      </c>
      <c r="AL419" s="404">
        <v>0</v>
      </c>
      <c r="AM419" s="404">
        <v>0</v>
      </c>
      <c r="AN419" s="404">
        <v>0</v>
      </c>
      <c r="AO419" s="404">
        <v>0</v>
      </c>
      <c r="AP419" s="404">
        <v>0</v>
      </c>
      <c r="AQ419" s="404"/>
      <c r="AR419" s="404"/>
      <c r="AS419" s="404"/>
      <c r="AT419" s="404"/>
      <c r="AU419" s="404"/>
      <c r="AV419" s="404"/>
      <c r="AW419" s="404"/>
      <c r="AX419" s="404"/>
      <c r="AY419" s="404"/>
      <c r="AZ419" s="404"/>
    </row>
    <row r="420" spans="15:52" ht="15" hidden="1" customHeight="1">
      <c r="P420" s="207">
        <f t="shared" ref="P420:P444" si="197">IF(Q570=39356,(+P419+1),P419)</f>
        <v>1</v>
      </c>
      <c r="Q420" s="399">
        <f>Sheet1!$T$8</f>
        <v>44105</v>
      </c>
      <c r="R420" s="399">
        <f>Sheet1!$U$8</f>
        <v>44470</v>
      </c>
      <c r="S420" s="399">
        <f>Sheet1!$V$8</f>
        <v>44835</v>
      </c>
      <c r="T420" s="399">
        <f>Sheet1!$W$8</f>
        <v>45200</v>
      </c>
      <c r="U420" s="399">
        <f>Sheet1!$X$8</f>
        <v>45566</v>
      </c>
      <c r="V420" s="399">
        <f>Sheet1!$Y$8</f>
        <v>45931</v>
      </c>
      <c r="W420" s="399">
        <f>Sheet1!$Z$8</f>
        <v>46296</v>
      </c>
      <c r="X420" s="399">
        <f>Sheet1!$AA$8</f>
        <v>46661</v>
      </c>
      <c r="Y420" s="399">
        <f>Sheet1!$AB$8</f>
        <v>47027</v>
      </c>
      <c r="Z420" s="399">
        <f>Sheet1!$AC$8</f>
        <v>47392</v>
      </c>
      <c r="AA420" s="399">
        <f>$AA$5</f>
        <v>47757</v>
      </c>
      <c r="AB420" s="399">
        <f>$AB$5</f>
        <v>48122</v>
      </c>
      <c r="AC420" s="399">
        <f>$AC$5</f>
        <v>48488</v>
      </c>
      <c r="AD420" s="399">
        <f>$AD$5</f>
        <v>48853</v>
      </c>
      <c r="AE420" s="399">
        <f>$AE$5</f>
        <v>49218</v>
      </c>
      <c r="AF420" s="399">
        <f>$AF$5</f>
        <v>49583</v>
      </c>
      <c r="AG420" s="399">
        <f>$AG$5</f>
        <v>49949</v>
      </c>
      <c r="AH420" s="211"/>
      <c r="AI420" s="399">
        <f t="shared" ref="AI420:AR422" si="198">+Q420</f>
        <v>44105</v>
      </c>
      <c r="AJ420" s="399">
        <f t="shared" si="198"/>
        <v>44470</v>
      </c>
      <c r="AK420" s="399">
        <f t="shared" si="198"/>
        <v>44835</v>
      </c>
      <c r="AL420" s="399">
        <f t="shared" si="198"/>
        <v>45200</v>
      </c>
      <c r="AM420" s="399">
        <f t="shared" si="198"/>
        <v>45566</v>
      </c>
      <c r="AN420" s="399">
        <f t="shared" si="198"/>
        <v>45931</v>
      </c>
      <c r="AO420" s="399">
        <f t="shared" si="198"/>
        <v>46296</v>
      </c>
      <c r="AP420" s="399">
        <f t="shared" si="198"/>
        <v>46661</v>
      </c>
      <c r="AQ420" s="399">
        <f t="shared" si="198"/>
        <v>47027</v>
      </c>
      <c r="AR420" s="399">
        <f t="shared" si="198"/>
        <v>47392</v>
      </c>
      <c r="AS420" s="399">
        <f t="shared" ref="AS420:AY422" si="199">+AA420</f>
        <v>47757</v>
      </c>
      <c r="AT420" s="399">
        <f t="shared" si="199"/>
        <v>48122</v>
      </c>
      <c r="AU420" s="399">
        <f t="shared" si="199"/>
        <v>48488</v>
      </c>
      <c r="AV420" s="399">
        <f t="shared" si="199"/>
        <v>48853</v>
      </c>
      <c r="AW420" s="399">
        <f t="shared" si="199"/>
        <v>49218</v>
      </c>
      <c r="AX420" s="399">
        <f t="shared" si="199"/>
        <v>49583</v>
      </c>
      <c r="AY420" s="399">
        <f t="shared" si="199"/>
        <v>49949</v>
      </c>
      <c r="AZ420" s="399"/>
    </row>
    <row r="421" spans="15:52" ht="15" hidden="1" customHeight="1">
      <c r="P421" s="207">
        <f t="shared" si="197"/>
        <v>1</v>
      </c>
      <c r="Q421" s="399">
        <f>Sheet1!$T$9</f>
        <v>44469</v>
      </c>
      <c r="R421" s="399">
        <f>Sheet1!$U$9</f>
        <v>44834</v>
      </c>
      <c r="S421" s="399">
        <f>Sheet1!$V$9</f>
        <v>45199</v>
      </c>
      <c r="T421" s="399">
        <f>Sheet1!$W$9</f>
        <v>45565</v>
      </c>
      <c r="U421" s="399">
        <f>Sheet1!$X$9</f>
        <v>45930</v>
      </c>
      <c r="V421" s="399">
        <f>Sheet1!$Y$9</f>
        <v>46295</v>
      </c>
      <c r="W421" s="399">
        <f>Sheet1!$Z$9</f>
        <v>46660</v>
      </c>
      <c r="X421" s="399">
        <f>Sheet1!$AA$9</f>
        <v>47026</v>
      </c>
      <c r="Y421" s="399">
        <f>Sheet1!$AB$9</f>
        <v>47391</v>
      </c>
      <c r="Z421" s="399">
        <f>Sheet1!$AC$9</f>
        <v>47756</v>
      </c>
      <c r="AA421" s="399">
        <f>$AA$6</f>
        <v>48121</v>
      </c>
      <c r="AB421" s="399">
        <f>$AB$6</f>
        <v>48487</v>
      </c>
      <c r="AC421" s="399">
        <f>$AC$6</f>
        <v>48852</v>
      </c>
      <c r="AD421" s="399">
        <f>$AD$6</f>
        <v>49217</v>
      </c>
      <c r="AE421" s="399">
        <f>$AE$6</f>
        <v>49582</v>
      </c>
      <c r="AF421" s="399">
        <f>$AF$6</f>
        <v>49948</v>
      </c>
      <c r="AG421" s="399">
        <f>$AG$6</f>
        <v>50313</v>
      </c>
      <c r="AH421" s="211"/>
      <c r="AI421" s="399">
        <f t="shared" si="198"/>
        <v>44469</v>
      </c>
      <c r="AJ421" s="399">
        <f t="shared" si="198"/>
        <v>44834</v>
      </c>
      <c r="AK421" s="399">
        <f t="shared" si="198"/>
        <v>45199</v>
      </c>
      <c r="AL421" s="399">
        <f t="shared" si="198"/>
        <v>45565</v>
      </c>
      <c r="AM421" s="399">
        <f t="shared" si="198"/>
        <v>45930</v>
      </c>
      <c r="AN421" s="399">
        <f t="shared" si="198"/>
        <v>46295</v>
      </c>
      <c r="AO421" s="399">
        <f t="shared" si="198"/>
        <v>46660</v>
      </c>
      <c r="AP421" s="399">
        <f t="shared" si="198"/>
        <v>47026</v>
      </c>
      <c r="AQ421" s="399">
        <f t="shared" si="198"/>
        <v>47391</v>
      </c>
      <c r="AR421" s="399">
        <f t="shared" si="198"/>
        <v>47756</v>
      </c>
      <c r="AS421" s="399">
        <f t="shared" si="199"/>
        <v>48121</v>
      </c>
      <c r="AT421" s="399">
        <f t="shared" si="199"/>
        <v>48487</v>
      </c>
      <c r="AU421" s="399">
        <f t="shared" si="199"/>
        <v>48852</v>
      </c>
      <c r="AV421" s="399">
        <f t="shared" si="199"/>
        <v>49217</v>
      </c>
      <c r="AW421" s="399">
        <f t="shared" si="199"/>
        <v>49582</v>
      </c>
      <c r="AX421" s="399">
        <f t="shared" si="199"/>
        <v>49948</v>
      </c>
      <c r="AY421" s="399">
        <f t="shared" si="199"/>
        <v>50313</v>
      </c>
      <c r="AZ421" s="399"/>
    </row>
    <row r="422" spans="15:52" ht="15" hidden="1" customHeight="1">
      <c r="O422" s="207" t="s">
        <v>260</v>
      </c>
      <c r="P422" s="207">
        <f t="shared" si="197"/>
        <v>1</v>
      </c>
      <c r="Q422" s="400">
        <f>IF(IF(Q421&lt;$D$27,0,DATEDIF($D$27,Q421+1,"m"))&lt;0,0,IF(Q421&lt;$D$27,0,DATEDIF($D$27,Q421+1,"m")))</f>
        <v>0</v>
      </c>
      <c r="R422" s="400">
        <f>IF(IF(Q422=12,0,IF(R421&gt;$D$28,12-DATEDIF($D$28,R421+1,"m"),IF(R421&lt;$D$27,0,DATEDIF($D$27,R421+1,"m"))))&lt;0,0,IF(Q422=12,0,IF(R421&gt;$D$28,12-DATEDIF($D$28,R421+1,"m"),IF(R421&lt;$D$27,0,DATEDIF($D$27,R421+1,"m")))))</f>
        <v>0</v>
      </c>
      <c r="S422" s="400">
        <f>IF(IF(Q422+R422=12,0,IF(S421&gt;$D$28,12-DATEDIF($D$28,S421+1,"m"),IF(S421&lt;$D$27,0,DATEDIF($D$27,S421+1,"m"))))&lt;0,0,IF(Q422+R422=12,0,IF(S421&gt;$D$28,12-DATEDIF($D$28,S421+1,"m"),IF(S421&lt;$D$27,0,DATEDIF($D$27,S421+1,"m")))))</f>
        <v>0</v>
      </c>
      <c r="T422" s="400">
        <f>IF(IF(R422+S422+Q422=12,0,IF(T421&gt;$D$28,12-DATEDIF($D$28,T421+1,"m"),IF(T421&lt;$D$27,0,DATEDIF($D$27,T421+1,"m"))))&lt;0,0,IF(R422+S422+Q422=12,0,IF(T421&gt;$D$28,12-DATEDIF($D$28,T421+1,"m"),IF(T421&lt;$D$27,0,DATEDIF($D$27,T421+1,"m")))))</f>
        <v>0</v>
      </c>
      <c r="U422" s="400">
        <f>IF(IF(S422+T422+R422+Q422=12,0,IF(U421&gt;$D$28,12-DATEDIF($D$28,U421+1,"m"),IF(U421&lt;$D$27,0,DATEDIF($D$27,U421+1,"m"))))&lt;0,0,IF(S422+T422+R422+Q422=12,0,IF(U421&gt;$D$28,12-DATEDIF($D$28,U421+1,"m"),IF(U421&lt;$D$27,0,DATEDIF($D$27,U421+1,"m")))))</f>
        <v>0</v>
      </c>
      <c r="V422" s="400">
        <f>IF(IF(T422+U422+S422+R422+Q422=12,0,IF(V421&gt;$D$28,12-DATEDIF($D$28,V421+1,"m"),IF(V421&lt;$D$27,0,DATEDIF($D$27,V421+1,"m"))))&lt;0,0,IF(T422+U422+S422+R422+Q422=12,0,IF(V421&gt;$D$28,12-DATEDIF($D$28,V421+1,"m"),IF(V421&lt;$D$27,0,DATEDIF($D$27,V421+1,"m")))))</f>
        <v>0</v>
      </c>
      <c r="W422" s="400">
        <f>IF(IF(U422+V422+T422+S422+R422+Q422=12,0,IF(W421&gt;$D$28,12-DATEDIF($D$28,W421+1,"m"),IF(W421&lt;$D$27,0,DATEDIF($D$27,W421+1,"m"))))&lt;0,0,IF(U422+V422+T422+S422+R422+Q422=12,0,IF(W421&gt;$D$28,12-DATEDIF($D$28,W421+1,"m"),IF(W421&lt;$D$27,0,DATEDIF($D$27,W421+1,"m")))))</f>
        <v>0</v>
      </c>
      <c r="X422" s="400">
        <f>IF(IF(V422+W422+U422+T422+S422+R422+Q422=12,0,IF(X421&gt;$D$28,12-DATEDIF($D$28,X421+1,"m"),IF(X421&lt;$D$27,0,DATEDIF($D$27,X421+1,"m"))))&lt;0,0,IF(V422+W422+U422+T422+S422+R422+Q422=12,0,IF(X421&gt;$D$28,1-DATEDIF($D$28,X421+1,"m"),IF(X421&lt;$D$27,0,DATEDIF($D$27,X421+1,"m")))))</f>
        <v>0</v>
      </c>
      <c r="Y422" s="400">
        <f>IF(IF(Q422+W422+X422+V422+U422+T422+S422+R422=12,0,IF(Y421&gt;E246,12-DATEDIF(E246,Y421+1,"m"),IF(Y421&lt;E245,0,DATEDIF(E245,Y421+1,"m"))))&lt;0,0,IF(Q422+W422+X422+V422+U422+T422+S422+R422=12,0,IF(Y421&gt;E246,12-DATEDIF(E246,Y421+1,"m"),IF(Y421&lt;E245,0,DATEDIF(E245,Y421+1,"m")))))</f>
        <v>0</v>
      </c>
      <c r="Z422" s="400">
        <f>IF(IF(Q422+R422+X422+Y422+W422+V422+U422+T422+S422=12,0,IF(Z421&gt;F246,12-DATEDIF(F246,Z421+1,"m"),IF(Z421&lt;F245,0,DATEDIF(F245,Z421+1,"m"))))&lt;0,0,IF(Q422+R422+X422+Y422+W422+V422+U422+T422+S422=12,0,IF(Z421&gt;F246,12-DATEDIF(F246,Z421+1,"m"),IF(Z421&lt;F245,0,DATEDIF(F245,Z421+1,"m")))))</f>
        <v>0</v>
      </c>
      <c r="AA422" s="400"/>
      <c r="AB422" s="400"/>
      <c r="AC422" s="400"/>
      <c r="AD422" s="400"/>
      <c r="AE422" s="400"/>
      <c r="AF422" s="400"/>
      <c r="AG422" s="400"/>
      <c r="AH422" s="423">
        <f>SUM(Q422:AG422)</f>
        <v>0</v>
      </c>
      <c r="AI422" s="400">
        <f t="shared" si="198"/>
        <v>0</v>
      </c>
      <c r="AJ422" s="400">
        <f t="shared" si="198"/>
        <v>0</v>
      </c>
      <c r="AK422" s="400">
        <f t="shared" si="198"/>
        <v>0</v>
      </c>
      <c r="AL422" s="400">
        <f t="shared" si="198"/>
        <v>0</v>
      </c>
      <c r="AM422" s="400">
        <f t="shared" si="198"/>
        <v>0</v>
      </c>
      <c r="AN422" s="400">
        <f t="shared" si="198"/>
        <v>0</v>
      </c>
      <c r="AO422" s="400">
        <f t="shared" si="198"/>
        <v>0</v>
      </c>
      <c r="AP422" s="400">
        <f t="shared" si="198"/>
        <v>0</v>
      </c>
      <c r="AQ422" s="400">
        <f t="shared" si="198"/>
        <v>0</v>
      </c>
      <c r="AR422" s="400">
        <f t="shared" si="198"/>
        <v>0</v>
      </c>
      <c r="AS422" s="400">
        <f t="shared" si="199"/>
        <v>0</v>
      </c>
      <c r="AT422" s="400">
        <f t="shared" si="199"/>
        <v>0</v>
      </c>
      <c r="AU422" s="400">
        <f t="shared" si="199"/>
        <v>0</v>
      </c>
      <c r="AV422" s="400">
        <f t="shared" si="199"/>
        <v>0</v>
      </c>
      <c r="AW422" s="400">
        <f t="shared" si="199"/>
        <v>0</v>
      </c>
      <c r="AX422" s="400">
        <f t="shared" si="199"/>
        <v>0</v>
      </c>
      <c r="AY422" s="400">
        <f t="shared" si="199"/>
        <v>0</v>
      </c>
      <c r="AZ422" s="400">
        <f>SUM(AI422:AY422)</f>
        <v>0</v>
      </c>
    </row>
    <row r="423" spans="15:52" ht="15" hidden="1" customHeight="1">
      <c r="P423" s="207">
        <f t="shared" si="197"/>
        <v>1</v>
      </c>
      <c r="Q423" s="401">
        <f>IF(Q422=0,0,(IF(($C$152+$B$152+$D$152)&lt;=25000,(($D$152/+$AH422)*Q422)*VLOOKUP('1. SUMMARY'!$C$20,rate,Sheet1!T$21,0),((IF(($B$152+$C$152)&gt;=25000,0,(((25000-($B$152+$C$152))/+$AH422)*Q422)*VLOOKUP('1. SUMMARY'!$C$20,rate,Sheet1!T$21,0)))))))</f>
        <v>0</v>
      </c>
      <c r="R423" s="401">
        <f>IF(R422=0,0,(IF(($C$152+$B$152+$D$152)&lt;=25000,(($D$152/+$AH422)*R422)*VLOOKUP('1. SUMMARY'!$C$20,rate,Sheet1!U$21,0),((IF(($B$152+$C$152)&gt;=25000,0,(((25000-($B$152+$C$152))/+$AH422)*R422)*VLOOKUP('1. SUMMARY'!$C$20,rate,Sheet1!U$21,0)))))))</f>
        <v>0</v>
      </c>
      <c r="S423" s="401">
        <f>IF(S422=0,0,(IF(($C$152+$B$152+$D$152)&lt;=25000,(($D$152/+$AH422)*S422)*VLOOKUP('1. SUMMARY'!$C$20,rate,Sheet1!V$21,0),((IF(($B$152+$C$152)&gt;=25000,0,(((25000-($B$152+$C$152))/+$AH422)*S422)*VLOOKUP('1. SUMMARY'!$C$20,rate,Sheet1!V$21,0)))))))</f>
        <v>0</v>
      </c>
      <c r="T423" s="401">
        <f>IF(T422=0,0,(IF(($C$152+$B$152+$D$152)&lt;=25000,(($D$152/+$AH422)*T422)*VLOOKUP('1. SUMMARY'!$C$20,rate,Sheet1!W$21,0),((IF(($B$152+$C$152)&gt;=25000,0,(((25000-($B$152+$C$152))/+$AH422)*T422)*VLOOKUP('1. SUMMARY'!$C$20,rate,Sheet1!W$21,0)))))))</f>
        <v>0</v>
      </c>
      <c r="U423" s="401">
        <f>IF(U422=0,0,(IF(($C$152+$B$152+$D$152)&lt;=25000,(($D$152/+$AH422)*U422)*VLOOKUP('1. SUMMARY'!$C$20,rate,Sheet1!X$21,0),((IF(($B$152+$C$152)&gt;=25000,0,(((25000-($B$152+$C$152))/+$AH422)*U422)*VLOOKUP('1. SUMMARY'!$C$20,rate,Sheet1!X$21,0)))))))</f>
        <v>0</v>
      </c>
      <c r="V423" s="401">
        <f>IF(V422=0,0,(IF(($C$152+$B$152+$D$152)&lt;=25000,(($D$152/+$AH422)*V422)*VLOOKUP('1. SUMMARY'!$C$20,rate,Sheet1!Y$21,0),((IF(($B$152+$C$152)&gt;=25000,0,(((25000-($B$152+$C$152))/+$AH422)*V422)*VLOOKUP('1. SUMMARY'!$C$20,rate,Sheet1!Y$21,0)))))))</f>
        <v>0</v>
      </c>
      <c r="W423" s="401">
        <f>IF(W422=0,0,(IF(($C$152+$B$152+$D$152)&lt;=25000,(($D$152/+$AH422)*W422)*VLOOKUP('1. SUMMARY'!$C$20,rate,Sheet1!Z$21,0),((IF(($B$152+$C$152)&gt;=25000,0,(((25000-($B$152+$C$152))/+$AH422)*W422)*VLOOKUP('1. SUMMARY'!$C$20,rate,Sheet1!Z$21,0)))))))</f>
        <v>0</v>
      </c>
      <c r="X423" s="401">
        <f>IF(X422=0,0,(IF(($C$152+$B$152+$D$152)&lt;=25000,(($D$152/+$AH422)*X422)*VLOOKUP('1. SUMMARY'!$C$20,rate,Sheet1!AA$21,0),((IF(($B$152+$C$152)&gt;=25000,0,(((25000-($B$152+$C$152))/+$AH422)*X422)*VLOOKUP('1. SUMMARY'!$C$20,rate,Sheet1!AA$21,0)))))))</f>
        <v>0</v>
      </c>
      <c r="Y423" s="401">
        <f>IF(Y422=0,0,(IF(($C$152+$B$152+$D$152)&lt;=25000,(($D$152/+$AH422)*Y422)*VLOOKUP('1. SUMMARY'!$C$20,rate,Sheet1!AB$21,0),((IF(($B$152+$C$152)&gt;=25000,0,(((25000-($B$152+$C$152))/+$AH422)*Y422)*VLOOKUP('1. SUMMARY'!$C$20,rate,Sheet1!AB$21,0)))))))</f>
        <v>0</v>
      </c>
      <c r="Z423" s="401">
        <f>IF(Z422=0,0,(IF(($C$152+$B$152+$D$152)&lt;=25000,(($D$152/+$AH422)*Z422)*VLOOKUP('1. SUMMARY'!$C$20,rate,Sheet1!AC$21,0),((IF(($B$152+$C$152)&gt;=25000,0,(((25000-($B$152+$C$152))/+$AH422)*Z422)*VLOOKUP('1. SUMMARY'!$C$20,rate,Sheet1!AC$21,0)))))))</f>
        <v>0</v>
      </c>
      <c r="AA423" s="401">
        <f>IF(AA422=0,0,(IF(($C$152+$B$152+$D$152)&lt;=25000,(($D$152/+$AH422)*AA422)*VLOOKUP('1. SUMMARY'!$C$20,rate,Sheet1!AD$21,0),((IF(($B$152+$C$152)&gt;=25000,0,(((25000-($B$152+$C$152))/+$AH422)*AA422)*VLOOKUP('1. SUMMARY'!$C$20,rate,Sheet1!AD$21,0)))))))</f>
        <v>0</v>
      </c>
      <c r="AB423" s="401">
        <f>IF(AB422=0,0,(IF(($C$152+$B$152+$D$152)&lt;=25000,(($D$152/+$AH422)*AB422)*VLOOKUP('1. SUMMARY'!$C$20,rate,Sheet1!AE$21,0),((IF(($B$152+$C$152)&gt;=25000,0,(((25000-($B$152+$C$152))/+$AH422)*AB422)*VLOOKUP('1. SUMMARY'!$C$20,rate,Sheet1!AE$21,0)))))))</f>
        <v>0</v>
      </c>
      <c r="AC423" s="401">
        <f>IF(AC422=0,0,(IF(($C$152+$B$152+$D$152)&lt;=25000,(($D$152/+$AH422)*AC422)*VLOOKUP('1. SUMMARY'!$C$20,rate,Sheet1!AF$21,0),((IF(($B$152+$C$152)&gt;=25000,0,(((25000-($B$152+$C$152))/+$AH422)*AC422)*VLOOKUP('1. SUMMARY'!$C$20,rate,Sheet1!AF$21,0)))))))</f>
        <v>0</v>
      </c>
      <c r="AD423" s="401">
        <f>IF(AD422=0,0,(IF(($C$152+$B$152+$D$152)&lt;=25000,(($D$152/+$AH422)*AD422)*VLOOKUP('1. SUMMARY'!$C$20,rate,Sheet1!AG$21,0),((IF(($B$152+$C$152)&gt;=25000,0,(((25000-($B$152+$C$152))/+$AH422)*AD422)*VLOOKUP('1. SUMMARY'!$C$20,rate,Sheet1!AG$21,0)))))))</f>
        <v>0</v>
      </c>
      <c r="AE423" s="401">
        <f>IF(AE422=0,0,(IF(($C$152+$B$152+$D$152)&lt;=25000,(($D$152/+$AH422)*AE422)*VLOOKUP('1. SUMMARY'!$C$20,rate,Sheet1!AH$21,0),((IF(($B$152+$C$152)&gt;=25000,0,(((25000-($B$152+$C$152))/+$AH422)*AE422)*VLOOKUP('1. SUMMARY'!$C$20,rate,Sheet1!AH$21,0)))))))</f>
        <v>0</v>
      </c>
      <c r="AF423" s="401">
        <f>IF(AF422=0,0,(IF(($C$152+$B$152+$D$152)&lt;=25000,(($D$152/+$AH422)*AF422)*VLOOKUP('1. SUMMARY'!$C$20,rate,Sheet1!AI$21,0),((IF(($B$152+$C$152)&gt;=25000,0,(((25000-($B$152+$C$152))/+$AH422)*AF422)*VLOOKUP('1. SUMMARY'!$C$20,rate,Sheet1!AI$21,0)))))))</f>
        <v>0</v>
      </c>
      <c r="AG423" s="401">
        <f>IF(AG422=0,0,(IF(($C$152+$B$152+$D$152)&lt;=25000,(($D$152/+$AH422)*AG422)*VLOOKUP('1. SUMMARY'!$C$20,rate,Sheet1!AJ$21,0),((IF(($B$152+$C$152)&gt;=25000,0,(((25000-($B$152+$C$152))/+$AH422)*AG422)*VLOOKUP('1. SUMMARY'!$C$20,rate,Sheet1!AJ$21,0)))))))</f>
        <v>0</v>
      </c>
      <c r="AH423" s="219">
        <f>SUM(Q423:AG423)</f>
        <v>0</v>
      </c>
      <c r="AI423" s="401">
        <f>IF(Q422=0,0,((+$D152/$AZ$17)*AI422)*VLOOKUP('1. SUMMARY'!$C$20,rate,Sheet1!T$21,0))</f>
        <v>0</v>
      </c>
      <c r="AJ423" s="401">
        <f>IF(R422=0,0,((+$D152/$AZ$17)*AJ422)*VLOOKUP('1. SUMMARY'!$C$20,rate,Sheet1!U$21,0))</f>
        <v>0</v>
      </c>
      <c r="AK423" s="401">
        <f>IF(S422=0,0,((+$D152/$AZ$17)*AK422)*VLOOKUP('1. SUMMARY'!$C$20,rate,Sheet1!V$21,0))</f>
        <v>0</v>
      </c>
      <c r="AL423" s="401">
        <f>IF(T422=0,0,((+$D152/$AZ$17)*AL422)*VLOOKUP('1. SUMMARY'!$C$20,rate,Sheet1!W$21,0))</f>
        <v>0</v>
      </c>
      <c r="AM423" s="401">
        <f>IF(U422=0,0,((+$D152/$AZ$17)*AM422)*VLOOKUP('1. SUMMARY'!$C$20,rate,Sheet1!X$21,0))</f>
        <v>0</v>
      </c>
      <c r="AN423" s="401">
        <f>IF(V422=0,0,((+$D152/$AZ$17)*AN422)*VLOOKUP('1. SUMMARY'!$C$20,rate,Sheet1!Y$21,0))</f>
        <v>0</v>
      </c>
      <c r="AO423" s="401">
        <f>IF(W422=0,0,((+$D152/$AZ$17)*AO422)*VLOOKUP('1. SUMMARY'!$C$20,rate,Sheet1!Z$21,0))</f>
        <v>0</v>
      </c>
      <c r="AP423" s="401">
        <f>IF(X422=0,0,((+$D152/$AZ$17)*AP422)*VLOOKUP('1. SUMMARY'!$C$20,rate,Sheet1!AA$21,0))</f>
        <v>0</v>
      </c>
      <c r="AQ423" s="401">
        <f>IF(Y422=0,0,((+$D152/$AZ$17)*AQ422)*VLOOKUP('1. SUMMARY'!$C$20,rate,Sheet1!AB$21,0))</f>
        <v>0</v>
      </c>
      <c r="AR423" s="401">
        <f>IF(Z422=0,0,((+$D152/$AZ$17)*AR422)*VLOOKUP('1. SUMMARY'!$C$20,rate,Sheet1!AC$21,0))</f>
        <v>0</v>
      </c>
      <c r="AS423" s="401">
        <f>IF(AA422=0,0,((+$D152/$AZ$17)*AS422)*VLOOKUP('1. SUMMARY'!$C$20,rate,Sheet1!AD$21,0))</f>
        <v>0</v>
      </c>
      <c r="AT423" s="401">
        <f>IF(AB422=0,0,((+$D152/$AZ$17)*AT422)*VLOOKUP('1. SUMMARY'!$C$20,rate,Sheet1!AE$21,0))</f>
        <v>0</v>
      </c>
      <c r="AU423" s="401">
        <f>IF(AC422=0,0,((+$D152/$AZ$17)*AU422)*VLOOKUP('1. SUMMARY'!$C$20,rate,Sheet1!AF$21,0))</f>
        <v>0</v>
      </c>
      <c r="AV423" s="401">
        <f>IF(AD422=0,0,((+$D152/$AZ$17)*AV422)*VLOOKUP('1. SUMMARY'!$C$20,rate,Sheet1!AG$21,0))</f>
        <v>0</v>
      </c>
      <c r="AW423" s="401">
        <f>IF(AE422=0,0,((+$D152/$AZ$17)*AW422)*VLOOKUP('1. SUMMARY'!$C$20,rate,Sheet1!AH$21,0))</f>
        <v>0</v>
      </c>
      <c r="AX423" s="401">
        <f>IF(AF422=0,0,((+$D152/$AZ$17)*AX422)*VLOOKUP('1. SUMMARY'!$C$20,rate,Sheet1!AI$21,0))</f>
        <v>0</v>
      </c>
      <c r="AY423" s="401">
        <f>IF(AG422=0,0,((+$D152/$AZ$17)*AY422)*VLOOKUP('1. SUMMARY'!$C$20,rate,Sheet1!AJ$21,0))</f>
        <v>0</v>
      </c>
      <c r="AZ423" s="401">
        <f>SUM(AI423:AY423)</f>
        <v>0</v>
      </c>
    </row>
    <row r="424" spans="15:52" ht="15" hidden="1" customHeight="1">
      <c r="P424" s="207">
        <f t="shared" si="197"/>
        <v>1</v>
      </c>
      <c r="Q424" s="401">
        <f>+Q423/VLOOKUP('1. SUMMARY'!$C$20,rate,Sheet1!T$21,0)</f>
        <v>0</v>
      </c>
      <c r="R424" s="401">
        <f>+R423/VLOOKUP('1. SUMMARY'!$C$20,rate,Sheet1!U$21,0)</f>
        <v>0</v>
      </c>
      <c r="S424" s="401">
        <f>+S423/VLOOKUP('1. SUMMARY'!$C$20,rate,Sheet1!V$21,0)</f>
        <v>0</v>
      </c>
      <c r="T424" s="401">
        <f>+T423/VLOOKUP('1. SUMMARY'!$C$20,rate,Sheet1!W$21,0)</f>
        <v>0</v>
      </c>
      <c r="U424" s="401">
        <f>+U423/VLOOKUP('1. SUMMARY'!$C$20,rate,Sheet1!X$21,0)</f>
        <v>0</v>
      </c>
      <c r="V424" s="401">
        <f>+V423/VLOOKUP('1. SUMMARY'!$C$20,rate,Sheet1!Y$21,0)</f>
        <v>0</v>
      </c>
      <c r="W424" s="401">
        <f>+W423/VLOOKUP('1. SUMMARY'!$C$20,rate,Sheet1!Z$21,0)</f>
        <v>0</v>
      </c>
      <c r="X424" s="401">
        <f>+X423/VLOOKUP('1. SUMMARY'!$C$20,rate,Sheet1!AA$21,0)</f>
        <v>0</v>
      </c>
      <c r="Y424" s="401">
        <f>+Y423/VLOOKUP('1. SUMMARY'!$C$20,rate,Sheet1!AB$21,0)</f>
        <v>0</v>
      </c>
      <c r="Z424" s="401">
        <f>+Z423/VLOOKUP('1. SUMMARY'!$C$20,rate,Sheet1!AC$21,0)</f>
        <v>0</v>
      </c>
      <c r="AA424" s="401">
        <f>+AA423/VLOOKUP('1. SUMMARY'!$C$20,rate,Sheet1!AD$21,0)</f>
        <v>0</v>
      </c>
      <c r="AB424" s="401">
        <f>+AB423/VLOOKUP('1. SUMMARY'!$C$20,rate,Sheet1!AE$21,0)</f>
        <v>0</v>
      </c>
      <c r="AC424" s="401">
        <f>+AC423/VLOOKUP('1. SUMMARY'!$C$20,rate,Sheet1!AF$21,0)</f>
        <v>0</v>
      </c>
      <c r="AD424" s="401">
        <f>+AD423/VLOOKUP('1. SUMMARY'!$C$20,rate,Sheet1!AG$21,0)</f>
        <v>0</v>
      </c>
      <c r="AE424" s="401">
        <f>+AE423/VLOOKUP('1. SUMMARY'!$C$20,rate,Sheet1!AH$21,0)</f>
        <v>0</v>
      </c>
      <c r="AF424" s="401">
        <f>+AF423/VLOOKUP('1. SUMMARY'!$C$20,rate,Sheet1!AI$21,0)</f>
        <v>0</v>
      </c>
      <c r="AG424" s="401">
        <f>+AG423/VLOOKUP('1. SUMMARY'!$C$20,rate,Sheet1!AJ$21,0)</f>
        <v>0</v>
      </c>
      <c r="AH424" s="219"/>
      <c r="AI424" s="401">
        <v>0</v>
      </c>
      <c r="AJ424" s="401">
        <v>0</v>
      </c>
      <c r="AK424" s="401">
        <v>0</v>
      </c>
      <c r="AL424" s="401">
        <v>0</v>
      </c>
      <c r="AM424" s="401">
        <v>0</v>
      </c>
      <c r="AN424" s="401">
        <v>0</v>
      </c>
      <c r="AO424" s="401">
        <v>0</v>
      </c>
      <c r="AP424" s="401">
        <v>0</v>
      </c>
      <c r="AQ424" s="401"/>
      <c r="AR424" s="401"/>
      <c r="AS424" s="401"/>
      <c r="AT424" s="401"/>
      <c r="AU424" s="401"/>
      <c r="AV424" s="401"/>
      <c r="AW424" s="401"/>
      <c r="AX424" s="401"/>
      <c r="AY424" s="401"/>
      <c r="AZ424" s="401"/>
    </row>
    <row r="425" spans="15:52" ht="15" hidden="1" customHeight="1">
      <c r="P425" s="207">
        <f t="shared" si="197"/>
        <v>1</v>
      </c>
      <c r="Q425" s="405">
        <f>Sheet1!$T$8</f>
        <v>44105</v>
      </c>
      <c r="R425" s="405">
        <f>Sheet1!$U$8</f>
        <v>44470</v>
      </c>
      <c r="S425" s="405">
        <f>Sheet1!$V$8</f>
        <v>44835</v>
      </c>
      <c r="T425" s="405">
        <f>Sheet1!$W$8</f>
        <v>45200</v>
      </c>
      <c r="U425" s="405">
        <f>Sheet1!$X$8</f>
        <v>45566</v>
      </c>
      <c r="V425" s="405">
        <f>Sheet1!$Y$8</f>
        <v>45931</v>
      </c>
      <c r="W425" s="405">
        <f>Sheet1!$Z$8</f>
        <v>46296</v>
      </c>
      <c r="X425" s="405">
        <f>Sheet1!$AA$8</f>
        <v>46661</v>
      </c>
      <c r="Y425" s="405">
        <f>Sheet1!$AB$8</f>
        <v>47027</v>
      </c>
      <c r="Z425" s="405">
        <f>Sheet1!$AC$8</f>
        <v>47392</v>
      </c>
      <c r="AA425" s="405">
        <f>$AA$5</f>
        <v>47757</v>
      </c>
      <c r="AB425" s="405">
        <f>$AB$5</f>
        <v>48122</v>
      </c>
      <c r="AC425" s="405">
        <f>$AC$5</f>
        <v>48488</v>
      </c>
      <c r="AD425" s="405">
        <f>$AD$5</f>
        <v>48853</v>
      </c>
      <c r="AE425" s="405">
        <f>$AE$5</f>
        <v>49218</v>
      </c>
      <c r="AF425" s="405">
        <f>$AF$5</f>
        <v>49583</v>
      </c>
      <c r="AG425" s="405">
        <f>$AG$5</f>
        <v>49949</v>
      </c>
      <c r="AH425" s="211"/>
      <c r="AI425" s="405">
        <f t="shared" ref="AI425:AR427" si="200">+Q425</f>
        <v>44105</v>
      </c>
      <c r="AJ425" s="405">
        <f t="shared" si="200"/>
        <v>44470</v>
      </c>
      <c r="AK425" s="405">
        <f t="shared" si="200"/>
        <v>44835</v>
      </c>
      <c r="AL425" s="405">
        <f t="shared" si="200"/>
        <v>45200</v>
      </c>
      <c r="AM425" s="405">
        <f t="shared" si="200"/>
        <v>45566</v>
      </c>
      <c r="AN425" s="405">
        <f t="shared" si="200"/>
        <v>45931</v>
      </c>
      <c r="AO425" s="405">
        <f t="shared" si="200"/>
        <v>46296</v>
      </c>
      <c r="AP425" s="405">
        <f t="shared" si="200"/>
        <v>46661</v>
      </c>
      <c r="AQ425" s="405">
        <f t="shared" si="200"/>
        <v>47027</v>
      </c>
      <c r="AR425" s="405">
        <f t="shared" si="200"/>
        <v>47392</v>
      </c>
      <c r="AS425" s="405">
        <f t="shared" ref="AS425:AY427" si="201">+AA425</f>
        <v>47757</v>
      </c>
      <c r="AT425" s="405">
        <f t="shared" si="201"/>
        <v>48122</v>
      </c>
      <c r="AU425" s="405">
        <f t="shared" si="201"/>
        <v>48488</v>
      </c>
      <c r="AV425" s="405">
        <f t="shared" si="201"/>
        <v>48853</v>
      </c>
      <c r="AW425" s="405">
        <f t="shared" si="201"/>
        <v>49218</v>
      </c>
      <c r="AX425" s="405">
        <f t="shared" si="201"/>
        <v>49583</v>
      </c>
      <c r="AY425" s="405">
        <f t="shared" si="201"/>
        <v>49949</v>
      </c>
      <c r="AZ425" s="405"/>
    </row>
    <row r="426" spans="15:52" ht="15" hidden="1" customHeight="1">
      <c r="P426" s="207">
        <f t="shared" si="197"/>
        <v>1</v>
      </c>
      <c r="Q426" s="405">
        <f>Sheet1!$T$9</f>
        <v>44469</v>
      </c>
      <c r="R426" s="405">
        <f>Sheet1!$U$9</f>
        <v>44834</v>
      </c>
      <c r="S426" s="405">
        <f>Sheet1!$V$9</f>
        <v>45199</v>
      </c>
      <c r="T426" s="405">
        <f>Sheet1!$W$9</f>
        <v>45565</v>
      </c>
      <c r="U426" s="405">
        <f>Sheet1!$X$9</f>
        <v>45930</v>
      </c>
      <c r="V426" s="405">
        <f>Sheet1!$Y$9</f>
        <v>46295</v>
      </c>
      <c r="W426" s="405">
        <f>Sheet1!$Z$9</f>
        <v>46660</v>
      </c>
      <c r="X426" s="405">
        <f>Sheet1!$AA$9</f>
        <v>47026</v>
      </c>
      <c r="Y426" s="405">
        <f>Sheet1!$AB$9</f>
        <v>47391</v>
      </c>
      <c r="Z426" s="405">
        <f>Sheet1!$AC$9</f>
        <v>47756</v>
      </c>
      <c r="AA426" s="405">
        <f>$AA$6</f>
        <v>48121</v>
      </c>
      <c r="AB426" s="405">
        <f>$AB$6</f>
        <v>48487</v>
      </c>
      <c r="AC426" s="405">
        <f>$AC$6</f>
        <v>48852</v>
      </c>
      <c r="AD426" s="405">
        <f>$AD$6</f>
        <v>49217</v>
      </c>
      <c r="AE426" s="405">
        <f>$AE$6</f>
        <v>49582</v>
      </c>
      <c r="AF426" s="405">
        <f>$AF$6</f>
        <v>49948</v>
      </c>
      <c r="AG426" s="405">
        <f>$AG$6</f>
        <v>50313</v>
      </c>
      <c r="AH426" s="211"/>
      <c r="AI426" s="405">
        <f t="shared" si="200"/>
        <v>44469</v>
      </c>
      <c r="AJ426" s="405">
        <f t="shared" si="200"/>
        <v>44834</v>
      </c>
      <c r="AK426" s="405">
        <f t="shared" si="200"/>
        <v>45199</v>
      </c>
      <c r="AL426" s="405">
        <f t="shared" si="200"/>
        <v>45565</v>
      </c>
      <c r="AM426" s="405">
        <f t="shared" si="200"/>
        <v>45930</v>
      </c>
      <c r="AN426" s="405">
        <f t="shared" si="200"/>
        <v>46295</v>
      </c>
      <c r="AO426" s="405">
        <f t="shared" si="200"/>
        <v>46660</v>
      </c>
      <c r="AP426" s="405">
        <f t="shared" si="200"/>
        <v>47026</v>
      </c>
      <c r="AQ426" s="405">
        <f t="shared" si="200"/>
        <v>47391</v>
      </c>
      <c r="AR426" s="405">
        <f t="shared" si="200"/>
        <v>47756</v>
      </c>
      <c r="AS426" s="405">
        <f t="shared" si="201"/>
        <v>48121</v>
      </c>
      <c r="AT426" s="405">
        <f t="shared" si="201"/>
        <v>48487</v>
      </c>
      <c r="AU426" s="405">
        <f t="shared" si="201"/>
        <v>48852</v>
      </c>
      <c r="AV426" s="405">
        <f t="shared" si="201"/>
        <v>49217</v>
      </c>
      <c r="AW426" s="405">
        <f t="shared" si="201"/>
        <v>49582</v>
      </c>
      <c r="AX426" s="405">
        <f t="shared" si="201"/>
        <v>49948</v>
      </c>
      <c r="AY426" s="405">
        <f t="shared" si="201"/>
        <v>50313</v>
      </c>
      <c r="AZ426" s="405"/>
    </row>
    <row r="427" spans="15:52" ht="15" hidden="1" customHeight="1">
      <c r="O427" s="207" t="s">
        <v>261</v>
      </c>
      <c r="P427" s="207">
        <f t="shared" si="197"/>
        <v>1</v>
      </c>
      <c r="Q427" s="406">
        <f>IF(IF(Q426&lt;$E$27,0,DATEDIF($E$27,Q426+1,"m"))&lt;0,0,IF(Q426&lt;$E$27,0,DATEDIF($E$27,Q426+1,"m")))</f>
        <v>0</v>
      </c>
      <c r="R427" s="406">
        <f>IF(IF(Q427=12,0,IF(R426&gt;$E$28,12-DATEDIF($E$28,R426+1,"m"),IF(R426&lt;$E$27,0,DATEDIF($E$27,R426+1,"m"))))&lt;0,0,IF(Q427=12,0,IF(R426&gt;$E$28,12-DATEDIF($E$28,R426+1,"m"),IF(R426&lt;$E$27,0,DATEDIF($E$27,R426+1,"m")))))</f>
        <v>0</v>
      </c>
      <c r="S427" s="406">
        <f>IF(IF(Q427+R427=12,0,IF(S426&gt;$E$28,12-DATEDIF($E$28,S426+1,"m"),IF(S426&lt;$E$27,0,DATEDIF($E$27,S426+1,"m"))))&lt;0,0,IF(Q427+R427=12,0,IF(S426&gt;$E$28,12-DATEDIF($E$28,S426+1,"m"),IF(S426&lt;$E$27,0,DATEDIF($E$27,S426+1,"m")))))</f>
        <v>0</v>
      </c>
      <c r="T427" s="406">
        <f>IF(IF(R427+S427+Q427=12,0,IF(T426&gt;$E$28,12-DATEDIF($E$28,T426+1,"m"),IF(T426&lt;$E$27,0,DATEDIF($E$27,T426+1,"m"))))&lt;0,0,IF(R427+S427+Q427=12,0,IF(T426&gt;$E$28,12-DATEDIF($E$28,T426+1,"m"),IF(T426&lt;$E$27,0,DATEDIF($E$27,T426+1,"m")))))</f>
        <v>0</v>
      </c>
      <c r="U427" s="406">
        <f>IF(IF(S427+T427+R427+Q427=12,0,IF(U426&gt;$E$28,12-DATEDIF($E$28,U426+1,"m"),IF(U426&lt;$E$27,0,DATEDIF($E$27,U426+1,"m"))))&lt;0,0,IF(S427+T427+R427+Q427=12,0,IF(U426&gt;$E$28,12-DATEDIF($E$28,U426+1,"m"),IF(U426&lt;$E$27,0,DATEDIF($E$27,U426+1,"m")))))</f>
        <v>0</v>
      </c>
      <c r="V427" s="406">
        <f>IF(IF(T427+U427+S427+R427+Q427=12,0,IF(V426&gt;$E$28,12-DATEDIF($E$28,V426+1,"m"),IF(V426&lt;$E$27,0,DATEDIF($E$27,V426+1,"m"))))&lt;0,0,IF(T427+U427+S427+R427+Q427=12,0,IF(V426&gt;$E$28,12-DATEDIF($E$28,V426+1,"m"),IF(V426&lt;$E$27,0,DATEDIF($E$27,V426+1,"m")))))</f>
        <v>0</v>
      </c>
      <c r="W427" s="406">
        <f>IF(IF(U427+V427+T427+S427+R427+Q427=12,0,IF(W426&gt;$E$28,12-DATEDIF($E$28,W426+1,"m"),IF(W426&lt;$E$27,0,DATEDIF($E$27,W426+1,"m"))))&lt;0,0,IF(U427+V427+T427+S427+R427+Q427=12,0,IF(W426&gt;$E$28,12-DATEDIF($E$28,W426+1,"m"),IF(W426&lt;$E$27,0,DATEDIF($E$27,W426+1,"m")))))</f>
        <v>0</v>
      </c>
      <c r="X427" s="406">
        <f>IF(IF(V427+W427+U427+T427+S427+R427+Q427=12,0,IF(X426&gt;$E$28,12-DATEDIF($E$28,X426+1,"m"),IF(X426&lt;$E$27,0,DATEDIF($E$27,X426+1,"m"))))&lt;0,0,IF(V427+W427+U427+T427+S427+R427+Q427=12,0,IF(X426&gt;$E$28,12-DATEDIF($E$28,X426+1,"m"),IF(X426&lt;$E$27,0,DATEDIF($E$27,X426+1,"m")))))</f>
        <v>0</v>
      </c>
      <c r="Y427" s="406">
        <f>IF(IF(Q427+W427+X427+V427+U427+T427+S427+R427=12,0,IF(Y426&gt;F246,12-DATEDIF(F246,Y426+1,"m"),IF(Y426&lt;F245,0,DATEDIF(F245,Y426+1,"m"))))&lt;0,0,IF(Q427+W427+X427+V427+U427+T427+S427+R427=12,0,IF(Y426&gt;F246,12-DATEDIF(F246,Y426+1,"m"),IF(Y426&lt;F245,0,DATEDIF(F245,Y426+1,"m")))))</f>
        <v>0</v>
      </c>
      <c r="Z427" s="406">
        <f>IF(IF(Q427+R427+X427+Y427+W427+V427+U427+T427+S427=12,0,IF(Z426&gt;G246,12-DATEDIF(G246,Z426+1,"m"),IF(Z426&lt;G245,0,DATEDIF(G245,Z426+1,"m"))))&lt;0,0,IF(Q427+R427+X427+Y427+W427+V427+U427+T427+S427=12,0,IF(Z426&gt;G246,12-DATEDIF(G246,Z426+1,"m"),IF(Z426&lt;G245,0,DATEDIF(G245,Z426+1,"m")))))</f>
        <v>0</v>
      </c>
      <c r="AA427" s="406"/>
      <c r="AB427" s="406"/>
      <c r="AC427" s="406"/>
      <c r="AD427" s="406"/>
      <c r="AE427" s="406"/>
      <c r="AF427" s="406"/>
      <c r="AG427" s="406"/>
      <c r="AH427" s="423">
        <f>SUM(Q427:AG427)</f>
        <v>0</v>
      </c>
      <c r="AI427" s="406">
        <f t="shared" si="200"/>
        <v>0</v>
      </c>
      <c r="AJ427" s="406">
        <f t="shared" si="200"/>
        <v>0</v>
      </c>
      <c r="AK427" s="406">
        <f t="shared" si="200"/>
        <v>0</v>
      </c>
      <c r="AL427" s="406">
        <f t="shared" si="200"/>
        <v>0</v>
      </c>
      <c r="AM427" s="406">
        <f t="shared" si="200"/>
        <v>0</v>
      </c>
      <c r="AN427" s="406">
        <f t="shared" si="200"/>
        <v>0</v>
      </c>
      <c r="AO427" s="406">
        <f t="shared" si="200"/>
        <v>0</v>
      </c>
      <c r="AP427" s="406">
        <f t="shared" si="200"/>
        <v>0</v>
      </c>
      <c r="AQ427" s="406">
        <f t="shared" si="200"/>
        <v>0</v>
      </c>
      <c r="AR427" s="406">
        <f t="shared" si="200"/>
        <v>0</v>
      </c>
      <c r="AS427" s="406">
        <f t="shared" si="201"/>
        <v>0</v>
      </c>
      <c r="AT427" s="406">
        <f t="shared" si="201"/>
        <v>0</v>
      </c>
      <c r="AU427" s="406">
        <f t="shared" si="201"/>
        <v>0</v>
      </c>
      <c r="AV427" s="406">
        <f t="shared" si="201"/>
        <v>0</v>
      </c>
      <c r="AW427" s="406">
        <f t="shared" si="201"/>
        <v>0</v>
      </c>
      <c r="AX427" s="406">
        <f t="shared" si="201"/>
        <v>0</v>
      </c>
      <c r="AY427" s="406">
        <f t="shared" si="201"/>
        <v>0</v>
      </c>
      <c r="AZ427" s="406">
        <f>SUM(AI427:AY427)</f>
        <v>0</v>
      </c>
    </row>
    <row r="428" spans="15:52" ht="15" hidden="1" customHeight="1">
      <c r="P428" s="207">
        <f t="shared" si="197"/>
        <v>1</v>
      </c>
      <c r="Q428" s="407">
        <f>IF(Q427=0,0,(IF(($C$152+$B$152+$D$152+$E$152)&lt;=25000,(($E$152/+$AH427)*Q427)*VLOOKUP('1. SUMMARY'!$C$20,rate,Sheet1!T$21,0),((IF(($B$152+$C$152+$D$152)&gt;=25000,0,(((25000-($B$152+$C$152+$D$152))/+$AH427)*Q427)*(VLOOKUP('1. SUMMARY'!$C$20,rate,Sheet1!T$21,0))))))))</f>
        <v>0</v>
      </c>
      <c r="R428" s="407">
        <f>IF(R427=0,0,(IF(($C$152+$B$152+$D$152+$E$152)&lt;=25000,(($E$152/+$AH427)*R427)*VLOOKUP('1. SUMMARY'!$C$20,rate,Sheet1!U$21,0),((IF(($B$152+$C$152+$D$152)&gt;=25000,0,(((25000-($B$152+$C$152+$D$152))/+$AH427)*R427)*(VLOOKUP('1. SUMMARY'!$C$20,rate,Sheet1!U$21,0))))))))</f>
        <v>0</v>
      </c>
      <c r="S428" s="407">
        <f>IF(S427=0,0,(IF(($C$152+$B$152+$D$152+$E$152)&lt;=25000,(($E$152/+$AH427)*S427)*VLOOKUP('1. SUMMARY'!$C$20,rate,Sheet1!V$21,0),((IF(($B$152+$C$152+$D$152)&gt;=25000,0,(((25000-($B$152+$C$152+$D$152))/+$AH427)*S427)*(VLOOKUP('1. SUMMARY'!$C$20,rate,Sheet1!V$21,0))))))))</f>
        <v>0</v>
      </c>
      <c r="T428" s="407">
        <f>IF(T427=0,0,(IF(($C$152+$B$152+$D$152+$E$152)&lt;=25000,(($E$152/+$AH427)*T427)*VLOOKUP('1. SUMMARY'!$C$20,rate,Sheet1!W$21,0),((IF(($B$152+$C$152+$D$152)&gt;=25000,0,(((25000-($B$152+$C$152+$D$152))/+$AH427)*T427)*(VLOOKUP('1. SUMMARY'!$C$20,rate,Sheet1!W$21,0))))))))</f>
        <v>0</v>
      </c>
      <c r="U428" s="407">
        <f>IF(U427=0,0,(IF(($C$152+$B$152+$D$152+$E$152)&lt;=25000,(($E$152/+$AH427)*U427)*VLOOKUP('1. SUMMARY'!$C$20,rate,Sheet1!X$21,0),((IF(($B$152+$C$152+$D$152)&gt;=25000,0,(((25000-($B$152+$C$152+$D$152))/+$AH427)*U427)*(VLOOKUP('1. SUMMARY'!$C$20,rate,Sheet1!X$21,0))))))))</f>
        <v>0</v>
      </c>
      <c r="V428" s="407">
        <f>IF(V427=0,0,(IF(($C$152+$B$152+$D$152+$E$152)&lt;=25000,(($E$152/+$AH427)*V427)*VLOOKUP('1. SUMMARY'!$C$20,rate,Sheet1!Y$21,0),((IF(($B$152+$C$152+$D$152)&gt;=25000,0,(((25000-($B$152+$C$152+$D$152))/+$AH427)*V427)*(VLOOKUP('1. SUMMARY'!$C$20,rate,Sheet1!Y$21,0))))))))</f>
        <v>0</v>
      </c>
      <c r="W428" s="407">
        <f>IF(W427=0,0,(IF(($C$152+$B$152+$D$152+$E$152)&lt;=25000,(($E$152/+$AH427)*W427)*VLOOKUP('1. SUMMARY'!$C$20,rate,Sheet1!Z$21,0),((IF(($B$152+$C$152+$D$152)&gt;=25000,0,(((25000-($B$152+$C$152+$D$152))/+$AH427)*W427)*(VLOOKUP('1. SUMMARY'!$C$20,rate,Sheet1!Z$21,0))))))))</f>
        <v>0</v>
      </c>
      <c r="X428" s="407">
        <f>IF(X427=0,0,(IF(($C$152+$B$152+$D$152+$E$152)&lt;=25000,(($E$152/+$AH427)*X427)*VLOOKUP('1. SUMMARY'!$C$20,rate,Sheet1!AA$21,0),((IF(($B$152+$C$152+$D$152)&gt;=25000,0,(((25000-($B$152+$C$152+$D$152))/+$AH427)*X427)*(VLOOKUP('1. SUMMARY'!$C$20,rate,Sheet1!AA$21,0))))))))</f>
        <v>0</v>
      </c>
      <c r="Y428" s="407">
        <f>IF(Y427=0,0,(IF(($C$152+$B$152+$D$152+$E$152)&lt;=25000,(($E$152/+$AH427)*Y427)*VLOOKUP('1. SUMMARY'!$C$20,rate,Sheet1!AB$21,0),((IF(($B$152+$C$152+$D$152)&gt;=25000,0,(((25000-($B$152+$C$152+$D$152))/+$AH427)*Y427)*(VLOOKUP('1. SUMMARY'!$C$20,rate,Sheet1!AB$21,0))))))))</f>
        <v>0</v>
      </c>
      <c r="Z428" s="407">
        <f>IF(Z427=0,0,(IF(($C$152+$B$152+$D$152+$E$152)&lt;=25000,(($E$152/+$AH427)*Z427)*VLOOKUP('1. SUMMARY'!$C$20,rate,Sheet1!AC$21,0),((IF(($B$152+$C$152+$D$152)&gt;=25000,0,(((25000-($B$152+$C$152+$D$152))/+$AH427)*Z427)*(VLOOKUP('1. SUMMARY'!$C$20,rate,Sheet1!AC$21,0))))))))</f>
        <v>0</v>
      </c>
      <c r="AA428" s="407">
        <f>IF(AA427=0,0,(IF(($C$152+$B$152+$D$152+$E$152)&lt;=25000,(($E$152/+$AH427)*AA427)*VLOOKUP('1. SUMMARY'!$C$20,rate,Sheet1!AD$21,0),((IF(($B$152+$C$152+$D$152)&gt;=25000,0,(((25000-($B$152+$C$152+$D$152))/+$AH427)*AA427)*(VLOOKUP('1. SUMMARY'!$C$20,rate,Sheet1!AD$21,0))))))))</f>
        <v>0</v>
      </c>
      <c r="AB428" s="407">
        <f>IF(AB427=0,0,(IF(($C$152+$B$152+$D$152+$E$152)&lt;=25000,(($E$152/+$AH427)*AB427)*VLOOKUP('1. SUMMARY'!$C$20,rate,Sheet1!AE$21,0),((IF(($B$152+$C$152+$D$152)&gt;=25000,0,(((25000-($B$152+$C$152+$D$152))/+$AH427)*AB427)*(VLOOKUP('1. SUMMARY'!$C$20,rate,Sheet1!AE$21,0))))))))</f>
        <v>0</v>
      </c>
      <c r="AC428" s="407">
        <f>IF(AC427=0,0,(IF(($C$152+$B$152+$D$152+$E$152)&lt;=25000,(($E$152/+$AH427)*AC427)*VLOOKUP('1. SUMMARY'!$C$20,rate,Sheet1!AF$21,0),((IF(($B$152+$C$152+$D$152)&gt;=25000,0,(((25000-($B$152+$C$152+$D$152))/+$AH427)*AC427)*(VLOOKUP('1. SUMMARY'!$C$20,rate,Sheet1!AF$21,0))))))))</f>
        <v>0</v>
      </c>
      <c r="AD428" s="407">
        <f>IF(AD427=0,0,(IF(($C$152+$B$152+$D$152+$E$152)&lt;=25000,(($E$152/+$AH427)*AD427)*VLOOKUP('1. SUMMARY'!$C$20,rate,Sheet1!AG$21,0),((IF(($B$152+$C$152+$D$152)&gt;=25000,0,(((25000-($B$152+$C$152+$D$152))/+$AH427)*AD427)*(VLOOKUP('1. SUMMARY'!$C$20,rate,Sheet1!AG$21,0))))))))</f>
        <v>0</v>
      </c>
      <c r="AE428" s="407">
        <f>IF(AE427=0,0,(IF(($C$152+$B$152+$D$152+$E$152)&lt;=25000,(($E$152/+$AH427)*AE427)*VLOOKUP('1. SUMMARY'!$C$20,rate,Sheet1!AH$21,0),((IF(($B$152+$C$152+$D$152)&gt;=25000,0,(((25000-($B$152+$C$152+$D$152))/+$AH427)*AE427)*(VLOOKUP('1. SUMMARY'!$C$20,rate,Sheet1!AH$21,0))))))))</f>
        <v>0</v>
      </c>
      <c r="AF428" s="407">
        <f>IF(AF427=0,0,(IF(($C$152+$B$152+$D$152+$E$152)&lt;=25000,(($E$152/+$AH427)*AF427)*VLOOKUP('1. SUMMARY'!$C$20,rate,Sheet1!AI$21,0),((IF(($B$152+$C$152+$D$152)&gt;=25000,0,(((25000-($B$152+$C$152+$D$152))/+$AH427)*AF427)*(VLOOKUP('1. SUMMARY'!$C$20,rate,Sheet1!AI$21,0))))))))</f>
        <v>0</v>
      </c>
      <c r="AG428" s="407">
        <f>IF(AG427=0,0,(IF(($C$152+$B$152+$D$152+$E$152)&lt;=25000,(($E$152/+$AH427)*AG427)*VLOOKUP('1. SUMMARY'!$C$20,rate,Sheet1!AJ$21,0),((IF(($B$152+$C$152+$D$152)&gt;=25000,0,(((25000-($B$152+$C$152+$D$152))/+$AH427)*AG427)*(VLOOKUP('1. SUMMARY'!$C$20,rate,Sheet1!AJ$21,0))))))))</f>
        <v>0</v>
      </c>
      <c r="AH428" s="219">
        <f>SUM(Q428:AG428)</f>
        <v>0</v>
      </c>
      <c r="AI428" s="407">
        <f>IF(AI427=0,0,((+$E152/$AZ$22)*AI427)*VLOOKUP('1. SUMMARY'!$C$20,rate,Sheet1!T$21,0))</f>
        <v>0</v>
      </c>
      <c r="AJ428" s="407">
        <f>IF(AJ427=0,0,((+$E152/$AZ$22)*AJ427)*VLOOKUP('1. SUMMARY'!$C$20,rate,Sheet1!U$21,0))</f>
        <v>0</v>
      </c>
      <c r="AK428" s="407">
        <f>IF(AK427=0,0,((+$E152/$AZ$22)*AK427)*VLOOKUP('1. SUMMARY'!$C$20,rate,Sheet1!V$21,0))</f>
        <v>0</v>
      </c>
      <c r="AL428" s="407">
        <f>IF(AL427=0,0,((+$E152/$AZ$22)*AL427)*VLOOKUP('1. SUMMARY'!$C$20,rate,Sheet1!W$21,0))</f>
        <v>0</v>
      </c>
      <c r="AM428" s="407">
        <f>IF(AM427=0,0,((+$E152/$AZ$22)*AM427)*VLOOKUP('1. SUMMARY'!$C$20,rate,Sheet1!X$21,0))</f>
        <v>0</v>
      </c>
      <c r="AN428" s="407">
        <f>IF(AN427=0,0,((+$E152/$AZ$22)*AN427)*VLOOKUP('1. SUMMARY'!$C$20,rate,Sheet1!Y$21,0))</f>
        <v>0</v>
      </c>
      <c r="AO428" s="407">
        <f>IF(AO427=0,0,((+$E152/$AZ$22)*AO427)*VLOOKUP('1. SUMMARY'!$C$20,rate,Sheet1!Z$21,0))</f>
        <v>0</v>
      </c>
      <c r="AP428" s="407">
        <f>IF(AP427=0,0,((+$E152/$AZ$22)*AP427)*VLOOKUP('1. SUMMARY'!$C$20,rate,Sheet1!AA$21,0))</f>
        <v>0</v>
      </c>
      <c r="AQ428" s="407">
        <f>IF(AQ427=0,0,((+$E152/$AZ$22)*AQ427)*VLOOKUP('1. SUMMARY'!$C$20,rate,Sheet1!AB$21,0))</f>
        <v>0</v>
      </c>
      <c r="AR428" s="407">
        <f>IF(AR427=0,0,((+$E152/$AZ$22)*AR427)*VLOOKUP('1. SUMMARY'!$C$20,rate,Sheet1!AC$21,0))</f>
        <v>0</v>
      </c>
      <c r="AS428" s="407">
        <f>IF(AS427=0,0,((+$E152/$AZ$22)*AS427)*VLOOKUP('1. SUMMARY'!$C$20,rate,Sheet1!AD$21,0))</f>
        <v>0</v>
      </c>
      <c r="AT428" s="407">
        <f>IF(AT427=0,0,((+$E152/$AZ$22)*AT427)*VLOOKUP('1. SUMMARY'!$C$20,rate,Sheet1!AE$21,0))</f>
        <v>0</v>
      </c>
      <c r="AU428" s="407">
        <f>IF(AU427=0,0,((+$E152/$AZ$22)*AU427)*VLOOKUP('1. SUMMARY'!$C$20,rate,Sheet1!AF$21,0))</f>
        <v>0</v>
      </c>
      <c r="AV428" s="407">
        <f>IF(AV427=0,0,((+$E152/$AZ$22)*AV427)*VLOOKUP('1. SUMMARY'!$C$20,rate,Sheet1!AG$21,0))</f>
        <v>0</v>
      </c>
      <c r="AW428" s="407">
        <f>IF(AW427=0,0,((+$E152/$AZ$22)*AW427)*VLOOKUP('1. SUMMARY'!$C$20,rate,Sheet1!AH$21,0))</f>
        <v>0</v>
      </c>
      <c r="AX428" s="407">
        <f>IF(AX427=0,0,((+$E152/$AZ$22)*AX427)*VLOOKUP('1. SUMMARY'!$C$20,rate,Sheet1!AI$21,0))</f>
        <v>0</v>
      </c>
      <c r="AY428" s="407">
        <f>IF(AY427=0,0,((+$E152/$AZ$22)*AY427)*VLOOKUP('1. SUMMARY'!$C$20,rate,Sheet1!AJ$21,0))</f>
        <v>0</v>
      </c>
      <c r="AZ428" s="407">
        <f>SUM(AI428:AY428)</f>
        <v>0</v>
      </c>
    </row>
    <row r="429" spans="15:52" ht="15" hidden="1" customHeight="1">
      <c r="P429" s="207">
        <f t="shared" si="197"/>
        <v>1</v>
      </c>
      <c r="Q429" s="407">
        <f>+Q428/VLOOKUP('1. SUMMARY'!$C$20,rate,Sheet1!T$21,0)</f>
        <v>0</v>
      </c>
      <c r="R429" s="407">
        <f>+R428/VLOOKUP('1. SUMMARY'!$C$20,rate,Sheet1!U$21,0)</f>
        <v>0</v>
      </c>
      <c r="S429" s="407">
        <f>+S428/VLOOKUP('1. SUMMARY'!$C$20,rate,Sheet1!V$21,0)</f>
        <v>0</v>
      </c>
      <c r="T429" s="407">
        <f>+T428/VLOOKUP('1. SUMMARY'!$C$20,rate,Sheet1!W$21,0)</f>
        <v>0</v>
      </c>
      <c r="U429" s="407">
        <f>+U428/VLOOKUP('1. SUMMARY'!$C$20,rate,Sheet1!X$21,0)</f>
        <v>0</v>
      </c>
      <c r="V429" s="407">
        <f>+V428/VLOOKUP('1. SUMMARY'!$C$20,rate,Sheet1!Y$21,0)</f>
        <v>0</v>
      </c>
      <c r="W429" s="407">
        <f>+W428/VLOOKUP('1. SUMMARY'!$C$20,rate,Sheet1!Z$21,0)</f>
        <v>0</v>
      </c>
      <c r="X429" s="407">
        <f>+X428/VLOOKUP('1. SUMMARY'!$C$20,rate,Sheet1!AA$21,0)</f>
        <v>0</v>
      </c>
      <c r="Y429" s="407">
        <f>+Y428/VLOOKUP('1. SUMMARY'!$C$20,rate,Sheet1!AB$21,0)</f>
        <v>0</v>
      </c>
      <c r="Z429" s="407">
        <f>+Z428/VLOOKUP('1. SUMMARY'!$C$20,rate,Sheet1!AC$21,0)</f>
        <v>0</v>
      </c>
      <c r="AA429" s="407">
        <f>+AA428/VLOOKUP('1. SUMMARY'!$C$20,rate,Sheet1!AD$21,0)</f>
        <v>0</v>
      </c>
      <c r="AB429" s="407">
        <f>+AB428/VLOOKUP('1. SUMMARY'!$C$20,rate,Sheet1!AE$21,0)</f>
        <v>0</v>
      </c>
      <c r="AC429" s="407">
        <f>+AC428/VLOOKUP('1. SUMMARY'!$C$20,rate,Sheet1!AF$21,0)</f>
        <v>0</v>
      </c>
      <c r="AD429" s="407">
        <f>+AD428/VLOOKUP('1. SUMMARY'!$C$20,rate,Sheet1!AG$21,0)</f>
        <v>0</v>
      </c>
      <c r="AE429" s="407">
        <f>+AE428/VLOOKUP('1. SUMMARY'!$C$20,rate,Sheet1!AH$21,0)</f>
        <v>0</v>
      </c>
      <c r="AF429" s="407">
        <f>+AF428/VLOOKUP('1. SUMMARY'!$C$20,rate,Sheet1!AI$21,0)</f>
        <v>0</v>
      </c>
      <c r="AG429" s="407">
        <f>+AG428/VLOOKUP('1. SUMMARY'!$C$20,rate,Sheet1!AJ$21,0)</f>
        <v>0</v>
      </c>
      <c r="AH429" s="219"/>
      <c r="AI429" s="407">
        <v>0</v>
      </c>
      <c r="AJ429" s="407">
        <v>0</v>
      </c>
      <c r="AK429" s="407">
        <v>0</v>
      </c>
      <c r="AL429" s="407">
        <v>0</v>
      </c>
      <c r="AM429" s="407">
        <v>0</v>
      </c>
      <c r="AN429" s="407">
        <v>0</v>
      </c>
      <c r="AO429" s="407">
        <v>0</v>
      </c>
      <c r="AP429" s="407">
        <v>0</v>
      </c>
      <c r="AQ429" s="407"/>
      <c r="AR429" s="407"/>
      <c r="AS429" s="407"/>
      <c r="AT429" s="407"/>
      <c r="AU429" s="407"/>
      <c r="AV429" s="407"/>
      <c r="AW429" s="407"/>
      <c r="AX429" s="407"/>
      <c r="AY429" s="407"/>
      <c r="AZ429" s="407"/>
    </row>
    <row r="430" spans="15:52" ht="15" hidden="1" customHeight="1">
      <c r="P430" s="207">
        <f t="shared" si="197"/>
        <v>1</v>
      </c>
      <c r="Q430" s="408">
        <f>Sheet1!$T$8</f>
        <v>44105</v>
      </c>
      <c r="R430" s="408">
        <f>Sheet1!$U$8</f>
        <v>44470</v>
      </c>
      <c r="S430" s="408">
        <f>Sheet1!$V$8</f>
        <v>44835</v>
      </c>
      <c r="T430" s="408">
        <f>Sheet1!$W$8</f>
        <v>45200</v>
      </c>
      <c r="U430" s="408">
        <f>Sheet1!$X$8</f>
        <v>45566</v>
      </c>
      <c r="V430" s="408">
        <f>Sheet1!$Y$8</f>
        <v>45931</v>
      </c>
      <c r="W430" s="408">
        <f>Sheet1!$Z$8</f>
        <v>46296</v>
      </c>
      <c r="X430" s="408">
        <f>Sheet1!$AA$8</f>
        <v>46661</v>
      </c>
      <c r="Y430" s="408">
        <f>Sheet1!$AB$8</f>
        <v>47027</v>
      </c>
      <c r="Z430" s="408">
        <f>Sheet1!$AC$8</f>
        <v>47392</v>
      </c>
      <c r="AA430" s="408">
        <f>$AA$5</f>
        <v>47757</v>
      </c>
      <c r="AB430" s="408">
        <f>$AB$5</f>
        <v>48122</v>
      </c>
      <c r="AC430" s="408">
        <f>$AC$5</f>
        <v>48488</v>
      </c>
      <c r="AD430" s="408">
        <f>$AD$5</f>
        <v>48853</v>
      </c>
      <c r="AE430" s="408">
        <f>$AE$5</f>
        <v>49218</v>
      </c>
      <c r="AF430" s="408">
        <f>$AF$5</f>
        <v>49583</v>
      </c>
      <c r="AG430" s="408">
        <f>$AG$5</f>
        <v>49949</v>
      </c>
      <c r="AH430" s="211"/>
      <c r="AI430" s="408">
        <f t="shared" ref="AI430:AR432" si="202">+Q430</f>
        <v>44105</v>
      </c>
      <c r="AJ430" s="408">
        <f t="shared" si="202"/>
        <v>44470</v>
      </c>
      <c r="AK430" s="408">
        <f t="shared" si="202"/>
        <v>44835</v>
      </c>
      <c r="AL430" s="408">
        <f t="shared" si="202"/>
        <v>45200</v>
      </c>
      <c r="AM430" s="408">
        <f t="shared" si="202"/>
        <v>45566</v>
      </c>
      <c r="AN430" s="408">
        <f t="shared" si="202"/>
        <v>45931</v>
      </c>
      <c r="AO430" s="408">
        <f t="shared" si="202"/>
        <v>46296</v>
      </c>
      <c r="AP430" s="408">
        <f t="shared" si="202"/>
        <v>46661</v>
      </c>
      <c r="AQ430" s="408">
        <f t="shared" si="202"/>
        <v>47027</v>
      </c>
      <c r="AR430" s="408">
        <f t="shared" si="202"/>
        <v>47392</v>
      </c>
      <c r="AS430" s="408">
        <f t="shared" ref="AS430:AY432" si="203">+AA430</f>
        <v>47757</v>
      </c>
      <c r="AT430" s="408">
        <f t="shared" si="203"/>
        <v>48122</v>
      </c>
      <c r="AU430" s="408">
        <f t="shared" si="203"/>
        <v>48488</v>
      </c>
      <c r="AV430" s="408">
        <f t="shared" si="203"/>
        <v>48853</v>
      </c>
      <c r="AW430" s="408">
        <f t="shared" si="203"/>
        <v>49218</v>
      </c>
      <c r="AX430" s="408">
        <f t="shared" si="203"/>
        <v>49583</v>
      </c>
      <c r="AY430" s="408">
        <f t="shared" si="203"/>
        <v>49949</v>
      </c>
      <c r="AZ430" s="408"/>
    </row>
    <row r="431" spans="15:52" ht="15" hidden="1" customHeight="1">
      <c r="P431" s="207">
        <f t="shared" si="197"/>
        <v>1</v>
      </c>
      <c r="Q431" s="408">
        <f>Sheet1!$T$9</f>
        <v>44469</v>
      </c>
      <c r="R431" s="408">
        <f>Sheet1!$U$9</f>
        <v>44834</v>
      </c>
      <c r="S431" s="408">
        <f>Sheet1!$V$9</f>
        <v>45199</v>
      </c>
      <c r="T431" s="408">
        <f>Sheet1!$W$9</f>
        <v>45565</v>
      </c>
      <c r="U431" s="408">
        <f>Sheet1!$X$9</f>
        <v>45930</v>
      </c>
      <c r="V431" s="408">
        <f>Sheet1!$Y$9</f>
        <v>46295</v>
      </c>
      <c r="W431" s="408">
        <f>Sheet1!$Z$9</f>
        <v>46660</v>
      </c>
      <c r="X431" s="408">
        <f>Sheet1!$AA$9</f>
        <v>47026</v>
      </c>
      <c r="Y431" s="408">
        <f>Sheet1!$AB$9</f>
        <v>47391</v>
      </c>
      <c r="Z431" s="408">
        <f>Sheet1!$AC$9</f>
        <v>47756</v>
      </c>
      <c r="AA431" s="408">
        <f>$AA$6</f>
        <v>48121</v>
      </c>
      <c r="AB431" s="408">
        <f>$AB$6</f>
        <v>48487</v>
      </c>
      <c r="AC431" s="408">
        <f>$AC$6</f>
        <v>48852</v>
      </c>
      <c r="AD431" s="408">
        <f>$AD$6</f>
        <v>49217</v>
      </c>
      <c r="AE431" s="408">
        <f>$AE$6</f>
        <v>49582</v>
      </c>
      <c r="AF431" s="408">
        <f>$AF$6</f>
        <v>49948</v>
      </c>
      <c r="AG431" s="408">
        <f>$AG$6</f>
        <v>50313</v>
      </c>
      <c r="AH431" s="211"/>
      <c r="AI431" s="408">
        <f t="shared" si="202"/>
        <v>44469</v>
      </c>
      <c r="AJ431" s="408">
        <f t="shared" si="202"/>
        <v>44834</v>
      </c>
      <c r="AK431" s="408">
        <f t="shared" si="202"/>
        <v>45199</v>
      </c>
      <c r="AL431" s="408">
        <f t="shared" si="202"/>
        <v>45565</v>
      </c>
      <c r="AM431" s="408">
        <f t="shared" si="202"/>
        <v>45930</v>
      </c>
      <c r="AN431" s="408">
        <f t="shared" si="202"/>
        <v>46295</v>
      </c>
      <c r="AO431" s="408">
        <f t="shared" si="202"/>
        <v>46660</v>
      </c>
      <c r="AP431" s="408">
        <f t="shared" si="202"/>
        <v>47026</v>
      </c>
      <c r="AQ431" s="408">
        <f t="shared" si="202"/>
        <v>47391</v>
      </c>
      <c r="AR431" s="408">
        <f t="shared" si="202"/>
        <v>47756</v>
      </c>
      <c r="AS431" s="408">
        <f t="shared" si="203"/>
        <v>48121</v>
      </c>
      <c r="AT431" s="408">
        <f t="shared" si="203"/>
        <v>48487</v>
      </c>
      <c r="AU431" s="408">
        <f t="shared" si="203"/>
        <v>48852</v>
      </c>
      <c r="AV431" s="408">
        <f t="shared" si="203"/>
        <v>49217</v>
      </c>
      <c r="AW431" s="408">
        <f t="shared" si="203"/>
        <v>49582</v>
      </c>
      <c r="AX431" s="408">
        <f t="shared" si="203"/>
        <v>49948</v>
      </c>
      <c r="AY431" s="408">
        <f t="shared" si="203"/>
        <v>50313</v>
      </c>
      <c r="AZ431" s="408"/>
    </row>
    <row r="432" spans="15:52" ht="15" hidden="1" customHeight="1">
      <c r="O432" s="207" t="s">
        <v>262</v>
      </c>
      <c r="P432" s="207">
        <f t="shared" si="197"/>
        <v>1</v>
      </c>
      <c r="Q432" s="409">
        <f>IF(IF(Q431&lt;$F$27,0,DATEDIF($F$27,Q431+1,"m"))&lt;0,0,IF(Q431&lt;$F$27,0,DATEDIF($F$27,Q431+1,"m")))</f>
        <v>0</v>
      </c>
      <c r="R432" s="409">
        <f>IF(IF(Q432=12,0,IF(R431&gt;$F$28,12-DATEDIF($F$28,R431+1,"m"),IF(R431&lt;$F$27,0,DATEDIF($F$27,R431+1,"m"))))&lt;0,0,IF(Q432=12,0,IF(R431&gt;$F$28,12-DATEDIF($F$28,R431+1,"m"),IF(R431&lt;$F$27,0,DATEDIF($F$27,R431+1,"m")))))</f>
        <v>0</v>
      </c>
      <c r="S432" s="409">
        <f>IF(IF(Q432+R432=12,0,IF(S431&gt;$F$28,12-DATEDIF($F$28,S431+1,"m"),IF(S431&lt;$F$27,0,DATEDIF($F$27,S431+1,"m"))))&lt;0,0,IF(Q432+R432=12,0,IF(S431&gt;$F$28,12-DATEDIF($F$28,S431+1,"m"),IF(S431&lt;$F$27,0,DATEDIF($F$27,S431+1,"m")))))</f>
        <v>0</v>
      </c>
      <c r="T432" s="409">
        <f>IF(IF(R432+S432+Q432=12,0,IF(T431&gt;$F$28,12-DATEDIF($F$28,T431+1,"m"),IF(T431&lt;$F$27,0,DATEDIF($F$27,T431+1,"m"))))&lt;0,0,IF(R432+S432+Q432=12,0,IF(T431&gt;$F$28,12-DATEDIF($F$28,T431+1,"m"),IF(T431&lt;$F$27,0,DATEDIF($F$27,T431+1,"m")))))</f>
        <v>0</v>
      </c>
      <c r="U432" s="409">
        <f>IF(IF(S432+T432+R432+Q432=12,0,IF(U431&gt;$F$28,12-DATEDIF($F$28,U431+1,"m"),IF(U431&lt;$F$27,0,DATEDIF($F$27,U431+1,"m"))))&lt;0,0,IF(S432+T432+R432+Q432=12,0,IF(U431&gt;$F$28,12-DATEDIF($F$28,U431+1,"m"),IF(U431&lt;$F$27,0,DATEDIF($F$27,U431+1,"m")))))</f>
        <v>0</v>
      </c>
      <c r="V432" s="409">
        <f>IF(IF(T432+U432+S432+R432+Q432=12,0,IF(V431&gt;$F$28,12-DATEDIF($F$28,V431+1,"m"),IF(V431&lt;$F$27,0,DATEDIF($F$27,V431+1,"m"))))&lt;0,0,IF(T432+U432+S432+R432+Q432=12,0,IF(V431&gt;$F$28,12-DATEDIF($F$28,V431+1,"m"),IF(V431&lt;$F$27,0,DATEDIF($F$27,V431+1,"m")))))</f>
        <v>0</v>
      </c>
      <c r="W432" s="409">
        <f>IF(IF(U432+V432+T432+S432+R432+Q432=12,0,IF(W431&gt;$F$28,12-DATEDIF($F$28,W431+1,"m"),IF(W431&lt;$F$27,0,DATEDIF($F$27,W431+1,"m"))))&lt;0,0,IF(U432+V432+T432+S432+R432+Q432=12,0,IF(W431&gt;$F$28,12-DATEDIF($F$28,W431+1,"m"),IF(W431&lt;$F$27,0,DATEDIF($F$27,W431+1,"m")))))</f>
        <v>0</v>
      </c>
      <c r="X432" s="409">
        <f>IF(IF(V432+W432+U432+T432+S432+R432+Q432=12,0,IF(X431&gt;$F$28,12-DATEDIF($F$28,X431+1,"m"),IF(X431&lt;$F$27,0,DATEDIF($F$27,X431+1,"m"))))&lt;0,0,IF(V432+W432+U432+T432+S432+R432+Q432=12,0,IF(X431&gt;$F$28,12-DATEDIF($F$28,X431+1,"m"),IF(X431&lt;$F$27,0,DATEDIF($F$27,X431+1,"m")))))</f>
        <v>0</v>
      </c>
      <c r="Y432" s="409">
        <f>IF(IF(Q432+W432+X432+V432+U432+T432+S432+R432=12,0,IF(Y431&gt;$F$28,12-DATEDIF($F$28,Y431+1,"m"),IF(Y431&lt;$F$27,0,DATEDIF($F$27,Y431+1,"m"))))&lt;0,0,IF(Q432+W432+X432+V432+U432+T432+S432+R432=12,0,IF(Y431&gt;$F$28,12-DATEDIF($F$28,Y431+1,"m"),IF(Y431&lt;$F$27,0,DATEDIF($F$27,Y431+1,"m")))))</f>
        <v>0</v>
      </c>
      <c r="Z432" s="409">
        <f>IF(IF(Q432+R432+X432+Y432+W432+V432+U432+T432+S432=12,0,IF(Z431&gt;$F$28,12-DATEDIF($F$28,Z431+1,"m"),IF(Z431&lt;$F$27,0,DATEDIF($F$27,Z431+1,"m"))))&lt;0,0,IF(Q432+R432+X432+Y432+W432+V432+U432+T432+S432=12,0,IF(Z431&gt;$F$28,12-DATEDIF($F$28,Z431+1,"m"),IF(Z431&lt;$F$27,0,DATEDIF($F$27,Z431+1,"m")))))</f>
        <v>0</v>
      </c>
      <c r="AA432" s="409"/>
      <c r="AB432" s="409"/>
      <c r="AC432" s="409"/>
      <c r="AD432" s="409"/>
      <c r="AE432" s="409"/>
      <c r="AF432" s="409"/>
      <c r="AG432" s="409"/>
      <c r="AH432" s="423">
        <f>SUM(Q432:AG432)</f>
        <v>0</v>
      </c>
      <c r="AI432" s="409">
        <f t="shared" si="202"/>
        <v>0</v>
      </c>
      <c r="AJ432" s="409">
        <f t="shared" si="202"/>
        <v>0</v>
      </c>
      <c r="AK432" s="409">
        <f t="shared" si="202"/>
        <v>0</v>
      </c>
      <c r="AL432" s="409">
        <f t="shared" si="202"/>
        <v>0</v>
      </c>
      <c r="AM432" s="409">
        <f t="shared" si="202"/>
        <v>0</v>
      </c>
      <c r="AN432" s="409">
        <f t="shared" si="202"/>
        <v>0</v>
      </c>
      <c r="AO432" s="409">
        <f t="shared" si="202"/>
        <v>0</v>
      </c>
      <c r="AP432" s="409">
        <f t="shared" si="202"/>
        <v>0</v>
      </c>
      <c r="AQ432" s="409">
        <f t="shared" si="202"/>
        <v>0</v>
      </c>
      <c r="AR432" s="409">
        <f t="shared" si="202"/>
        <v>0</v>
      </c>
      <c r="AS432" s="409">
        <f t="shared" si="203"/>
        <v>0</v>
      </c>
      <c r="AT432" s="409">
        <f t="shared" si="203"/>
        <v>0</v>
      </c>
      <c r="AU432" s="409">
        <f t="shared" si="203"/>
        <v>0</v>
      </c>
      <c r="AV432" s="409">
        <f t="shared" si="203"/>
        <v>0</v>
      </c>
      <c r="AW432" s="409">
        <f t="shared" si="203"/>
        <v>0</v>
      </c>
      <c r="AX432" s="409">
        <f t="shared" si="203"/>
        <v>0</v>
      </c>
      <c r="AY432" s="409">
        <f t="shared" si="203"/>
        <v>0</v>
      </c>
      <c r="AZ432" s="409">
        <f>SUM(AI432:AY432)</f>
        <v>0</v>
      </c>
    </row>
    <row r="433" spans="15:52" hidden="1">
      <c r="P433" s="207">
        <f t="shared" si="197"/>
        <v>1</v>
      </c>
      <c r="Q433" s="410">
        <f>IF(Q432=0,0,(IF(($C$152+$B$152+$D$152+$E$152+$F$152)&lt;=25000,(($F$152/+$AH432)*Q432)*VLOOKUP('1. SUMMARY'!$C$20,rate,Sheet1!T$21,0),((IF(($B$152+$C$152+$D$152+$E$152)&gt;=25000,0,(((25000-($B$152+$C$152+$D$152+$E$152))/+$AH432)*Q432)*(VLOOKUP('1. SUMMARY'!$C$20,rate,Sheet1!T$21,0))))))))</f>
        <v>0</v>
      </c>
      <c r="R433" s="410">
        <f>IF(R432=0,0,(IF(($C$152+$B$152+$D$152+$E$152+$F$152)&lt;=25000,(($F$152/+$AH432)*R432)*VLOOKUP('1. SUMMARY'!$C$20,rate,Sheet1!U$21,0),((IF(($B$152+$C$152+$D$152+$E$152)&gt;=25000,0,(((25000-($B$152+$C$152+$D$152+$E$152))/+$AH432)*R432)*(VLOOKUP('1. SUMMARY'!$C$20,rate,Sheet1!U$21,0))))))))</f>
        <v>0</v>
      </c>
      <c r="S433" s="410">
        <f>IF(S432=0,0,(IF(($C$152+$B$152+$D$152+$E$152+$F$152)&lt;=25000,(($F$152/+$AH432)*S432)*VLOOKUP('1. SUMMARY'!$C$20,rate,Sheet1!V$21,0),((IF(($B$152+$C$152+$D$152+$E$152)&gt;=25000,0,(((25000-($B$152+$C$152+$D$152+$E$152))/+$AH432)*S432)*(VLOOKUP('1. SUMMARY'!$C$20,rate,Sheet1!V$21,0))))))))</f>
        <v>0</v>
      </c>
      <c r="T433" s="410">
        <f>IF(T432=0,0,(IF(($C$152+$B$152+$D$152+$E$152+$F$152)&lt;=25000,(($F$152/+$AH432)*T432)*VLOOKUP('1. SUMMARY'!$C$20,rate,Sheet1!W$21,0),((IF(($B$152+$C$152+$D$152+$E$152)&gt;=25000,0,(((25000-($B$152+$C$152+$D$152+$E$152))/+$AH432)*T432)*(VLOOKUP('1. SUMMARY'!$C$20,rate,Sheet1!W$21,0))))))))</f>
        <v>0</v>
      </c>
      <c r="U433" s="410">
        <f>IF(U432=0,0,(IF(($C$152+$B$152+$D$152+$E$152+$F$152)&lt;=25000,(($F$152/+$AH432)*U432)*VLOOKUP('1. SUMMARY'!$C$20,rate,Sheet1!X$21,0),((IF(($B$152+$C$152+$D$152+$E$152)&gt;=25000,0,(((25000-($B$152+$C$152+$D$152+$E$152))/+$AH432)*U432)*(VLOOKUP('1. SUMMARY'!$C$20,rate,Sheet1!X$21,0))))))))</f>
        <v>0</v>
      </c>
      <c r="V433" s="410">
        <f>IF(V432=0,0,(IF(($C$152+$B$152+$D$152+$E$152+$F$152)&lt;=25000,(($F$152/+$AH432)*V432)*VLOOKUP('1. SUMMARY'!$C$20,rate,Sheet1!Y$21,0),((IF(($B$152+$C$152+$D$152+$E$152)&gt;=25000,0,(((25000-($B$152+$C$152+$D$152+$E$152))/+$AH432)*V432)*(VLOOKUP('1. SUMMARY'!$C$20,rate,Sheet1!Y$21,0))))))))</f>
        <v>0</v>
      </c>
      <c r="W433" s="410">
        <f>IF(W432=0,0,(IF(($C$152+$B$152+$D$152+$E$152+$F$152)&lt;=25000,(($F$152/+$AH432)*W432)*VLOOKUP('1. SUMMARY'!$C$20,rate,Sheet1!Z$21,0),((IF(($B$152+$C$152+$D$152+$E$152)&gt;=25000,0,(((25000-($B$152+$C$152+$D$152+$E$152))/+$AH432)*W432)*(VLOOKUP('1. SUMMARY'!$C$20,rate,Sheet1!Z$21,0))))))))</f>
        <v>0</v>
      </c>
      <c r="X433" s="410">
        <f>IF(X432=0,0,(IF(($C$152+$B$152+$D$152+$E$152+$F$152)&lt;=25000,(($F$152/+$AH432)*X432)*VLOOKUP('1. SUMMARY'!$C$20,rate,Sheet1!AA$21,0),((IF(($B$152+$C$152+$D$152+$E$152)&gt;=25000,0,(((25000-($B$152+$C$152+$D$152+$E$152))/+$AH432)*X432)*(VLOOKUP('1. SUMMARY'!$C$20,rate,Sheet1!AA$21,0))))))))</f>
        <v>0</v>
      </c>
      <c r="Y433" s="410">
        <f>IF(Y432=0,0,(IF(($C$152+$B$152+$D$152+$E$152+$F$152)&lt;=25000,(($F$152/+$AH432)*Y432)*VLOOKUP('1. SUMMARY'!$C$20,rate,Sheet1!AB$21,0),((IF(($B$152+$C$152+$D$152+$E$152)&gt;=25000,0,(((25000-($B$152+$C$152+$D$152+$E$152))/+$AH432)*Y432)*(VLOOKUP('1. SUMMARY'!$C$20,rate,Sheet1!AB$21,0))))))))</f>
        <v>0</v>
      </c>
      <c r="Z433" s="410">
        <f>IF(Z432=0,0,(IF(($C$152+$B$152+$D$152+$E$152+$F$152)&lt;=25000,(($F$152/+$AH432)*Z432)*VLOOKUP('1. SUMMARY'!$C$20,rate,Sheet1!AC$21,0),((IF(($B$152+$C$152+$D$152+$E$152)&gt;=25000,0,(((25000-($B$152+$C$152+$D$152+$E$152))/+$AH432)*Z432)*(VLOOKUP('1. SUMMARY'!$C$20,rate,Sheet1!AC$21,0))))))))</f>
        <v>0</v>
      </c>
      <c r="AA433" s="410">
        <f>IF(AA432=0,0,(IF(($C$152+$B$152+$D$152+$E$152+$F$152)&lt;=25000,(($F$152/+$AH432)*AA432)*VLOOKUP('1. SUMMARY'!$C$20,rate,Sheet1!AD$21,0),((IF(($B$152+$C$152+$D$152+$E$152)&gt;=25000,0,(((25000-($B$152+$C$152+$D$152+$E$152))/+$AH432)*AA432)*(VLOOKUP('1. SUMMARY'!$C$20,rate,Sheet1!AD$21,0))))))))</f>
        <v>0</v>
      </c>
      <c r="AB433" s="410">
        <f>IF(AB432=0,0,(IF(($C$152+$B$152+$D$152+$E$152+$F$152)&lt;=25000,(($F$152/+$AH432)*AB432)*VLOOKUP('1. SUMMARY'!$C$20,rate,Sheet1!AE$21,0),((IF(($B$152+$C$152+$D$152+$E$152)&gt;=25000,0,(((25000-($B$152+$C$152+$D$152+$E$152))/+$AH432)*AB432)*(VLOOKUP('1. SUMMARY'!$C$20,rate,Sheet1!AE$21,0))))))))</f>
        <v>0</v>
      </c>
      <c r="AC433" s="410">
        <f>IF(AC432=0,0,(IF(($C$152+$B$152+$D$152+$E$152+$F$152)&lt;=25000,(($F$152/+$AH432)*AC432)*VLOOKUP('1. SUMMARY'!$C$20,rate,Sheet1!AF$21,0),((IF(($B$152+$C$152+$D$152+$E$152)&gt;=25000,0,(((25000-($B$152+$C$152+$D$152+$E$152))/+$AH432)*AC432)*(VLOOKUP('1. SUMMARY'!$C$20,rate,Sheet1!AF$21,0))))))))</f>
        <v>0</v>
      </c>
      <c r="AD433" s="410">
        <f>IF(AD432=0,0,(IF(($C$152+$B$152+$D$152+$E$152+$F$152)&lt;=25000,(($F$152/+$AH432)*AD432)*VLOOKUP('1. SUMMARY'!$C$20,rate,Sheet1!AG$21,0),((IF(($B$152+$C$152+$D$152+$E$152)&gt;=25000,0,(((25000-($B$152+$C$152+$D$152+$E$152))/+$AH432)*AD432)*(VLOOKUP('1. SUMMARY'!$C$20,rate,Sheet1!AG$21,0))))))))</f>
        <v>0</v>
      </c>
      <c r="AE433" s="410">
        <f>IF(AE432=0,0,(IF(($C$152+$B$152+$D$152+$E$152+$F$152)&lt;=25000,(($F$152/+$AH432)*AE432)*VLOOKUP('1. SUMMARY'!$C$20,rate,Sheet1!AH$21,0),((IF(($B$152+$C$152+$D$152+$E$152)&gt;=25000,0,(((25000-($B$152+$C$152+$D$152+$E$152))/+$AH432)*AE432)*(VLOOKUP('1. SUMMARY'!$C$20,rate,Sheet1!AH$21,0))))))))</f>
        <v>0</v>
      </c>
      <c r="AF433" s="410">
        <f>IF(AF432=0,0,(IF(($C$152+$B$152+$D$152+$E$152+$F$152)&lt;=25000,(($F$152/+$AH432)*AF432)*VLOOKUP('1. SUMMARY'!$C$20,rate,Sheet1!AI$21,0),((IF(($B$152+$C$152+$D$152+$E$152)&gt;=25000,0,(((25000-($B$152+$C$152+$D$152+$E$152))/+$AH432)*AF432)*(VLOOKUP('1. SUMMARY'!$C$20,rate,Sheet1!AI$21,0))))))))</f>
        <v>0</v>
      </c>
      <c r="AG433" s="410">
        <f>IF(AG432=0,0,(IF(($C$152+$B$152+$D$152+$E$152+$F$152)&lt;=25000,(($F$152/+$AH432)*AG432)*VLOOKUP('1. SUMMARY'!$C$20,rate,Sheet1!AJ$21,0),((IF(($B$152+$C$152+$D$152+$E$152)&gt;=25000,0,(((25000-($B$152+$C$152+$D$152+$E$152))/+$AH432)*AG432)*(VLOOKUP('1. SUMMARY'!$C$20,rate,Sheet1!AJ$21,0))))))))</f>
        <v>0</v>
      </c>
      <c r="AH433" s="219">
        <f>SUM(Q433:AG433)</f>
        <v>0</v>
      </c>
      <c r="AI433" s="410">
        <f>IF(AI432=0,0,((+$F152/$AZ432)*AI432)*VLOOKUP('1. SUMMARY'!$C$20,rate,Sheet1!T$21,0))</f>
        <v>0</v>
      </c>
      <c r="AJ433" s="410">
        <f>IF(AJ432=0,0,((+$F152/$AZ432)*AJ432)*VLOOKUP('1. SUMMARY'!$C$20,rate,Sheet1!U$21,0))</f>
        <v>0</v>
      </c>
      <c r="AK433" s="410">
        <f>IF(AK432=0,0,((+$F152/$AZ432)*AK432)*VLOOKUP('1. SUMMARY'!$C$20,rate,Sheet1!V$21,0))</f>
        <v>0</v>
      </c>
      <c r="AL433" s="410">
        <f>IF(AL432=0,0,((+$F152/$AZ432)*AL432)*VLOOKUP('1. SUMMARY'!$C$20,rate,Sheet1!W$21,0))</f>
        <v>0</v>
      </c>
      <c r="AM433" s="410">
        <f>IF(AM432=0,0,((+$F152/$AZ432)*AM432)*VLOOKUP('1. SUMMARY'!$C$20,rate,Sheet1!X$21,0))</f>
        <v>0</v>
      </c>
      <c r="AN433" s="410">
        <f>IF(AN432=0,0,((+$F152/$AZ432)*AN432)*VLOOKUP('1. SUMMARY'!$C$20,rate,Sheet1!Y$21,0))</f>
        <v>0</v>
      </c>
      <c r="AO433" s="410">
        <f>IF(AO432=0,0,((+$F152/$AZ432)*AO432)*VLOOKUP('1. SUMMARY'!$C$20,rate,Sheet1!Z$21,0))</f>
        <v>0</v>
      </c>
      <c r="AP433" s="410">
        <f>IF(AP432=0,0,((+$F152/$AZ432)*AP432)*VLOOKUP('1. SUMMARY'!$C$20,rate,Sheet1!AA$21,0))</f>
        <v>0</v>
      </c>
      <c r="AQ433" s="410">
        <f>IF(AQ432=0,0,((+$F152/$AZ432)*AQ432)*VLOOKUP('1. SUMMARY'!$C$20,rate,Sheet1!AB$21,0))</f>
        <v>0</v>
      </c>
      <c r="AR433" s="410">
        <f>IF(AR432=0,0,((+$F152/$AZ432)*AR432)*VLOOKUP('1. SUMMARY'!$C$20,rate,Sheet1!AC$21,0))</f>
        <v>0</v>
      </c>
      <c r="AS433" s="410">
        <f>IF(AS432=0,0,((+$F152/$AZ432)*AS432)*VLOOKUP('1. SUMMARY'!$C$20,rate,Sheet1!AD$21,0))</f>
        <v>0</v>
      </c>
      <c r="AT433" s="410">
        <f>IF(AT432=0,0,((+$F152/$AZ432)*AT432)*VLOOKUP('1. SUMMARY'!$C$20,rate,Sheet1!AE$21,0))</f>
        <v>0</v>
      </c>
      <c r="AU433" s="410">
        <f>IF(AU432=0,0,((+$F152/$AZ432)*AU432)*VLOOKUP('1. SUMMARY'!$C$20,rate,Sheet1!AF$21,0))</f>
        <v>0</v>
      </c>
      <c r="AV433" s="410">
        <f>IF(AV432=0,0,((+$F152/$AZ432)*AV432)*VLOOKUP('1. SUMMARY'!$C$20,rate,Sheet1!AG$21,0))</f>
        <v>0</v>
      </c>
      <c r="AW433" s="410">
        <f>IF(AW432=0,0,((+$F152/$AZ432)*AW432)*VLOOKUP('1. SUMMARY'!$C$20,rate,Sheet1!AH$21,0))</f>
        <v>0</v>
      </c>
      <c r="AX433" s="410">
        <f>IF(AX432=0,0,((+$F152/$AZ432)*AX432)*VLOOKUP('1. SUMMARY'!$C$20,rate,Sheet1!AI$21,0))</f>
        <v>0</v>
      </c>
      <c r="AY433" s="410">
        <f>IF(AY432=0,0,((+$F152/$AZ432)*AY432)*VLOOKUP('1. SUMMARY'!$C$20,rate,Sheet1!AJ$21,0))</f>
        <v>0</v>
      </c>
      <c r="AZ433" s="410">
        <f>SUM(AI433:AY433)</f>
        <v>0</v>
      </c>
    </row>
    <row r="434" spans="15:52" hidden="1">
      <c r="P434" s="207">
        <f t="shared" si="197"/>
        <v>1</v>
      </c>
      <c r="Q434" s="410">
        <f>+Q433/VLOOKUP('1. SUMMARY'!$C$20,rate,Sheet1!T$21,0)</f>
        <v>0</v>
      </c>
      <c r="R434" s="410">
        <f>+R433/VLOOKUP('1. SUMMARY'!$C$20,rate,Sheet1!U$21,0)</f>
        <v>0</v>
      </c>
      <c r="S434" s="410">
        <f>+S433/VLOOKUP('1. SUMMARY'!$C$20,rate,Sheet1!V$21,0)</f>
        <v>0</v>
      </c>
      <c r="T434" s="410">
        <f>+T433/VLOOKUP('1. SUMMARY'!$C$20,rate,Sheet1!W$21,0)</f>
        <v>0</v>
      </c>
      <c r="U434" s="410">
        <f>+U433/VLOOKUP('1. SUMMARY'!$C$20,rate,Sheet1!X$21,0)</f>
        <v>0</v>
      </c>
      <c r="V434" s="410">
        <f>+V433/VLOOKUP('1. SUMMARY'!$C$20,rate,Sheet1!Y$21,0)</f>
        <v>0</v>
      </c>
      <c r="W434" s="410">
        <f>+W433/VLOOKUP('1. SUMMARY'!$C$20,rate,Sheet1!Z$21,0)</f>
        <v>0</v>
      </c>
      <c r="X434" s="410">
        <f>+X433/VLOOKUP('1. SUMMARY'!$C$20,rate,Sheet1!AA$21,0)</f>
        <v>0</v>
      </c>
      <c r="Y434" s="410">
        <f>+Y433/VLOOKUP('1. SUMMARY'!$C$20,rate,Sheet1!AB$21,0)</f>
        <v>0</v>
      </c>
      <c r="Z434" s="410">
        <f>+Z433/VLOOKUP('1. SUMMARY'!$C$20,rate,Sheet1!AC$21,0)</f>
        <v>0</v>
      </c>
      <c r="AA434" s="410">
        <f>+AA433/VLOOKUP('1. SUMMARY'!$C$20,rate,Sheet1!AD$21,0)</f>
        <v>0</v>
      </c>
      <c r="AB434" s="410">
        <f>+AB433/VLOOKUP('1. SUMMARY'!$C$20,rate,Sheet1!AE$21,0)</f>
        <v>0</v>
      </c>
      <c r="AC434" s="410">
        <f>+AC433/VLOOKUP('1. SUMMARY'!$C$20,rate,Sheet1!AF$21,0)</f>
        <v>0</v>
      </c>
      <c r="AD434" s="410">
        <f>+AD433/VLOOKUP('1. SUMMARY'!$C$20,rate,Sheet1!AG$21,0)</f>
        <v>0</v>
      </c>
      <c r="AE434" s="410">
        <f>+AE433/VLOOKUP('1. SUMMARY'!$C$20,rate,Sheet1!AH$21,0)</f>
        <v>0</v>
      </c>
      <c r="AF434" s="410">
        <f>+AF433/VLOOKUP('1. SUMMARY'!$C$20,rate,Sheet1!AI$21,0)</f>
        <v>0</v>
      </c>
      <c r="AG434" s="410">
        <f>+AG433/VLOOKUP('1. SUMMARY'!$C$20,rate,Sheet1!AJ$21,0)</f>
        <v>0</v>
      </c>
      <c r="AH434" s="219"/>
      <c r="AI434" s="410">
        <v>0</v>
      </c>
      <c r="AJ434" s="410">
        <v>0</v>
      </c>
      <c r="AK434" s="410">
        <v>0</v>
      </c>
      <c r="AL434" s="410">
        <v>0</v>
      </c>
      <c r="AM434" s="410">
        <v>0</v>
      </c>
      <c r="AN434" s="410">
        <v>0</v>
      </c>
      <c r="AO434" s="410">
        <v>0</v>
      </c>
      <c r="AP434" s="410">
        <v>0</v>
      </c>
      <c r="AQ434" s="410"/>
      <c r="AR434" s="410"/>
      <c r="AS434" s="410"/>
      <c r="AT434" s="410"/>
      <c r="AU434" s="410"/>
      <c r="AV434" s="410"/>
      <c r="AW434" s="410"/>
      <c r="AX434" s="410"/>
      <c r="AY434" s="410"/>
      <c r="AZ434" s="410"/>
    </row>
    <row r="435" spans="15:52" hidden="1">
      <c r="P435" s="207">
        <f t="shared" si="197"/>
        <v>1</v>
      </c>
      <c r="Q435" s="413">
        <f>Sheet1!$T$8</f>
        <v>44105</v>
      </c>
      <c r="R435" s="413">
        <f>Sheet1!$U$8</f>
        <v>44470</v>
      </c>
      <c r="S435" s="413">
        <f>Sheet1!$V$8</f>
        <v>44835</v>
      </c>
      <c r="T435" s="413">
        <f>Sheet1!$W$8</f>
        <v>45200</v>
      </c>
      <c r="U435" s="413">
        <f>Sheet1!$X$8</f>
        <v>45566</v>
      </c>
      <c r="V435" s="413">
        <f>Sheet1!$Y$8</f>
        <v>45931</v>
      </c>
      <c r="W435" s="413">
        <f>Sheet1!$Z$8</f>
        <v>46296</v>
      </c>
      <c r="X435" s="413">
        <f>Sheet1!$AA$8</f>
        <v>46661</v>
      </c>
      <c r="Y435" s="413">
        <f>Sheet1!$AB$8</f>
        <v>47027</v>
      </c>
      <c r="Z435" s="413">
        <f>Sheet1!$AC$8</f>
        <v>47392</v>
      </c>
      <c r="AA435" s="413">
        <f>$AA$5</f>
        <v>47757</v>
      </c>
      <c r="AB435" s="413">
        <f>$AB$5</f>
        <v>48122</v>
      </c>
      <c r="AC435" s="413">
        <f>$AC$5</f>
        <v>48488</v>
      </c>
      <c r="AD435" s="413">
        <f>$AD$5</f>
        <v>48853</v>
      </c>
      <c r="AE435" s="413">
        <f>$AE$5</f>
        <v>49218</v>
      </c>
      <c r="AF435" s="413">
        <f>$AF$5</f>
        <v>49583</v>
      </c>
      <c r="AG435" s="413">
        <f>$AG$5</f>
        <v>49949</v>
      </c>
      <c r="AH435" s="211"/>
      <c r="AI435" s="413">
        <f t="shared" ref="AI435:AR437" si="204">+Q435</f>
        <v>44105</v>
      </c>
      <c r="AJ435" s="413">
        <f t="shared" si="204"/>
        <v>44470</v>
      </c>
      <c r="AK435" s="413">
        <f t="shared" si="204"/>
        <v>44835</v>
      </c>
      <c r="AL435" s="413">
        <f t="shared" si="204"/>
        <v>45200</v>
      </c>
      <c r="AM435" s="413">
        <f t="shared" si="204"/>
        <v>45566</v>
      </c>
      <c r="AN435" s="413">
        <f t="shared" si="204"/>
        <v>45931</v>
      </c>
      <c r="AO435" s="413">
        <f t="shared" si="204"/>
        <v>46296</v>
      </c>
      <c r="AP435" s="413">
        <f t="shared" si="204"/>
        <v>46661</v>
      </c>
      <c r="AQ435" s="413">
        <f t="shared" si="204"/>
        <v>47027</v>
      </c>
      <c r="AR435" s="413">
        <f t="shared" si="204"/>
        <v>47392</v>
      </c>
      <c r="AS435" s="413">
        <f t="shared" ref="AS435:AY437" si="205">+AA435</f>
        <v>47757</v>
      </c>
      <c r="AT435" s="413">
        <f t="shared" si="205"/>
        <v>48122</v>
      </c>
      <c r="AU435" s="413">
        <f t="shared" si="205"/>
        <v>48488</v>
      </c>
      <c r="AV435" s="413">
        <f t="shared" si="205"/>
        <v>48853</v>
      </c>
      <c r="AW435" s="413">
        <f t="shared" si="205"/>
        <v>49218</v>
      </c>
      <c r="AX435" s="413">
        <f t="shared" si="205"/>
        <v>49583</v>
      </c>
      <c r="AY435" s="413">
        <f t="shared" si="205"/>
        <v>49949</v>
      </c>
      <c r="AZ435" s="413"/>
    </row>
    <row r="436" spans="15:52" hidden="1">
      <c r="P436" s="207">
        <f t="shared" si="197"/>
        <v>1</v>
      </c>
      <c r="Q436" s="413">
        <f>Sheet1!$T$9</f>
        <v>44469</v>
      </c>
      <c r="R436" s="413">
        <f>Sheet1!$U$9</f>
        <v>44834</v>
      </c>
      <c r="S436" s="413">
        <f>Sheet1!$V$9</f>
        <v>45199</v>
      </c>
      <c r="T436" s="413">
        <f>Sheet1!$W$9</f>
        <v>45565</v>
      </c>
      <c r="U436" s="413">
        <f>Sheet1!$X$9</f>
        <v>45930</v>
      </c>
      <c r="V436" s="413">
        <f>Sheet1!$Y$9</f>
        <v>46295</v>
      </c>
      <c r="W436" s="413">
        <f>Sheet1!$Z$9</f>
        <v>46660</v>
      </c>
      <c r="X436" s="413">
        <f>Sheet1!$AA$9</f>
        <v>47026</v>
      </c>
      <c r="Y436" s="413">
        <f>Sheet1!$AB$9</f>
        <v>47391</v>
      </c>
      <c r="Z436" s="413">
        <f>Sheet1!$AC$9</f>
        <v>47756</v>
      </c>
      <c r="AA436" s="413">
        <f>$AA$6</f>
        <v>48121</v>
      </c>
      <c r="AB436" s="413">
        <f>$AB$6</f>
        <v>48487</v>
      </c>
      <c r="AC436" s="413">
        <f>$AC$6</f>
        <v>48852</v>
      </c>
      <c r="AD436" s="413">
        <f>$AD$6</f>
        <v>49217</v>
      </c>
      <c r="AE436" s="413">
        <f>$AE$6</f>
        <v>49582</v>
      </c>
      <c r="AF436" s="413">
        <f>$AF$6</f>
        <v>49948</v>
      </c>
      <c r="AG436" s="413">
        <f>$AG$6</f>
        <v>50313</v>
      </c>
      <c r="AH436" s="211"/>
      <c r="AI436" s="413">
        <f t="shared" si="204"/>
        <v>44469</v>
      </c>
      <c r="AJ436" s="413">
        <f t="shared" si="204"/>
        <v>44834</v>
      </c>
      <c r="AK436" s="413">
        <f t="shared" si="204"/>
        <v>45199</v>
      </c>
      <c r="AL436" s="413">
        <f t="shared" si="204"/>
        <v>45565</v>
      </c>
      <c r="AM436" s="413">
        <f t="shared" si="204"/>
        <v>45930</v>
      </c>
      <c r="AN436" s="413">
        <f t="shared" si="204"/>
        <v>46295</v>
      </c>
      <c r="AO436" s="413">
        <f t="shared" si="204"/>
        <v>46660</v>
      </c>
      <c r="AP436" s="413">
        <f t="shared" si="204"/>
        <v>47026</v>
      </c>
      <c r="AQ436" s="413">
        <f t="shared" si="204"/>
        <v>47391</v>
      </c>
      <c r="AR436" s="413">
        <f t="shared" si="204"/>
        <v>47756</v>
      </c>
      <c r="AS436" s="413">
        <f t="shared" si="205"/>
        <v>48121</v>
      </c>
      <c r="AT436" s="413">
        <f t="shared" si="205"/>
        <v>48487</v>
      </c>
      <c r="AU436" s="413">
        <f t="shared" si="205"/>
        <v>48852</v>
      </c>
      <c r="AV436" s="413">
        <f t="shared" si="205"/>
        <v>49217</v>
      </c>
      <c r="AW436" s="413">
        <f t="shared" si="205"/>
        <v>49582</v>
      </c>
      <c r="AX436" s="413">
        <f t="shared" si="205"/>
        <v>49948</v>
      </c>
      <c r="AY436" s="413">
        <f t="shared" si="205"/>
        <v>50313</v>
      </c>
      <c r="AZ436" s="413"/>
    </row>
    <row r="437" spans="15:52" hidden="1">
      <c r="O437" s="207" t="s">
        <v>263</v>
      </c>
      <c r="P437" s="207">
        <f t="shared" si="197"/>
        <v>1</v>
      </c>
      <c r="Q437" s="424">
        <f>IF(IF(Q436&lt;$G$27,0,DATEDIF($G$27,Q436+1,"m"))&lt;0,0,IF(Q436&lt;$G$27,0,DATEDIF($G$27,Q436+1,"m")))</f>
        <v>0</v>
      </c>
      <c r="R437" s="424">
        <f>IF(IF(Q437=12,0,IF(R436&gt;$G$28,12-DATEDIF($G$28,R436+1,"m"),IF(R436&lt;$G$27,0,DATEDIF($G$27,R436+1,"m"))))&lt;0,0,IF(Q437=12,0,IF(R436&gt;$G$28,12-DATEDIF($G$28,R436+1,"m"),IF(R436&lt;$G$27,0,DATEDIF($G$27,R436+1,"m")))))</f>
        <v>0</v>
      </c>
      <c r="S437" s="424">
        <f>IF(IF(Q437+R437=12,0,IF(S436&gt;$G$28,12-DATEDIF($G$28,S436+1,"m"),IF(S436&lt;$G$27,0,DATEDIF($G$27,S436+1,"m"))))&lt;0,0,IF(Q437+R437=12,0,IF(S436&gt;$G$28,12-DATEDIF($G$28,S436+1,"m"),IF(S436&lt;$G$27,0,DATEDIF($G$27,S436+1,"m")))))</f>
        <v>0</v>
      </c>
      <c r="T437" s="424">
        <f>IF(IF(R437+S437+Q437=12,0,IF(T436&gt;$G$28,12-DATEDIF($G$28,T436+1,"m"),IF(T436&lt;$G$27,0,DATEDIF($G$27,T436+1,"m"))))&lt;0,0,IF(R437+S437+Q437=12,0,IF(T436&gt;$G$28,12-DATEDIF($G$28,T436+1,"m"),IF(T436&lt;$G$27,0,DATEDIF($G$27,T436+1,"m")))))</f>
        <v>0</v>
      </c>
      <c r="U437" s="424">
        <f>IF(IF(S437+T437+R437+Q437=12,0,IF(U436&gt;$G$28,12-DATEDIF($G$28,U436+1,"m"),IF(U436&lt;$G$27,0,DATEDIF($G$27,U436+1,"m"))))&lt;0,0,IF(S437+T437+R437+Q437=12,0,IF(U436&gt;$G$28,12-DATEDIF($G$28,U436+1,"m"),IF(U436&lt;$G$27,0,DATEDIF($G$27,U436+1,"m")))))</f>
        <v>0</v>
      </c>
      <c r="V437" s="424">
        <f>IF(IF(T437+U437+S437+R437+Q437=12,0,IF(V436&gt;$G$28,12-DATEDIF($G$28,V436+1,"m"),IF(V436&lt;$G$27,0,DATEDIF($G$27,V436+1,"m"))))&lt;0,0,IF(T437+U437+S437+R437+Q437=12,0,IF(V436&gt;$G$28,12-DATEDIF($G$28,V436+1,"m"),IF(V436&lt;$G$27,0,DATEDIF($G$27,V436+1,"m")))))</f>
        <v>0</v>
      </c>
      <c r="W437" s="424">
        <f>IF(IF(U437+V437+T437+S437+R437+Q437=12,0,IF(W436&gt;$G$28,12-DATEDIF($G$28,W436+1,"m"),IF(W436&lt;$G$27,0,DATEDIF($G$27,W436+1,"m"))))&lt;0,0,IF(U437+V437+T437+S437+R437+Q437=12,0,IF(W436&gt;$G$28,12-DATEDIF($G$28,W436+1,"m"),IF(W436&lt;$G$27,0,DATEDIF($G$27,W436+1,"m")))))</f>
        <v>0</v>
      </c>
      <c r="X437" s="424">
        <f>IF(IF(V437+W437+U437+T437+S437+R437+Q437=12,0,IF(X436&gt;$G$28,12-DATEDIF($G$28,X436+1,"m"),IF(X436&lt;$G$27,0,DATEDIF($G$27,X436+1,"m"))))&lt;0,0,IF(V437+W437+U437+T437+S437+R437+Q437=12,0,IF(X436&gt;$G$28,12-DATEDIF($G$28,X436+1,"m"),IF(X436&lt;$G$27,0,DATEDIF($G$27,X436+1,"m")))))</f>
        <v>0</v>
      </c>
      <c r="Y437" s="424">
        <f>IF(IF(W437+X437+V437+U437+T437+S437+R437+Q437=12,0,IF(Y436&gt;$G$28,12-DATEDIF($G$28,Y436+1,"m"),IF(Y436&lt;$G$27,0,DATEDIF($G$27,Y436+1,"m"))))&lt;0,0,IF(W437+X437+V437+U437+T437+S437+R437+Q437=12,0,IF(Y436&gt;$G$28,12-DATEDIF($G$28,Y436+1,"m"),IF(Y436&lt;$G$27,0,DATEDIF($G$27,Y436+1,"m")))))</f>
        <v>0</v>
      </c>
      <c r="Z437" s="424">
        <f>IF(IF(X437+Y437+W437+V437+U437+T437+S437+R437+Q437=12,0,IF(Z436&gt;$G$28,12-DATEDIF($G$28,Z436+1,"m"),IF(Z436&lt;$G$27,0,DATEDIF($G$27,Z436+1,"m"))))&lt;0,0,IF(X437+Y437+W437+V437+U437+T437+S437+R437+Q437=12,0,IF(Z436&gt;$G$28,12-DATEDIF($G$28,Z436+1,"m"),IF(Z436&lt;$G$27,0,DATEDIF($G$27,Z436+1,"m")))))</f>
        <v>0</v>
      </c>
      <c r="AA437" s="414">
        <f>IF(IF(Q437+R437+S437+Y437+Z437+X437+W437+V437+U437+T437=12,0,IF(AA436&gt;$G$28,12-DATEDIF($G$28,AA436+1,"m"),IF(AA436&lt;$G$27,0,DATEDIF($G$27,AA436+1,"m"))))&lt;0,0,IF(Q437+R437+S437+Y437+Z437+X437+W437+V437+U437+T437=12,0,IF(AA436&gt;$G$28,12-DATEDIF($G$28,AA436+1,"m"),IF(AA436&lt;$G$27,0,DATEDIF($G$27,AA436+1,"m")))))</f>
        <v>0</v>
      </c>
      <c r="AB437" s="414">
        <f>IF(IF(Q437+R437+S437+T437+Z437+AA437+Y437+X437+W437+V437+U437=12,0,IF(AB436&gt;$G$28,12-DATEDIF($G$28,AB436+1,"m"),IF(AB436&lt;$G$27,0,DATEDIF($G$27,AB436+1,"m"))))&lt;0,0,IF(Q437+R437+S437+T437+Z437+AA437+Y437+X437+W437+V437+U437=12,0,IF(AB436&gt;$G$28,12-DATEDIF($G$28,AB436+1,"m"),IF(AB436&lt;$G$27,0,DATEDIF($G$27,AB436+1,"m")))))</f>
        <v>0</v>
      </c>
      <c r="AC437" s="414">
        <f>IF(IF(Q437+R437+S437+T437+U437+AA437+AB437+Z437+Y437+X437+W437+V437=12,0,IF(AC436&gt;$G$28,12-DATEDIF($G$28,AC436+1,"m"),IF(AC436&lt;$G$27,0,DATEDIF($G$27,AC436+1,"m"))))&lt;0,0,IF(Q437+R437+S437+T437+U437+AA437+AB437+Z437+Y437+X437+W437+V437=12,0,IF(AC436&gt;$G$28,12-DATEDIF($G$28,AC436+1,"m"),IF(AC436&lt;$G$27,0,DATEDIF($G$27,AC436+1,"m")))))</f>
        <v>0</v>
      </c>
      <c r="AD437" s="414">
        <f>IF(IF(Q437+R437+S437+T437+U437+V437+AB437+AC437+AA437+Z437+Y437+X437+W437=12,0,IF(AD436&gt;$G$28,12-DATEDIF($G$28,AD436+1,"m"),IF(AD436&lt;$G$27,0,DATEDIF($G$27,AD436+1,"m"))))&lt;0,0,IF(Q437+R437+S437+T437+U437+V437+AB437+AC437+AA437+Z437+Y437+X437+W437=12,0,IF(AD436&gt;$G$28,12-DATEDIF($G$28,AD436+1,"m"),IF(AD436&lt;$G$27,0,DATEDIF($G$27,AD436+1,"m")))))</f>
        <v>0</v>
      </c>
      <c r="AE437" s="414"/>
      <c r="AF437" s="414"/>
      <c r="AG437" s="414"/>
      <c r="AH437" s="423">
        <f>SUM(Q437:AG437)</f>
        <v>0</v>
      </c>
      <c r="AI437" s="414">
        <f t="shared" si="204"/>
        <v>0</v>
      </c>
      <c r="AJ437" s="414">
        <f t="shared" si="204"/>
        <v>0</v>
      </c>
      <c r="AK437" s="414">
        <f t="shared" si="204"/>
        <v>0</v>
      </c>
      <c r="AL437" s="414">
        <f t="shared" si="204"/>
        <v>0</v>
      </c>
      <c r="AM437" s="414">
        <f t="shared" si="204"/>
        <v>0</v>
      </c>
      <c r="AN437" s="414">
        <f t="shared" si="204"/>
        <v>0</v>
      </c>
      <c r="AO437" s="414">
        <f t="shared" si="204"/>
        <v>0</v>
      </c>
      <c r="AP437" s="414">
        <f t="shared" si="204"/>
        <v>0</v>
      </c>
      <c r="AQ437" s="414">
        <f t="shared" si="204"/>
        <v>0</v>
      </c>
      <c r="AR437" s="414">
        <f t="shared" si="204"/>
        <v>0</v>
      </c>
      <c r="AS437" s="414">
        <f t="shared" si="205"/>
        <v>0</v>
      </c>
      <c r="AT437" s="414">
        <f t="shared" si="205"/>
        <v>0</v>
      </c>
      <c r="AU437" s="414">
        <f t="shared" si="205"/>
        <v>0</v>
      </c>
      <c r="AV437" s="414">
        <f t="shared" si="205"/>
        <v>0</v>
      </c>
      <c r="AW437" s="414">
        <f t="shared" si="205"/>
        <v>0</v>
      </c>
      <c r="AX437" s="414">
        <f t="shared" si="205"/>
        <v>0</v>
      </c>
      <c r="AY437" s="414">
        <f t="shared" si="205"/>
        <v>0</v>
      </c>
      <c r="AZ437" s="414">
        <f>SUM(AI437:AY437)</f>
        <v>0</v>
      </c>
    </row>
    <row r="438" spans="15:52" hidden="1">
      <c r="P438" s="207">
        <f t="shared" si="197"/>
        <v>1</v>
      </c>
      <c r="Q438" s="415">
        <f>IF(Q437=0,0,(IF(($B$152+$C$152+$D$152+$E$152+$F$152+$G$152)&lt;=25000,(($G$152/+$AH437)*Q437)*VLOOKUP('1. SUMMARY'!$C$20,rate,Sheet1!T$21,0),((IF(($F$152+$B$152+$C$152+$D$152+$E$152)&gt;=25000,0,(((25000-($B$152+$C$152+$D$152+$E$152+$F$152))/+$AH437)*Q437)*(VLOOKUP('1. SUMMARY'!$C$20,rate,Sheet1!T$21,0))))))))</f>
        <v>0</v>
      </c>
      <c r="R438" s="415">
        <f>IF(R437=0,0,(IF(($B$152+$C$152+$D$152+$E$152+$F$152+$G$152)&lt;=25000,(($G$152/+$AH437)*R437)*VLOOKUP('1. SUMMARY'!$C$20,rate,Sheet1!U$21,0),((IF(($F$152+$B$152+$C$152+$D$152+$E$152)&gt;=25000,0,(((25000-($B$152+$C$152+$D$152+$E$152+$F$152))/+$AH437)*R437)*(VLOOKUP('1. SUMMARY'!$C$20,rate,Sheet1!U$21,0))))))))</f>
        <v>0</v>
      </c>
      <c r="S438" s="415">
        <f>IF(S437=0,0,(IF(($B$152+$C$152+$D$152+$E$152+$F$152+$G$152)&lt;=25000,(($G$152/+$AH437)*S437)*VLOOKUP('1. SUMMARY'!$C$20,rate,Sheet1!V$21,0),((IF(($F$152+$B$152+$C$152+$D$152+$E$152)&gt;=25000,0,(((25000-($B$152+$C$152+$D$152+$E$152+$F$152))/+$AH437)*S437)*(VLOOKUP('1. SUMMARY'!$C$20,rate,Sheet1!V$21,0))))))))</f>
        <v>0</v>
      </c>
      <c r="T438" s="415">
        <f>IF(T437=0,0,(IF(($B$152+$C$152+$D$152+$E$152+$F$152+$G$152)&lt;=25000,(($G$152/+$AH437)*T437)*VLOOKUP('1. SUMMARY'!$C$20,rate,Sheet1!W$21,0),((IF(($F$152+$B$152+$C$152+$D$152+$E$152)&gt;=25000,0,(((25000-($B$152+$C$152+$D$152+$E$152+$F$152))/+$AH437)*T437)*(VLOOKUP('1. SUMMARY'!$C$20,rate,Sheet1!W$21,0))))))))</f>
        <v>0</v>
      </c>
      <c r="U438" s="415">
        <f>IF(U437=0,0,(IF(($B$152+$C$152+$D$152+$E$152+$F$152+$G$152)&lt;=25000,(($G$152/+$AH437)*U437)*VLOOKUP('1. SUMMARY'!$C$20,rate,Sheet1!X$21,0),((IF(($F$152+$B$152+$C$152+$D$152+$E$152)&gt;=25000,0,(((25000-($B$152+$C$152+$D$152+$E$152+$F$152))/+$AH437)*U437)*(VLOOKUP('1. SUMMARY'!$C$20,rate,Sheet1!X$21,0))))))))</f>
        <v>0</v>
      </c>
      <c r="V438" s="415">
        <f>IF(V437=0,0,(IF(($B$152+$C$152+$D$152+$E$152+$F$152+$G$152)&lt;=25000,(($G$152/+$AH437)*V437)*VLOOKUP('1. SUMMARY'!$C$20,rate,Sheet1!Y$21,0),((IF(($F$152+$B$152+$C$152+$D$152+$E$152)&gt;=25000,0,(((25000-($B$152+$C$152+$D$152+$E$152+$F$152))/+$AH437)*V437)*(VLOOKUP('1. SUMMARY'!$C$20,rate,Sheet1!Y$21,0))))))))</f>
        <v>0</v>
      </c>
      <c r="W438" s="415">
        <f>IF(W437=0,0,(IF(($B$152+$C$152+$D$152+$E$152+$F$152+$G$152)&lt;=25000,(($G$152/+$AH437)*W437)*VLOOKUP('1. SUMMARY'!$C$20,rate,Sheet1!Z$21,0),((IF(($F$152+$B$152+$C$152+$D$152+$E$152)&gt;=25000,0,(((25000-($B$152+$C$152+$D$152+$E$152+$F$152))/+$AH437)*W437)*(VLOOKUP('1. SUMMARY'!$C$20,rate,Sheet1!Z$21,0))))))))</f>
        <v>0</v>
      </c>
      <c r="X438" s="415">
        <f>IF(X437=0,0,(IF(($B$152+$C$152+$D$152+$E$152+$F$152+$G$152)&lt;=25000,(($G$152/+$AH437)*X437)*VLOOKUP('1. SUMMARY'!$C$20,rate,Sheet1!AA$21,0),((IF(($F$152+$B$152+$C$152+$D$152+$E$152)&gt;=25000,0,(((25000-($B$152+$C$152+$D$152+$E$152+$F$152))/+$AH437)*X437)*(VLOOKUP('1. SUMMARY'!$C$20,rate,Sheet1!AA$21,0))))))))</f>
        <v>0</v>
      </c>
      <c r="Y438" s="415">
        <f>IF(Y437=0,0,(IF(($B$152+$C$152+$D$152+$E$152+$F$152+$G$152)&lt;=25000,(($G$152/+$AH437)*Y437)*VLOOKUP('1. SUMMARY'!$C$20,rate,Sheet1!AB$21,0),((IF(($F$152+$B$152+$C$152+$D$152+$E$152)&gt;=25000,0,(((25000-($B$152+$C$152+$D$152+$E$152+$F$152))/+$AH437)*Y437)*(VLOOKUP('1. SUMMARY'!$C$20,rate,Sheet1!AB$21,0))))))))</f>
        <v>0</v>
      </c>
      <c r="Z438" s="415">
        <f>IF(Z437=0,0,(IF(($B$152+$C$152+$D$152+$E$152+$F$152+$G$152)&lt;=25000,(($G$152/+$AH437)*Z437)*VLOOKUP('1. SUMMARY'!$C$20,rate,Sheet1!AC$21,0),((IF(($F$152+$B$152+$C$152+$D$152+$E$152)&gt;=25000,0,(((25000-($B$152+$C$152+$D$152+$E$152+$F$152))/+$AH437)*Z437)*(VLOOKUP('1. SUMMARY'!$C$20,rate,Sheet1!AC$21,0))))))))</f>
        <v>0</v>
      </c>
      <c r="AA438" s="415">
        <f>IF(AA437=0,0,(IF(($B$152+$C$152+$D$152+$E$152+$F$152+$G$152)&lt;=25000,(($G$152/+$AH437)*AA437)*VLOOKUP('1. SUMMARY'!$C$20,rate,Sheet1!AD$21,0),((IF(($F$152+$B$152+$C$152+$D$152+$E$152)&gt;=25000,0,(((25000-($B$152+$C$152+$D$152+$E$152+$F$152))/+$AH437)*AA437)*(VLOOKUP('1. SUMMARY'!$C$20,rate,Sheet1!AD$21,0))))))))</f>
        <v>0</v>
      </c>
      <c r="AB438" s="415">
        <f>IF(AB437=0,0,(IF(($B$152+$C$152+$D$152+$E$152+$F$152+$G$152)&lt;=25000,(($G$152/+$AH437)*AB437)*VLOOKUP('1. SUMMARY'!$C$20,rate,Sheet1!AE$21,0),((IF(($F$152+$B$152+$C$152+$D$152+$E$152)&gt;=25000,0,(((25000-($B$152+$C$152+$D$152+$E$152+$F$152))/+$AH437)*AB437)*(VLOOKUP('1. SUMMARY'!$C$20,rate,Sheet1!AE$21,0))))))))</f>
        <v>0</v>
      </c>
      <c r="AC438" s="415">
        <f>IF(AC437=0,0,(IF(($B$152+$C$152+$D$152+$E$152+$F$152+$G$152)&lt;=25000,(($G$152/+$AH437)*AC437)*VLOOKUP('1. SUMMARY'!$C$20,rate,Sheet1!AF$21,0),((IF(($F$152+$B$152+$C$152+$D$152+$E$152)&gt;=25000,0,(((25000-($B$152+$C$152+$D$152+$E$152+$F$152))/+$AH437)*AC437)*(VLOOKUP('1. SUMMARY'!$C$20,rate,Sheet1!AF$21,0))))))))</f>
        <v>0</v>
      </c>
      <c r="AD438" s="415">
        <f>IF(AD437=0,0,(IF(($B$152+$C$152+$D$152+$E$152+$F$152+$G$152)&lt;=25000,(($G$152/+$AH437)*AD437)*VLOOKUP('1. SUMMARY'!$C$20,rate,Sheet1!AG$21,0),((IF(($F$152+$B$152+$C$152+$D$152+$E$152)&gt;=25000,0,(((25000-($B$152+$C$152+$D$152+$E$152+$F$152))/+$AH437)*AD437)*(VLOOKUP('1. SUMMARY'!$C$20,rate,Sheet1!AG$21,0))))))))</f>
        <v>0</v>
      </c>
      <c r="AE438" s="415">
        <f>IF(AE437=0,0,(IF(($B$152+$C$152+$D$152+$E$152+$F$152+$G$152)&lt;=25000,(($G$152/+$AH437)*AE437)*VLOOKUP('1. SUMMARY'!$C$20,rate,Sheet1!AH$21,0),((IF(($F$152+$B$152+$C$152+$D$152+$E$152)&gt;=25000,0,(((25000-($B$152+$C$152+$D$152+$E$152+$F$152))/+$AH437)*AE437)*(VLOOKUP('1. SUMMARY'!$C$20,rate,Sheet1!AH$21,0))))))))</f>
        <v>0</v>
      </c>
      <c r="AF438" s="415">
        <f>IF(AF437=0,0,(IF(($B$152+$C$152+$D$152+$E$152+$F$152+$G$152)&lt;=25000,(($G$152/+$AH437)*AF437)*VLOOKUP('1. SUMMARY'!$C$20,rate,Sheet1!AI$21,0),((IF(($F$152+$B$152+$C$152+$D$152+$E$152)&gt;=25000,0,(((25000-($B$152+$C$152+$D$152+$E$152+$F$152))/+$AH437)*AF437)*(VLOOKUP('1. SUMMARY'!$C$20,rate,Sheet1!AI$21,0))))))))</f>
        <v>0</v>
      </c>
      <c r="AG438" s="415">
        <f>IF(AG437=0,0,(IF(($B$152+$C$152+$D$152+$E$152+$F$152+$G$152)&lt;=25000,(($G$152/+$AH437)*AG437)*VLOOKUP('1. SUMMARY'!$C$20,rate,Sheet1!AJ$21,0),((IF(($F$152+$B$152+$C$152+$D$152+$E$152)&gt;=25000,0,(((25000-($B$152+$C$152+$D$152+$E$152+$F$152))/+$AH437)*AG437)*(VLOOKUP('1. SUMMARY'!$C$20,rate,Sheet1!AJ$21,0))))))))</f>
        <v>0</v>
      </c>
      <c r="AH438" s="219">
        <f>SUM(Q438:AG438)</f>
        <v>0</v>
      </c>
      <c r="AI438" s="415">
        <f>IF(AI437=0,0,((+$G152/$AZ437)*AI437)*VLOOKUP('1. SUMMARY'!$C$20,rate,Sheet1!T$21,0))</f>
        <v>0</v>
      </c>
      <c r="AJ438" s="415">
        <f>IF(AJ437=0,0,((+$G152/$AZ437)*AJ437)*VLOOKUP('1. SUMMARY'!$C$20,rate,Sheet1!U$21,0))</f>
        <v>0</v>
      </c>
      <c r="AK438" s="415">
        <f>IF(AK437=0,0,((+$G152/$AZ437)*AK437)*VLOOKUP('1. SUMMARY'!$C$20,rate,Sheet1!V$21,0))</f>
        <v>0</v>
      </c>
      <c r="AL438" s="415">
        <f>IF(AL437=0,0,((+$G152/$AZ437)*AL437)*VLOOKUP('1. SUMMARY'!$C$20,rate,Sheet1!W$21,0))</f>
        <v>0</v>
      </c>
      <c r="AM438" s="415">
        <f>IF(AM437=0,0,((+$G152/$AZ437)*AM437)*VLOOKUP('1. SUMMARY'!$C$20,rate,Sheet1!X$21,0))</f>
        <v>0</v>
      </c>
      <c r="AN438" s="415">
        <f>IF(AN437=0,0,((+$G152/$AZ437)*AN437)*VLOOKUP('1. SUMMARY'!$C$20,rate,Sheet1!Y$21,0))</f>
        <v>0</v>
      </c>
      <c r="AO438" s="415">
        <f>IF(AO437=0,0,((+$G152/$AZ437)*AO437)*VLOOKUP('1. SUMMARY'!$C$20,rate,Sheet1!Z$21,0))</f>
        <v>0</v>
      </c>
      <c r="AP438" s="415">
        <f>IF(AP437=0,0,((+$G152/$AZ437)*AP437)*VLOOKUP('1. SUMMARY'!$C$20,rate,Sheet1!AA$21,0))</f>
        <v>0</v>
      </c>
      <c r="AQ438" s="415">
        <f>IF(AQ437=0,0,((+$G152/$AZ437)*AQ437)*VLOOKUP('1. SUMMARY'!$C$20,rate,Sheet1!AB$21,0))</f>
        <v>0</v>
      </c>
      <c r="AR438" s="415">
        <f>IF(AR437=0,0,((+$G152/$AZ437)*AR437)*VLOOKUP('1. SUMMARY'!$C$20,rate,Sheet1!AC$21,0))</f>
        <v>0</v>
      </c>
      <c r="AS438" s="415">
        <f>IF(AS437=0,0,((+$G152/$AZ437)*AS437)*VLOOKUP('1. SUMMARY'!$C$20,rate,Sheet1!AD$21,0))</f>
        <v>0</v>
      </c>
      <c r="AT438" s="415">
        <f>IF(AT437=0,0,((+$G152/$AZ437)*AT437)*VLOOKUP('1. SUMMARY'!$C$20,rate,Sheet1!AE$21,0))</f>
        <v>0</v>
      </c>
      <c r="AU438" s="415">
        <f>IF(AU437=0,0,((+$G152/$AZ437)*AU437)*VLOOKUP('1. SUMMARY'!$C$20,rate,Sheet1!AF$21,0))</f>
        <v>0</v>
      </c>
      <c r="AV438" s="415">
        <f>IF(AV437=0,0,((+$G152/$AZ437)*AV437)*VLOOKUP('1. SUMMARY'!$C$20,rate,Sheet1!AG$21,0))</f>
        <v>0</v>
      </c>
      <c r="AW438" s="415">
        <f>IF(AW437=0,0,((+$G152/$AZ437)*AW437)*VLOOKUP('1. SUMMARY'!$C$20,rate,Sheet1!AH$21,0))</f>
        <v>0</v>
      </c>
      <c r="AX438" s="415">
        <f>IF(AX437=0,0,((+$G152/$AZ437)*AX437)*VLOOKUP('1. SUMMARY'!$C$20,rate,Sheet1!AI$21,0))</f>
        <v>0</v>
      </c>
      <c r="AY438" s="415">
        <f>IF(AY437=0,0,((+$G152/$AZ437)*AY437)*VLOOKUP('1. SUMMARY'!$C$20,rate,Sheet1!AJ$21,0))</f>
        <v>0</v>
      </c>
      <c r="AZ438" s="415">
        <f>SUM(AI438:AY438)</f>
        <v>0</v>
      </c>
    </row>
    <row r="439" spans="15:52" hidden="1">
      <c r="P439" s="207">
        <f t="shared" si="197"/>
        <v>1</v>
      </c>
      <c r="Q439" s="415">
        <f>+Q438/VLOOKUP('1. SUMMARY'!$C$20,rate,Sheet1!T$21,0)</f>
        <v>0</v>
      </c>
      <c r="R439" s="415">
        <f>+R438/VLOOKUP('1. SUMMARY'!$C$20,rate,Sheet1!U$21,0)</f>
        <v>0</v>
      </c>
      <c r="S439" s="415">
        <f>+S438/VLOOKUP('1. SUMMARY'!$C$20,rate,Sheet1!V$21,0)</f>
        <v>0</v>
      </c>
      <c r="T439" s="415">
        <f>+T438/VLOOKUP('1. SUMMARY'!$C$20,rate,Sheet1!W$21,0)</f>
        <v>0</v>
      </c>
      <c r="U439" s="415">
        <f>+U438/VLOOKUP('1. SUMMARY'!$C$20,rate,Sheet1!X$21,0)</f>
        <v>0</v>
      </c>
      <c r="V439" s="415">
        <f>+V438/VLOOKUP('1. SUMMARY'!$C$20,rate,Sheet1!Y$21,0)</f>
        <v>0</v>
      </c>
      <c r="W439" s="415">
        <f>+W438/VLOOKUP('1. SUMMARY'!$C$20,rate,Sheet1!Z$21,0)</f>
        <v>0</v>
      </c>
      <c r="X439" s="415">
        <f>+X438/VLOOKUP('1. SUMMARY'!$C$20,rate,Sheet1!AA$21,0)</f>
        <v>0</v>
      </c>
      <c r="Y439" s="415">
        <f>+Y438/VLOOKUP('1. SUMMARY'!$C$20,rate,Sheet1!AB$21,0)</f>
        <v>0</v>
      </c>
      <c r="Z439" s="415">
        <f>+Z438/VLOOKUP('1. SUMMARY'!$C$20,rate,Sheet1!AC$21,0)</f>
        <v>0</v>
      </c>
      <c r="AA439" s="415">
        <f>+AA438/VLOOKUP('1. SUMMARY'!$C$20,rate,Sheet1!AD$21,0)</f>
        <v>0</v>
      </c>
      <c r="AB439" s="415">
        <f>+AB438/VLOOKUP('1. SUMMARY'!$C$20,rate,Sheet1!AE$21,0)</f>
        <v>0</v>
      </c>
      <c r="AC439" s="415">
        <f>+AC438/VLOOKUP('1. SUMMARY'!$C$20,rate,Sheet1!AF$21,0)</f>
        <v>0</v>
      </c>
      <c r="AD439" s="415">
        <f>+AD438/VLOOKUP('1. SUMMARY'!$C$20,rate,Sheet1!AG$21,0)</f>
        <v>0</v>
      </c>
      <c r="AE439" s="415">
        <f>+AE438/VLOOKUP('1. SUMMARY'!$C$20,rate,Sheet1!AH$21,0)</f>
        <v>0</v>
      </c>
      <c r="AF439" s="415">
        <f>+AF438/VLOOKUP('1. SUMMARY'!$C$20,rate,Sheet1!AI$21,0)</f>
        <v>0</v>
      </c>
      <c r="AG439" s="415">
        <f>+AG438/VLOOKUP('1. SUMMARY'!$C$20,rate,Sheet1!AJ$21,0)</f>
        <v>0</v>
      </c>
      <c r="AH439" s="219"/>
      <c r="AI439" s="415"/>
      <c r="AJ439" s="415"/>
      <c r="AK439" s="415"/>
      <c r="AL439" s="415"/>
      <c r="AM439" s="415"/>
      <c r="AN439" s="415"/>
      <c r="AO439" s="415"/>
      <c r="AP439" s="415"/>
      <c r="AQ439" s="415"/>
      <c r="AR439" s="415"/>
      <c r="AS439" s="415"/>
      <c r="AT439" s="415"/>
      <c r="AU439" s="415"/>
      <c r="AV439" s="415"/>
      <c r="AW439" s="415"/>
      <c r="AX439" s="415"/>
      <c r="AY439" s="415"/>
      <c r="AZ439" s="415"/>
    </row>
    <row r="440" spans="15:52" hidden="1">
      <c r="P440" s="207">
        <f t="shared" si="197"/>
        <v>1</v>
      </c>
      <c r="Q440" s="411">
        <f>Sheet1!$T$8</f>
        <v>44105</v>
      </c>
      <c r="R440" s="411">
        <f>Sheet1!$U$8</f>
        <v>44470</v>
      </c>
      <c r="S440" s="411">
        <f>Sheet1!$V$8</f>
        <v>44835</v>
      </c>
      <c r="T440" s="411">
        <f>Sheet1!$W$8</f>
        <v>45200</v>
      </c>
      <c r="U440" s="411">
        <f>Sheet1!$X$8</f>
        <v>45566</v>
      </c>
      <c r="V440" s="411">
        <f>Sheet1!$Y$8</f>
        <v>45931</v>
      </c>
      <c r="W440" s="411">
        <f>Sheet1!$Z$8</f>
        <v>46296</v>
      </c>
      <c r="X440" s="411">
        <f>Sheet1!$AA$8</f>
        <v>46661</v>
      </c>
      <c r="Y440" s="411">
        <f>Sheet1!$AB$8</f>
        <v>47027</v>
      </c>
      <c r="Z440" s="411">
        <f>Sheet1!$AC$8</f>
        <v>47392</v>
      </c>
      <c r="AA440" s="411">
        <f>$AA$5</f>
        <v>47757</v>
      </c>
      <c r="AB440" s="411">
        <f>$AB$5</f>
        <v>48122</v>
      </c>
      <c r="AC440" s="411">
        <f>$AC$5</f>
        <v>48488</v>
      </c>
      <c r="AD440" s="411">
        <f>$AD$5</f>
        <v>48853</v>
      </c>
      <c r="AE440" s="411">
        <f>$AE$5</f>
        <v>49218</v>
      </c>
      <c r="AF440" s="411">
        <f>$AF$5</f>
        <v>49583</v>
      </c>
      <c r="AG440" s="411">
        <f>$AG$5</f>
        <v>49949</v>
      </c>
      <c r="AH440" s="211"/>
      <c r="AI440" s="411">
        <f t="shared" ref="AI440:AR442" si="206">+Q440</f>
        <v>44105</v>
      </c>
      <c r="AJ440" s="411">
        <f t="shared" si="206"/>
        <v>44470</v>
      </c>
      <c r="AK440" s="411">
        <f t="shared" si="206"/>
        <v>44835</v>
      </c>
      <c r="AL440" s="411">
        <f t="shared" si="206"/>
        <v>45200</v>
      </c>
      <c r="AM440" s="411">
        <f t="shared" si="206"/>
        <v>45566</v>
      </c>
      <c r="AN440" s="411">
        <f t="shared" si="206"/>
        <v>45931</v>
      </c>
      <c r="AO440" s="411">
        <f t="shared" si="206"/>
        <v>46296</v>
      </c>
      <c r="AP440" s="411">
        <f t="shared" si="206"/>
        <v>46661</v>
      </c>
      <c r="AQ440" s="411">
        <f t="shared" si="206"/>
        <v>47027</v>
      </c>
      <c r="AR440" s="411">
        <f t="shared" si="206"/>
        <v>47392</v>
      </c>
      <c r="AS440" s="411">
        <f t="shared" ref="AS440:AY442" si="207">+AA440</f>
        <v>47757</v>
      </c>
      <c r="AT440" s="411">
        <f t="shared" si="207"/>
        <v>48122</v>
      </c>
      <c r="AU440" s="411">
        <f t="shared" si="207"/>
        <v>48488</v>
      </c>
      <c r="AV440" s="411">
        <f t="shared" si="207"/>
        <v>48853</v>
      </c>
      <c r="AW440" s="411">
        <f t="shared" si="207"/>
        <v>49218</v>
      </c>
      <c r="AX440" s="411">
        <f t="shared" si="207"/>
        <v>49583</v>
      </c>
      <c r="AY440" s="411">
        <f t="shared" si="207"/>
        <v>49949</v>
      </c>
      <c r="AZ440" s="411"/>
    </row>
    <row r="441" spans="15:52" hidden="1">
      <c r="P441" s="207">
        <f t="shared" si="197"/>
        <v>1</v>
      </c>
      <c r="Q441" s="411">
        <f>Sheet1!$T$9</f>
        <v>44469</v>
      </c>
      <c r="R441" s="411">
        <f>Sheet1!$U$9</f>
        <v>44834</v>
      </c>
      <c r="S441" s="411">
        <f>Sheet1!$V$9</f>
        <v>45199</v>
      </c>
      <c r="T441" s="411">
        <f>Sheet1!$W$9</f>
        <v>45565</v>
      </c>
      <c r="U441" s="411">
        <f>Sheet1!$X$9</f>
        <v>45930</v>
      </c>
      <c r="V441" s="411">
        <f>Sheet1!$Y$9</f>
        <v>46295</v>
      </c>
      <c r="W441" s="411">
        <f>Sheet1!$Z$9</f>
        <v>46660</v>
      </c>
      <c r="X441" s="411">
        <f>Sheet1!$AA$9</f>
        <v>47026</v>
      </c>
      <c r="Y441" s="411">
        <f>Sheet1!$AB$9</f>
        <v>47391</v>
      </c>
      <c r="Z441" s="411">
        <f>Sheet1!$AC$9</f>
        <v>47756</v>
      </c>
      <c r="AA441" s="411">
        <f>$AA$6</f>
        <v>48121</v>
      </c>
      <c r="AB441" s="411">
        <f>$AB$6</f>
        <v>48487</v>
      </c>
      <c r="AC441" s="411">
        <f>$AC$6</f>
        <v>48852</v>
      </c>
      <c r="AD441" s="411">
        <f>$AD$6</f>
        <v>49217</v>
      </c>
      <c r="AE441" s="411">
        <f>$AE$6</f>
        <v>49582</v>
      </c>
      <c r="AF441" s="411">
        <f>$AF$6</f>
        <v>49948</v>
      </c>
      <c r="AG441" s="411">
        <f>$AG$6</f>
        <v>50313</v>
      </c>
      <c r="AH441" s="211"/>
      <c r="AI441" s="411">
        <f t="shared" si="206"/>
        <v>44469</v>
      </c>
      <c r="AJ441" s="411">
        <f t="shared" si="206"/>
        <v>44834</v>
      </c>
      <c r="AK441" s="411">
        <f t="shared" si="206"/>
        <v>45199</v>
      </c>
      <c r="AL441" s="411">
        <f t="shared" si="206"/>
        <v>45565</v>
      </c>
      <c r="AM441" s="411">
        <f t="shared" si="206"/>
        <v>45930</v>
      </c>
      <c r="AN441" s="411">
        <f t="shared" si="206"/>
        <v>46295</v>
      </c>
      <c r="AO441" s="411">
        <f t="shared" si="206"/>
        <v>46660</v>
      </c>
      <c r="AP441" s="411">
        <f t="shared" si="206"/>
        <v>47026</v>
      </c>
      <c r="AQ441" s="411">
        <f t="shared" si="206"/>
        <v>47391</v>
      </c>
      <c r="AR441" s="411">
        <f t="shared" si="206"/>
        <v>47756</v>
      </c>
      <c r="AS441" s="411">
        <f t="shared" si="207"/>
        <v>48121</v>
      </c>
      <c r="AT441" s="411">
        <f t="shared" si="207"/>
        <v>48487</v>
      </c>
      <c r="AU441" s="411">
        <f t="shared" si="207"/>
        <v>48852</v>
      </c>
      <c r="AV441" s="411">
        <f t="shared" si="207"/>
        <v>49217</v>
      </c>
      <c r="AW441" s="411">
        <f t="shared" si="207"/>
        <v>49582</v>
      </c>
      <c r="AX441" s="411">
        <f t="shared" si="207"/>
        <v>49948</v>
      </c>
      <c r="AY441" s="411">
        <f t="shared" si="207"/>
        <v>50313</v>
      </c>
      <c r="AZ441" s="411"/>
    </row>
    <row r="442" spans="15:52" hidden="1">
      <c r="O442" s="207" t="s">
        <v>264</v>
      </c>
      <c r="P442" s="207">
        <f t="shared" si="197"/>
        <v>1</v>
      </c>
      <c r="Q442" s="412">
        <f>IF(IF(Q441&lt;$H$27,0,DATEDIF($H$27,Q441+1,"m"))&lt;0,0,IF(Q441&lt;$H$27,0,DATEDIF($H$27,Q441+1,"m")))</f>
        <v>0</v>
      </c>
      <c r="R442" s="412">
        <f>IF(IF(Q442=12,0,IF(R441&gt;$H$28,12-DATEDIF($H$28,R441+1,"m"),IF(R441&lt;$H$27,0,DATEDIF($H$27,R441+1,"m"))))&lt;0,0,IF(Q442=12,0,IF(R441&gt;$H$28,12-DATEDIF($H$28,R441+1,"m"),IF(R441&lt;$H$27,0,DATEDIF($H$27,R441+1,"m")))))</f>
        <v>0</v>
      </c>
      <c r="S442" s="412">
        <f>IF(IF(Q442+R442=12,0,IF(S441&gt;$H$28,12-DATEDIF($H$28,S441+1,"m"),IF(S441&lt;$H$27,0,DATEDIF($H$27,S441+1,"m"))))&lt;0,0,IF(Q442+R442=12,0,IF(S441&gt;$H$28,12-DATEDIF($H$28,S441+1,"m"),IF(S441&lt;$H$27,0,DATEDIF($H$27,S441+1,"m")))))</f>
        <v>0</v>
      </c>
      <c r="T442" s="412">
        <f>IF(IF(R442+S442+Q442=12,0,IF(T441&gt;$H$28,12-DATEDIF($H$28,T441+1,"m"),IF(T441&lt;$H$27,0,DATEDIF($H$27,T441+1,"m"))))&lt;0,0,IF(R442+S442+Q442=12,0,IF(T441&gt;$H$28,12-DATEDIF($H$28,T441+1,"m"),IF(T441&lt;$H$27,0,DATEDIF($H$27,T441+1,"m")))))</f>
        <v>0</v>
      </c>
      <c r="U442" s="412">
        <f>IF(IF(S442+T442+R442+Q442=12,0,IF(U441&gt;$H$28,12-DATEDIF($H$28,U441+1,"m"),IF(U441&lt;$H$27,0,DATEDIF($H$27,U441+1,"m"))))&lt;0,0,IF(S442+T442+R442+Q442=12,0,IF(U441&gt;$H$28,12-DATEDIF($H$28,U441+1,"m"),IF(U441&lt;$H$27,0,DATEDIF($H$27,U441+1,"m")))))</f>
        <v>0</v>
      </c>
      <c r="V442" s="412">
        <f>IF(IF(T442+U442+S442+R442+Q442=12,0,IF(V441&gt;$H$28,12-DATEDIF($H$28,V441+1,"m"),IF(V441&lt;$H$27,0,DATEDIF($H$27,V441+1,"m"))))&lt;0,0,IF(T442+U442+S442+R442+Q442=12,0,IF(V441&gt;$H$28,12-DATEDIF($H$28,V441+1,"m"),IF(V441&lt;$H$27,0,DATEDIF($H$27,V441+1,"m")))))</f>
        <v>0</v>
      </c>
      <c r="W442" s="412">
        <f>IF(IF(U442+V442+T442+S442+R442+Q442=12,0,IF(W441&gt;$H$28,12-DATEDIF($H$28,W441+1,"m"),IF(W441&lt;$H$27,0,DATEDIF($H$27,W441+1,"m"))))&lt;0,0,IF(U442+V442+T442+S442+R442+Q442=12,0,IF(W441&gt;$H$28,12-DATEDIF($H$28,W441+1,"m"),IF(W441&lt;$H$27,0,DATEDIF($H$27,W441+1,"m")))))</f>
        <v>0</v>
      </c>
      <c r="X442" s="412">
        <f>IF(IF(V442+W442+U442+T442+S442+R442+Q442=12,0,IF(X441&gt;$H$28,12-DATEDIF($H$28,X441+1,"m"),IF(X441&lt;$H$27,0,DATEDIF($H$27,X441+1,"m"))))&lt;0,0,IF(V442+W442+U442+T442+S442+R442+Q442=12,0,IF(X441&gt;$H$28,12-DATEDIF($H$28,X441+1,"m"),IF(X441&lt;$H$27,0,DATEDIF($H$27,X441+1,"m")))))</f>
        <v>0</v>
      </c>
      <c r="Y442" s="412">
        <f>IF(IF(W442+X442+V442+U442+T442+S442+R442+Q442=12,0,IF(Y441&gt;$H$28,12-DATEDIF($H$28,Y441+1,"m"),IF(Y441&lt;$H$27,0,DATEDIF($H$27,Y441+1,"m"))))&lt;0,0,IF(W442+X442+V442+U442+T442+S442+R442+Q442=12,0,IF(Y441&gt;$H$28,12-DATEDIF($H$28,Y441+1,"m"),IF(Y441&lt;$H$27,0,DATEDIF($H$27,Y441+1,"m")))))</f>
        <v>0</v>
      </c>
      <c r="Z442" s="412">
        <f>IF(IF(X442+Y442+W442+V442+U442+T442+S442+R442+Q442=12,0,IF(Z441&gt;$H$28,12-DATEDIF($H$28,Z441+1,"m"),IF(Z441&lt;$H$27,0,DATEDIF($H$27,Z441+1,"m"))))&lt;0,0,IF(X442+Y442+W442+V442+U442+T442+S442+R442+Q442=12,0,IF(Z441&gt;$H$28,12-DATEDIF($H$28,Z441+1,"m"),IF(Z441&lt;$H$27,0,DATEDIF($H$27,Z441+1,"m")))))</f>
        <v>0</v>
      </c>
      <c r="AA442" s="412">
        <f>IF(IF(Q442+R442+S442+Y442+Z442+X442+W442+V442+U442+T442=12,0,IF(AA441&gt;$H$28,12-DATEDIF($H$28,AA441+1,"m"),IF(AA441&lt;$H$27,0,DATEDIF($H$27,AA441+1,"m"))))&lt;0,0,IF(Q442+R442+S442+Y442+Z442+X442+W442+V442+U442+T442=12,0,IF(AA441&gt;$H$28,12-DATEDIF($H$28,AA441+1,"m"),IF(AA441&lt;$H$27,0,DATEDIF($H$27,AA441+1,"m")))))</f>
        <v>0</v>
      </c>
      <c r="AB442" s="412">
        <f>IF(IF(Q442+R442+S442+T442+Z442+AA442+Y442+X442+W442+V442+U442=12,0,IF(AB441&gt;$H$28,12-DATEDIF($H$28,AB441+1,"m"),IF(AB441&lt;$H$27,0,DATEDIF($H$27,AB441+1,"m"))))&lt;0,0,IF(Q442+R442+S442+T442+Z442+AA442+Y442+X442+W442+V442+U442=12,0,IF(AB441&gt;$H$28,12-DATEDIF($H$28,AB441+1,"m"),IF(AB441&lt;$H$27,0,DATEDIF($H$27,AB441+1,"m")))))</f>
        <v>0</v>
      </c>
      <c r="AC442" s="412">
        <f>IF(IF(Q442+R442+S442+T442+U442+AA442+AB442+Z442+Y442+X442+W442+V442=12,0,IF(AC441&gt;$H$28,12-DATEDIF($H$28,AC441+1,"m"),IF(AC441&lt;$H$27,0,DATEDIF($H$27,AC441+1,"m"))))&lt;0,0,IF(Q442+R442+S442+T442+U442+AA442+AB442+Z442+Y442+X442+W442+V442=12,0,IF(AC441&gt;$H$28,12-DATEDIF($H$28,AC441+1,"m"),IF(AC441&lt;$H$27,0,DATEDIF($H$27,AC441+1,"m")))))</f>
        <v>0</v>
      </c>
      <c r="AD442" s="412">
        <f>IF(IF(Q442+R442+S442+T442+U442+V442+AB442+AC442+AA442+Z442+Y442+X442+W442=12,0,IF(AD441&gt;$H$28,12-DATEDIF($H$28,AD441+1,"m"),IF(AD441&lt;$H$27,0,DATEDIF($H$27,AD441+1,"m"))))&lt;0,0,IF(Q442+R442+S442+T442+U442+V442+AB442+AC442+AA442+Z442+Y442+X442+W442=12,0,IF(AD441&gt;$H$28,12-DATEDIF($H$28,AD441+1,"m"),IF(AD441&lt;$H$27,0,DATEDIF($H$27,AD441+1,"m")))))</f>
        <v>0</v>
      </c>
      <c r="AE442" s="412">
        <f>IF(IF(Q442+R442+S442+T442+U442+V442+W442+AC442+AD442+AB442+AA442+Z442+Y442+X442=12,0,IF(AE441&gt;$H$28,12-DATEDIF($H$28,AE441+1,"m"),IF(AE441&lt;$H$27,0,DATEDIF($H$27,AE441+1,"m"))))&lt;0,0,IF(Q442+R442+S442+T442+U442+V442+W442+AC442+AD442+AB442+AA442+Z442+Y442+X442=12,0,IF(AE441&gt;$H$28,12-DATEDIF($H$28,AE441+1,"m"),IF(AE441&lt;$H$27,0,DATEDIF($H$27,AE441+1,"m")))))</f>
        <v>0</v>
      </c>
      <c r="AF442" s="412">
        <f>IF(IF(Q442+R442+S442+T442+U442+V442+W442+X442+AD442+AE442+AC442+AB442+AA442+Z442+Y442=12,0,IF(AF441&gt;$H$28,12-DATEDIF($H$28,AF441+1,"m"),IF(AF441&lt;$H$27,0,DATEDIF($H$27,AF441+1,"m"))))&lt;0,0,IF(Q442+R442+S442+T442+U442+V442+W442+X442+AD442+AE442+AC442+AB442+AA442+Z442+Y442=12,0,IF(AF441&gt;$H$28,12-DATEDIF($H$28,AF441+1,"m"),IF(AF441&lt;$H$27,0,DATEDIF($H$27,AF441+1,"m")))))</f>
        <v>0</v>
      </c>
      <c r="AG442" s="412">
        <f>IF(IF(Q442+R442+S442+T442+U442+V442+W442+X442+Y442+AE442+AF442+AD442+AC442+AB442+AA442+Z442=12,0,IF(AG441&gt;$H$28,12-DATEDIF($H$28,AG441+1,"m"),IF(AG441&lt;$H$27,0,DATEDIF($H$27,AG441+1,"m"))))&lt;0,0,IF(Q442+R442+S442+T442+U442+V442+W442+X442+Y442+AE442+AF442+AD442+AC442+AB442+AA442+Z442=12,0,IF(AG441&gt;$H$28,12-DATEDIF($H$28,AG441+1,"m"),IF(AG441&lt;$H$27,0,DATEDIF($H$27,AG441+1,"m")))))</f>
        <v>0</v>
      </c>
      <c r="AH442" s="423">
        <f>SUM(Q442:AG442)</f>
        <v>0</v>
      </c>
      <c r="AI442" s="425">
        <f t="shared" si="206"/>
        <v>0</v>
      </c>
      <c r="AJ442" s="425">
        <f t="shared" si="206"/>
        <v>0</v>
      </c>
      <c r="AK442" s="425">
        <f t="shared" si="206"/>
        <v>0</v>
      </c>
      <c r="AL442" s="425">
        <f t="shared" si="206"/>
        <v>0</v>
      </c>
      <c r="AM442" s="425">
        <f t="shared" si="206"/>
        <v>0</v>
      </c>
      <c r="AN442" s="425">
        <f t="shared" si="206"/>
        <v>0</v>
      </c>
      <c r="AO442" s="425">
        <f t="shared" si="206"/>
        <v>0</v>
      </c>
      <c r="AP442" s="425">
        <f t="shared" si="206"/>
        <v>0</v>
      </c>
      <c r="AQ442" s="425">
        <f t="shared" si="206"/>
        <v>0</v>
      </c>
      <c r="AR442" s="425">
        <f t="shared" si="206"/>
        <v>0</v>
      </c>
      <c r="AS442" s="425">
        <f t="shared" si="207"/>
        <v>0</v>
      </c>
      <c r="AT442" s="425">
        <f t="shared" si="207"/>
        <v>0</v>
      </c>
      <c r="AU442" s="425">
        <f t="shared" si="207"/>
        <v>0</v>
      </c>
      <c r="AV442" s="425">
        <f t="shared" si="207"/>
        <v>0</v>
      </c>
      <c r="AW442" s="425">
        <f t="shared" si="207"/>
        <v>0</v>
      </c>
      <c r="AX442" s="425">
        <f t="shared" si="207"/>
        <v>0</v>
      </c>
      <c r="AY442" s="425">
        <f t="shared" si="207"/>
        <v>0</v>
      </c>
      <c r="AZ442" s="425">
        <f>SUM(AI442:AY442)</f>
        <v>0</v>
      </c>
    </row>
    <row r="443" spans="15:52" hidden="1">
      <c r="P443" s="207">
        <f t="shared" si="197"/>
        <v>1</v>
      </c>
      <c r="Q443" s="412">
        <f>IF(Q442=0,0,(IF(($B$152+$C$152+$D$152+$E$152+$F$152+$G$152+$H$152)&lt;=25000,(($H$152/+$AH442)*Q442)*VLOOKUP('1. SUMMARY'!$C$20,rate,Sheet1!T$21,0),((IF(($F$152+$B$152+$C$152+$D$152+$E$152+$G$152)&gt;=25000,0,(((25000-($B$152+$C$152+$D$152+$E$152+$F$152+$G$152))/+$AH442)*Q442)*(VLOOKUP('1. SUMMARY'!$C$20,rate,Sheet1!T$21,0))))))))</f>
        <v>0</v>
      </c>
      <c r="R443" s="412">
        <f>IF(R442=0,0,(IF(($B$152+$C$152+$D$152+$E$152+$F$152+$G$152+$H$152)&lt;=25000,(($H$152/+$AH442)*R442)*VLOOKUP('1. SUMMARY'!$C$20,rate,Sheet1!U$21,0),((IF(($F$152+$B$152+$C$152+$D$152+$E$152+$G$152)&gt;=25000,0,(((25000-($B$152+$C$152+$D$152+$E$152+$F$152+$G$152))/+$AH442)*R442)*(VLOOKUP('1. SUMMARY'!$C$20,rate,Sheet1!U$21,0))))))))</f>
        <v>0</v>
      </c>
      <c r="S443" s="412">
        <f>IF(S442=0,0,(IF(($B$152+$C$152+$D$152+$E$152+$F$152+$G$152+$H$152)&lt;=25000,(($H$152/+$AH442)*S442)*VLOOKUP('1. SUMMARY'!$C$20,rate,Sheet1!V$21,0),((IF(($F$152+$B$152+$C$152+$D$152+$E$152+$G$152)&gt;=25000,0,(((25000-($B$152+$C$152+$D$152+$E$152+$F$152+$G$152))/+$AH442)*S442)*(VLOOKUP('1. SUMMARY'!$C$20,rate,Sheet1!V$21,0))))))))</f>
        <v>0</v>
      </c>
      <c r="T443" s="412">
        <f>IF(T442=0,0,(IF(($B$152+$C$152+$D$152+$E$152+$F$152+$G$152+$H$152)&lt;=25000,(($H$152/+$AH442)*T442)*VLOOKUP('1. SUMMARY'!$C$20,rate,Sheet1!W$21,0),((IF(($F$152+$B$152+$C$152+$D$152+$E$152+$G$152)&gt;=25000,0,(((25000-($B$152+$C$152+$D$152+$E$152+$F$152+$G$152))/+$AH442)*T442)*(VLOOKUP('1. SUMMARY'!$C$20,rate,Sheet1!W$21,0))))))))</f>
        <v>0</v>
      </c>
      <c r="U443" s="412">
        <f>IF(U442=0,0,(IF(($B$152+$C$152+$D$152+$E$152+$F$152+$G$152+$H$152)&lt;=25000,(($H$152/+$AH442)*U442)*VLOOKUP('1. SUMMARY'!$C$20,rate,Sheet1!X$21,0),((IF(($F$152+$B$152+$C$152+$D$152+$E$152+$G$152)&gt;=25000,0,(((25000-($B$152+$C$152+$D$152+$E$152+$F$152+$G$152))/+$AH442)*U442)*(VLOOKUP('1. SUMMARY'!$C$20,rate,Sheet1!X$21,0))))))))</f>
        <v>0</v>
      </c>
      <c r="V443" s="412">
        <f>IF(V442=0,0,(IF(($B$152+$C$152+$D$152+$E$152+$F$152+$G$152+$H$152)&lt;=25000,(($H$152/+$AH442)*V442)*VLOOKUP('1. SUMMARY'!$C$20,rate,Sheet1!Y$21,0),((IF(($F$152+$B$152+$C$152+$D$152+$E$152+$G$152)&gt;=25000,0,(((25000-($B$152+$C$152+$D$152+$E$152+$F$152+$G$152))/+$AH442)*V442)*(VLOOKUP('1. SUMMARY'!$C$20,rate,Sheet1!Y$21,0))))))))</f>
        <v>0</v>
      </c>
      <c r="W443" s="412">
        <f>IF(W442=0,0,(IF(($B$152+$C$152+$D$152+$E$152+$F$152+$G$152+$H$152)&lt;=25000,(($H$152/+$AH442)*W442)*VLOOKUP('1. SUMMARY'!$C$20,rate,Sheet1!Z$21,0),((IF(($F$152+$B$152+$C$152+$D$152+$E$152+$G$152)&gt;=25000,0,(((25000-($B$152+$C$152+$D$152+$E$152+$F$152+$G$152))/+$AH442)*W442)*(VLOOKUP('1. SUMMARY'!$C$20,rate,Sheet1!Z$21,0))))))))</f>
        <v>0</v>
      </c>
      <c r="X443" s="412">
        <f>IF(X442=0,0,(IF(($B$152+$C$152+$D$152+$E$152+$F$152+$G$152+$H$152)&lt;=25000,(($H$152/+$AH442)*X442)*VLOOKUP('1. SUMMARY'!$C$20,rate,Sheet1!AA$21,0),((IF(($F$152+$B$152+$C$152+$D$152+$E$152+$G$152)&gt;=25000,0,(((25000-($B$152+$C$152+$D$152+$E$152+$F$152+$G$152))/+$AH442)*X442)*(VLOOKUP('1. SUMMARY'!$C$20,rate,Sheet1!AA$21,0))))))))</f>
        <v>0</v>
      </c>
      <c r="Y443" s="412">
        <f>IF(Y442=0,0,(IF(($B$152+$C$152+$D$152+$E$152+$F$152+$G$152+$H$152)&lt;=25000,(($H$152/+$AH442)*Y442)*VLOOKUP('1. SUMMARY'!$C$20,rate,Sheet1!AB$21,0),((IF(($F$152+$B$152+$C$152+$D$152+$E$152+$G$152)&gt;=25000,0,(((25000-($B$152+$C$152+$D$152+$E$152+$F$152+$G$152))/+$AH442)*Y442)*(VLOOKUP('1. SUMMARY'!$C$20,rate,Sheet1!AB$21,0))))))))</f>
        <v>0</v>
      </c>
      <c r="Z443" s="412">
        <f>IF(Z442=0,0,(IF(($B$152+$C$152+$D$152+$E$152+$F$152+$G$152+$H$152)&lt;=25000,(($H$152/+$AH442)*Z442)*VLOOKUP('1. SUMMARY'!$C$20,rate,Sheet1!AC$21,0),((IF(($F$152+$B$152+$C$152+$D$152+$E$152+$G$152)&gt;=25000,0,(((25000-($B$152+$C$152+$D$152+$E$152+$F$152+$G$152))/+$AH442)*Z442)*(VLOOKUP('1. SUMMARY'!$C$20,rate,Sheet1!AC$21,0))))))))</f>
        <v>0</v>
      </c>
      <c r="AA443" s="412">
        <f>IF(AA442=0,0,(IF(($B$152+$C$152+$D$152+$E$152+$F$152+$G$152+$H$152)&lt;=25000,(($H$152/+$AH442)*AA442)*VLOOKUP('1. SUMMARY'!$C$20,rate,Sheet1!AD$21,0),((IF(($F$152+$B$152+$C$152+$D$152+$E$152+$G$152)&gt;=25000,0,(((25000-($B$152+$C$152+$D$152+$E$152+$F$152+$G$152))/+$AH442)*AA442)*(VLOOKUP('1. SUMMARY'!$C$20,rate,Sheet1!AD$21,0))))))))</f>
        <v>0</v>
      </c>
      <c r="AB443" s="412">
        <f>IF(AB442=0,0,(IF(($B$152+$C$152+$D$152+$E$152+$F$152+$G$152+$H$152)&lt;=25000,(($H$152/+$AH442)*AB442)*VLOOKUP('1. SUMMARY'!$C$20,rate,Sheet1!AE$21,0),((IF(($F$152+$B$152+$C$152+$D$152+$E$152+$G$152)&gt;=25000,0,(((25000-($B$152+$C$152+$D$152+$E$152+$F$152+$G$152))/+$AH442)*AB442)*(VLOOKUP('1. SUMMARY'!$C$20,rate,Sheet1!AE$21,0))))))))</f>
        <v>0</v>
      </c>
      <c r="AC443" s="412">
        <f>IF(AC442=0,0,(IF(($B$152+$C$152+$D$152+$E$152+$F$152+$G$152+$H$152)&lt;=25000,(($H$152/+$AH442)*AC442)*VLOOKUP('1. SUMMARY'!$C$20,rate,Sheet1!AF$21,0),((IF(($F$152+$B$152+$C$152+$D$152+$E$152+$G$152)&gt;=25000,0,(((25000-($B$152+$C$152+$D$152+$E$152+$F$152+$G$152))/+$AH442)*AC442)*(VLOOKUP('1. SUMMARY'!$C$20,rate,Sheet1!AF$21,0))))))))</f>
        <v>0</v>
      </c>
      <c r="AD443" s="412">
        <f>IF(AD442=0,0,(IF(($B$152+$C$152+$D$152+$E$152+$F$152+$G$152+$H$152)&lt;=25000,(($H$152/+$AH442)*AD442)*VLOOKUP('1. SUMMARY'!$C$20,rate,Sheet1!AG$21,0),((IF(($F$152+$B$152+$C$152+$D$152+$E$152+$G$152)&gt;=25000,0,(((25000-($B$152+$C$152+$D$152+$E$152+$F$152+$G$152))/+$AH442)*AD442)*(VLOOKUP('1. SUMMARY'!$C$20,rate,Sheet1!AG$21,0))))))))</f>
        <v>0</v>
      </c>
      <c r="AE443" s="412">
        <f>IF(AE442=0,0,(IF(($B$152+$C$152+$D$152+$E$152+$F$152+$G$152+$H$152)&lt;=25000,(($H$152/+$AH442)*AE442)*VLOOKUP('1. SUMMARY'!$C$20,rate,Sheet1!AH$21,0),((IF(($F$152+$B$152+$C$152+$D$152+$E$152+$G$152)&gt;=25000,0,(((25000-($B$152+$C$152+$D$152+$E$152+$F$152+$G$152))/+$AH442)*AE442)*(VLOOKUP('1. SUMMARY'!$C$20,rate,Sheet1!AH$21,0))))))))</f>
        <v>0</v>
      </c>
      <c r="AF443" s="412">
        <f>IF(AF442=0,0,(IF(($B$152+$C$152+$D$152+$E$152+$F$152+$G$152+$H$152)&lt;=25000,(($H$152/+$AH442)*AF442)*VLOOKUP('1. SUMMARY'!$C$20,rate,Sheet1!AI$21,0),((IF(($F$152+$B$152+$C$152+$D$152+$E$152+$G$152)&gt;=25000,0,(((25000-($B$152+$C$152+$D$152+$E$152+$F$152+$G$152))/+$AH442)*AF442)*(VLOOKUP('1. SUMMARY'!$C$20,rate,Sheet1!AI$21,0))))))))</f>
        <v>0</v>
      </c>
      <c r="AG443" s="412">
        <f>IF(AG442=0,0,(IF(($B$152+$C$152+$D$152+$E$152+$F$152+$G$152+$H$152)&lt;=25000,(($H$152/+$AH442)*AG442)*VLOOKUP('1. SUMMARY'!$C$20,rate,Sheet1!AJ$21,0),((IF(($F$152+$B$152+$C$152+$D$152+$E$152+$G$152)&gt;=25000,0,(((25000-($B$152+$C$152+$D$152+$E$152+$F$152+$G$152))/+$AH442)*AG442)*(VLOOKUP('1. SUMMARY'!$C$20,rate,Sheet1!AJ$21,0))))))))</f>
        <v>0</v>
      </c>
      <c r="AH443" s="219">
        <f>SUM(Q443:AG443)</f>
        <v>0</v>
      </c>
      <c r="AI443" s="412">
        <f>IF(AI442=0,0,((+$H152/$AZ442)*AI442)*VLOOKUP('1. SUMMARY'!$C$20,rate,Sheet1!T$21,0))</f>
        <v>0</v>
      </c>
      <c r="AJ443" s="412">
        <f>IF(AJ442=0,0,((+$H152/$AZ442)*AJ442)*VLOOKUP('1. SUMMARY'!$C$20,rate,Sheet1!U$21,0))</f>
        <v>0</v>
      </c>
      <c r="AK443" s="412">
        <f>IF(AK442=0,0,((+$H152/$AZ442)*AK442)*VLOOKUP('1. SUMMARY'!$C$20,rate,Sheet1!V$21,0))</f>
        <v>0</v>
      </c>
      <c r="AL443" s="412">
        <f>IF(AL442=0,0,((+$H152/$AZ442)*AL442)*VLOOKUP('1. SUMMARY'!$C$20,rate,Sheet1!W$21,0))</f>
        <v>0</v>
      </c>
      <c r="AM443" s="412">
        <f>IF(AM442=0,0,((+$H152/$AZ442)*AM442)*VLOOKUP('1. SUMMARY'!$C$20,rate,Sheet1!X$21,0))</f>
        <v>0</v>
      </c>
      <c r="AN443" s="412">
        <f>IF(AN442=0,0,((+$H152/$AZ442)*AN442)*VLOOKUP('1. SUMMARY'!$C$20,rate,Sheet1!Y$21,0))</f>
        <v>0</v>
      </c>
      <c r="AO443" s="412">
        <f>IF(AO442=0,0,((+$H152/$AZ442)*AO442)*VLOOKUP('1. SUMMARY'!$C$20,rate,Sheet1!Z$21,0))</f>
        <v>0</v>
      </c>
      <c r="AP443" s="412">
        <f>IF(AP442=0,0,((+$H152/$AZ442)*AP442)*VLOOKUP('1. SUMMARY'!$C$20,rate,Sheet1!AA$21,0))</f>
        <v>0</v>
      </c>
      <c r="AQ443" s="412">
        <f>IF(AQ442=0,0,((+$H152/$AZ442)*AQ442)*VLOOKUP('1. SUMMARY'!$C$20,rate,Sheet1!AB$21,0))</f>
        <v>0</v>
      </c>
      <c r="AR443" s="412">
        <f>IF(AR442=0,0,((+$H152/$AZ442)*AR442)*VLOOKUP('1. SUMMARY'!$C$20,rate,Sheet1!AC$21,0))</f>
        <v>0</v>
      </c>
      <c r="AS443" s="412">
        <f>IF(AS442=0,0,((+$H152/$AZ442)*AS442)*VLOOKUP('1. SUMMARY'!$C$20,rate,Sheet1!AD$21,0))</f>
        <v>0</v>
      </c>
      <c r="AT443" s="412">
        <f>IF(AT442=0,0,((+$H152/$AZ442)*AT442)*VLOOKUP('1. SUMMARY'!$C$20,rate,Sheet1!AE$21,0))</f>
        <v>0</v>
      </c>
      <c r="AU443" s="412">
        <f>IF(AU442=0,0,((+$H152/$AZ442)*AU442)*VLOOKUP('1. SUMMARY'!$C$20,rate,Sheet1!AF$21,0))</f>
        <v>0</v>
      </c>
      <c r="AV443" s="412">
        <f>IF(AV442=0,0,((+$H152/$AZ442)*AV442)*VLOOKUP('1. SUMMARY'!$C$20,rate,Sheet1!AG$21,0))</f>
        <v>0</v>
      </c>
      <c r="AW443" s="412">
        <f>IF(AW442=0,0,((+$H152/$AZ442)*AW442)*VLOOKUP('1. SUMMARY'!$C$20,rate,Sheet1!AH$21,0))</f>
        <v>0</v>
      </c>
      <c r="AX443" s="412">
        <f>IF(AX442=0,0,((+$H152/$AZ442)*AX442)*VLOOKUP('1. SUMMARY'!$C$20,rate,Sheet1!AI$21,0))</f>
        <v>0</v>
      </c>
      <c r="AY443" s="412">
        <f>IF(AY442=0,0,((+$H152/$AZ442)*AY442)*VLOOKUP('1. SUMMARY'!$C$20,rate,Sheet1!AJ$21,0))</f>
        <v>0</v>
      </c>
      <c r="AZ443" s="412">
        <f>SUM(AI443:AY443)</f>
        <v>0</v>
      </c>
    </row>
    <row r="444" spans="15:52" hidden="1">
      <c r="P444" s="207">
        <f t="shared" si="197"/>
        <v>1</v>
      </c>
      <c r="Q444" s="412">
        <f>+Q443/VLOOKUP('1. SUMMARY'!$C$20,rate,Sheet1!T$21,0)</f>
        <v>0</v>
      </c>
      <c r="R444" s="412">
        <f>+R443/VLOOKUP('1. SUMMARY'!$C$20,rate,Sheet1!U$21,0)</f>
        <v>0</v>
      </c>
      <c r="S444" s="412">
        <f>+S443/VLOOKUP('1. SUMMARY'!$C$20,rate,Sheet1!V$21,0)</f>
        <v>0</v>
      </c>
      <c r="T444" s="412">
        <f>+T443/VLOOKUP('1. SUMMARY'!$C$20,rate,Sheet1!W$21,0)</f>
        <v>0</v>
      </c>
      <c r="U444" s="412">
        <f>+U443/VLOOKUP('1. SUMMARY'!$C$20,rate,Sheet1!X$21,0)</f>
        <v>0</v>
      </c>
      <c r="V444" s="412">
        <f>+V443/VLOOKUP('1. SUMMARY'!$C$20,rate,Sheet1!Y$21,0)</f>
        <v>0</v>
      </c>
      <c r="W444" s="412">
        <f>+W443/VLOOKUP('1. SUMMARY'!$C$20,rate,Sheet1!Z$21,0)</f>
        <v>0</v>
      </c>
      <c r="X444" s="412">
        <f>+X443/VLOOKUP('1. SUMMARY'!$C$20,rate,Sheet1!AA$21,0)</f>
        <v>0</v>
      </c>
      <c r="Y444" s="412">
        <f>+Y443/VLOOKUP('1. SUMMARY'!$C$20,rate,Sheet1!AB$21,0)</f>
        <v>0</v>
      </c>
      <c r="Z444" s="412">
        <f>+Z443/VLOOKUP('1. SUMMARY'!$C$20,rate,Sheet1!AC$21,0)</f>
        <v>0</v>
      </c>
      <c r="AA444" s="412">
        <f>+AA443/VLOOKUP('1. SUMMARY'!$C$20,rate,Sheet1!AD$21,0)</f>
        <v>0</v>
      </c>
      <c r="AB444" s="412">
        <f>+AB443/VLOOKUP('1. SUMMARY'!$C$20,rate,Sheet1!AE$21,0)</f>
        <v>0</v>
      </c>
      <c r="AC444" s="412">
        <f>+AC443/VLOOKUP('1. SUMMARY'!$C$20,rate,Sheet1!AF$21,0)</f>
        <v>0</v>
      </c>
      <c r="AD444" s="412">
        <f>+AD443/VLOOKUP('1. SUMMARY'!$C$20,rate,Sheet1!AG$21,0)</f>
        <v>0</v>
      </c>
      <c r="AE444" s="412">
        <f>+AE443/VLOOKUP('1. SUMMARY'!$C$20,rate,Sheet1!AH$21,0)</f>
        <v>0</v>
      </c>
      <c r="AF444" s="412">
        <f>+AF443/VLOOKUP('1. SUMMARY'!$C$20,rate,Sheet1!AI$21,0)</f>
        <v>0</v>
      </c>
      <c r="AG444" s="412">
        <f>+AG443/VLOOKUP('1. SUMMARY'!$C$20,rate,Sheet1!AJ$21,0)</f>
        <v>0</v>
      </c>
      <c r="AH444" s="219"/>
      <c r="AI444" s="412"/>
      <c r="AJ444" s="412"/>
      <c r="AK444" s="412"/>
      <c r="AL444" s="412"/>
      <c r="AM444" s="412"/>
      <c r="AN444" s="412"/>
      <c r="AO444" s="412"/>
      <c r="AP444" s="412"/>
      <c r="AQ444" s="412"/>
      <c r="AR444" s="412"/>
      <c r="AS444" s="412"/>
      <c r="AT444" s="412"/>
      <c r="AU444" s="412"/>
      <c r="AV444" s="412"/>
      <c r="AW444" s="412"/>
      <c r="AX444" s="412"/>
      <c r="AY444" s="412"/>
      <c r="AZ444" s="412"/>
    </row>
    <row r="445" spans="15:52" hidden="1">
      <c r="Q445" s="418">
        <f>Sheet1!$T$8</f>
        <v>44105</v>
      </c>
      <c r="R445" s="418">
        <f>Sheet1!$U$8</f>
        <v>44470</v>
      </c>
      <c r="S445" s="418">
        <f>Sheet1!$V$8</f>
        <v>44835</v>
      </c>
      <c r="T445" s="418">
        <f>Sheet1!$W$8</f>
        <v>45200</v>
      </c>
      <c r="U445" s="418">
        <f>Sheet1!$X$8</f>
        <v>45566</v>
      </c>
      <c r="V445" s="418">
        <f>Sheet1!$Y$8</f>
        <v>45931</v>
      </c>
      <c r="W445" s="418">
        <f>Sheet1!$Z$8</f>
        <v>46296</v>
      </c>
      <c r="X445" s="418">
        <f>Sheet1!$AA$8</f>
        <v>46661</v>
      </c>
      <c r="Y445" s="418">
        <f>Sheet1!$AB$8</f>
        <v>47027</v>
      </c>
      <c r="Z445" s="418">
        <f>Sheet1!$AC$8</f>
        <v>47392</v>
      </c>
      <c r="AA445" s="418">
        <f>$AA$5</f>
        <v>47757</v>
      </c>
      <c r="AB445" s="418">
        <f>$AB$5</f>
        <v>48122</v>
      </c>
      <c r="AC445" s="418">
        <f>$AC$5</f>
        <v>48488</v>
      </c>
      <c r="AD445" s="418">
        <f>$AD$5</f>
        <v>48853</v>
      </c>
      <c r="AE445" s="418">
        <f>$AE$5</f>
        <v>49218</v>
      </c>
      <c r="AF445" s="418">
        <f>$AF$5</f>
        <v>49583</v>
      </c>
      <c r="AG445" s="418">
        <f>$AG$5</f>
        <v>49949</v>
      </c>
      <c r="AH445" s="219"/>
      <c r="AI445" s="418">
        <f t="shared" ref="AI445:AR447" si="208">+Q445</f>
        <v>44105</v>
      </c>
      <c r="AJ445" s="418">
        <f t="shared" si="208"/>
        <v>44470</v>
      </c>
      <c r="AK445" s="418">
        <f t="shared" si="208"/>
        <v>44835</v>
      </c>
      <c r="AL445" s="418">
        <f t="shared" si="208"/>
        <v>45200</v>
      </c>
      <c r="AM445" s="418">
        <f t="shared" si="208"/>
        <v>45566</v>
      </c>
      <c r="AN445" s="418">
        <f t="shared" si="208"/>
        <v>45931</v>
      </c>
      <c r="AO445" s="418">
        <f t="shared" si="208"/>
        <v>46296</v>
      </c>
      <c r="AP445" s="418">
        <f t="shared" si="208"/>
        <v>46661</v>
      </c>
      <c r="AQ445" s="418">
        <f t="shared" si="208"/>
        <v>47027</v>
      </c>
      <c r="AR445" s="418">
        <f t="shared" si="208"/>
        <v>47392</v>
      </c>
      <c r="AS445" s="418">
        <f t="shared" ref="AS445:AY447" si="209">+AA445</f>
        <v>47757</v>
      </c>
      <c r="AT445" s="418">
        <f t="shared" si="209"/>
        <v>48122</v>
      </c>
      <c r="AU445" s="418">
        <f t="shared" si="209"/>
        <v>48488</v>
      </c>
      <c r="AV445" s="418">
        <f t="shared" si="209"/>
        <v>48853</v>
      </c>
      <c r="AW445" s="418">
        <f t="shared" si="209"/>
        <v>49218</v>
      </c>
      <c r="AX445" s="418">
        <f t="shared" si="209"/>
        <v>49583</v>
      </c>
      <c r="AY445" s="418">
        <f t="shared" si="209"/>
        <v>49949</v>
      </c>
      <c r="AZ445" s="418"/>
    </row>
    <row r="446" spans="15:52" hidden="1">
      <c r="Q446" s="418">
        <f>Sheet1!$T$9</f>
        <v>44469</v>
      </c>
      <c r="R446" s="418">
        <f>Sheet1!$U$9</f>
        <v>44834</v>
      </c>
      <c r="S446" s="418">
        <f>Sheet1!$V$9</f>
        <v>45199</v>
      </c>
      <c r="T446" s="418">
        <f>Sheet1!$W$9</f>
        <v>45565</v>
      </c>
      <c r="U446" s="418">
        <f>Sheet1!$X$9</f>
        <v>45930</v>
      </c>
      <c r="V446" s="418">
        <f>Sheet1!$Y$9</f>
        <v>46295</v>
      </c>
      <c r="W446" s="418">
        <f>Sheet1!$Z$9</f>
        <v>46660</v>
      </c>
      <c r="X446" s="418">
        <f>Sheet1!$AA$9</f>
        <v>47026</v>
      </c>
      <c r="Y446" s="418">
        <f>Sheet1!$AB$9</f>
        <v>47391</v>
      </c>
      <c r="Z446" s="418">
        <f>Sheet1!$AC$9</f>
        <v>47756</v>
      </c>
      <c r="AA446" s="418">
        <f>$AA$6</f>
        <v>48121</v>
      </c>
      <c r="AB446" s="418">
        <f>$AB$6</f>
        <v>48487</v>
      </c>
      <c r="AC446" s="418">
        <f>$AC$6</f>
        <v>48852</v>
      </c>
      <c r="AD446" s="418">
        <f>$AD$6</f>
        <v>49217</v>
      </c>
      <c r="AE446" s="418">
        <f>$AE$6</f>
        <v>49582</v>
      </c>
      <c r="AF446" s="418">
        <f>$AF$6</f>
        <v>49948</v>
      </c>
      <c r="AG446" s="418">
        <f>$AG$6</f>
        <v>50313</v>
      </c>
      <c r="AH446" s="219"/>
      <c r="AI446" s="418">
        <f t="shared" si="208"/>
        <v>44469</v>
      </c>
      <c r="AJ446" s="418">
        <f t="shared" si="208"/>
        <v>44834</v>
      </c>
      <c r="AK446" s="418">
        <f t="shared" si="208"/>
        <v>45199</v>
      </c>
      <c r="AL446" s="418">
        <f t="shared" si="208"/>
        <v>45565</v>
      </c>
      <c r="AM446" s="418">
        <f t="shared" si="208"/>
        <v>45930</v>
      </c>
      <c r="AN446" s="418">
        <f t="shared" si="208"/>
        <v>46295</v>
      </c>
      <c r="AO446" s="418">
        <f t="shared" si="208"/>
        <v>46660</v>
      </c>
      <c r="AP446" s="418">
        <f t="shared" si="208"/>
        <v>47026</v>
      </c>
      <c r="AQ446" s="418">
        <f t="shared" si="208"/>
        <v>47391</v>
      </c>
      <c r="AR446" s="418">
        <f t="shared" si="208"/>
        <v>47756</v>
      </c>
      <c r="AS446" s="418">
        <f t="shared" si="209"/>
        <v>48121</v>
      </c>
      <c r="AT446" s="418">
        <f t="shared" si="209"/>
        <v>48487</v>
      </c>
      <c r="AU446" s="418">
        <f t="shared" si="209"/>
        <v>48852</v>
      </c>
      <c r="AV446" s="418">
        <f t="shared" si="209"/>
        <v>49217</v>
      </c>
      <c r="AW446" s="418">
        <f t="shared" si="209"/>
        <v>49582</v>
      </c>
      <c r="AX446" s="418">
        <f t="shared" si="209"/>
        <v>49948</v>
      </c>
      <c r="AY446" s="418">
        <f t="shared" si="209"/>
        <v>50313</v>
      </c>
      <c r="AZ446" s="418"/>
    </row>
    <row r="447" spans="15:52" hidden="1">
      <c r="O447" s="207" t="s">
        <v>265</v>
      </c>
      <c r="Q447" s="419">
        <f>IF(IF(Q446&lt;$I$27,0,DATEDIF($I$27,Q446+1,"m"))&lt;0,0,IF(Q446&lt;$I$27,0,DATEDIF($I$27,Q446+1,"m")))</f>
        <v>0</v>
      </c>
      <c r="R447" s="419">
        <f>IF(IF(Q447=12,0,IF(R446&gt;$I$28,12-DATEDIF($I$28,R446+1,"m"),IF(R446&lt;$I$27,0,DATEDIF($I$27,R446+1,"m"))))&lt;0,0,IF(Q447=12,0,IF(R446&gt;$I$28,12-DATEDIF($I$28,R446+1,"m"),IF(R446&lt;$I$27,0,DATEDIF($I$27,R446+1,"m")))))</f>
        <v>0</v>
      </c>
      <c r="S447" s="419">
        <f>IF(IF(Q447+R447=12,0,IF(S446&gt;$I$28,12-DATEDIF($I$28,S446+1,"m"),IF(S446&lt;$I$27,0,DATEDIF($I$27,S446+1,"m"))))&lt;0,0,IF(Q447+R447=12,0,IF(S446&gt;$I$28,12-DATEDIF($I$28,S446+1,"m"),IF(S446&lt;$I$27,0,DATEDIF($I$27,S446+1,"m")))))</f>
        <v>0</v>
      </c>
      <c r="T447" s="419">
        <f>IF(IF(R447+S447+Q447=12,0,IF(T446&gt;$I$28,12-DATEDIF($I$28,T446+1,"m"),IF(T446&lt;$I$27,0,DATEDIF($I$27,T446+1,"m"))))&lt;0,0,IF(R447+S447+Q447=12,0,IF(T446&gt;$I$28,12-DATEDIF($I$28,T446+1,"m"),IF(T446&lt;$I$27,0,DATEDIF($I$27,T446+1,"m")))))</f>
        <v>0</v>
      </c>
      <c r="U447" s="419">
        <f>IF(IF(S447+T447+R447+Q447=12,0,IF(U446&gt;$I$28,12-DATEDIF($I$28,U446+1,"m"),IF(U446&lt;$I$27,0,DATEDIF($I$27,U446+1,"m"))))&lt;0,0,IF(S447+T447+R447+Q447=12,0,IF(U446&gt;$I$28,12-DATEDIF($I$28,U446+1,"m"),IF(U446&lt;$I$27,0,DATEDIF($I$27,U446+1,"m")))))</f>
        <v>0</v>
      </c>
      <c r="V447" s="419">
        <f>IF(IF(T447+U447+S447+R447+Q447=12,0,IF(V446&gt;$I$28,12-DATEDIF($I$28,V446+1,"m"),IF(V446&lt;$I$27,0,DATEDIF($I$27,V446+1,"m"))))&lt;0,0,IF(T447+U447+S447+R447+Q447=12,0,IF(V446&gt;$I$28,12-DATEDIF($I$28,V446+1,"m"),IF(V446&lt;$I$27,0,DATEDIF($I$27,V446+1,"m")))))</f>
        <v>0</v>
      </c>
      <c r="W447" s="419">
        <f>IF(IF(U447+V447+T447+S447+R447+Q447=12,0,IF(W446&gt;$I$28,12-DATEDIF($I$28,W446+1,"m"),IF(W446&lt;$I$27,0,DATEDIF($I$27,W446+1,"m"))))&lt;0,0,IF(U447+V447+T447+S447+R447+Q447=12,0,IF(W446&gt;$I$28,12-DATEDIF($I$28,W446+1,"m"),IF(W446&lt;$I$27,0,DATEDIF($I$27,W446+1,"m")))))</f>
        <v>0</v>
      </c>
      <c r="X447" s="419">
        <f>IF(IF(V447+W447+U447+T447+S447+R447+Q447=12,0,IF(X446&gt;$I$28,12-DATEDIF($I$28,X446+1,"m"),IF(X446&lt;$I$27,0,DATEDIF($I$27,X446+1,"m"))))&lt;0,0,IF(V447+W447+U447+T447+S447+R447+Q447=12,0,IF(X446&gt;$I$28,12-DATEDIF($I$28,X446+1,"m"),IF(X446&lt;$I$27,0,DATEDIF($I$27,X446+1,"m")))))</f>
        <v>0</v>
      </c>
      <c r="Y447" s="419">
        <f>IF(IF(W447+X447+V447+U447+T447+S447+R447+Q447=12,0,IF(Y446&gt;$I$28,12-DATEDIF($I$28,Y446+1,"m"),IF(Y446&lt;$I$27,0,DATEDIF($I$27,Y446+1,"m"))))&lt;0,0,IF(W447+X447+V447+U447+T447+S447+R447+Q447=12,0,IF(Y446&gt;$I$28,12-DATEDIF($I$28,Y446+1,"m"),IF(Y446&lt;$I$27,0,DATEDIF($I$27,Y446+1,"m")))))</f>
        <v>0</v>
      </c>
      <c r="Z447" s="419">
        <f>IF(IF(X447+Y447+W447+V447+U447+T447+S447+R447+Q447=12,0,IF(Z446&gt;$I$28,12-DATEDIF($I$28,Z446+1,"m"),IF(Z446&lt;$I$27,0,DATEDIF($I$27,Z446+1,"m"))))&lt;0,0,IF(X447+Y447+W447+V447+U447+T447+S447+R447+Q447=12,0,IF(Z446&gt;$I$28,12-DATEDIF($I$28,Z446+1,"m"),IF(Z446&lt;$I$27,0,DATEDIF($I$27,Z446+1,"m")))))</f>
        <v>0</v>
      </c>
      <c r="AA447" s="419">
        <f>IF(IF(Q447+R447+S447+Y447+Z447+X447+W447+V447+U447+T447=12,0,IF(AA446&gt;$I$28,12-DATEDIF($I$28,AA446+1,"m"),IF(AA446&lt;$I$27,0,DATEDIF($I$27,AA446+1,"m"))))&lt;0,0,IF(Q447+R447+S447+Y447+Z447+X447+W447+V447+U447+T447=12,0,IF(AA446&gt;$I$28,12-DATEDIF($I$28,AA446+1,"m"),IF(AA446&lt;$I$27,0,DATEDIF($I$27,AA446+1,"m")))))</f>
        <v>0</v>
      </c>
      <c r="AB447" s="419">
        <f>IF(IF(Q447+R447+S447+T447+Z447+AA447+Y447+X447+W447+V447+U447=12,0,IF(AB446&gt;$I$28,12-DATEDIF($I$28,AB446+1,"m"),IF(AB446&lt;$I$27,0,DATEDIF($I$27,AB446+1,"m"))))&lt;0,0,IF(Q447+R447+S447+T447+Z447+AA447+Y447+X447+W447+V447+U447=12,0,IF(AB446&gt;$I$28,12-DATEDIF($I$28,AB446+1,"m"),IF(AB446&lt;$I$27,0,DATEDIF($I$27,AB446+1,"m")))))</f>
        <v>0</v>
      </c>
      <c r="AC447" s="419">
        <f>IF(IF(Q447+R447+S447+T447+U447+AA447+AB447+Z447+Y447+X447+W447+V447=12,0,IF(AC446&gt;$I$28,12-DATEDIF($I$28,AC446+1,"m"),IF(AC446&lt;$I$27,0,DATEDIF($I$27,AC446+1,"m"))))&lt;0,0,IF(Q447+R447+S447+T447+U447+AA447+AB447+Z447+Y447+X447+W447+V447=12,0,IF(AC446&gt;$I$28,12-DATEDIF($I$28,AC446+1,"m"),IF(AC446&lt;$I$27,0,DATEDIF($I$27,AC446+1,"m")))))</f>
        <v>0</v>
      </c>
      <c r="AD447" s="419">
        <f>IF(IF(Q447+R447+S447+T447+U447+V447+AB447+AC447+AA447+Z447+Y447+X447+W447=12,0,IF(AD446&gt;$I$28,12-DATEDIF($I$28,AD446+1,"m"),IF(AD446&lt;$I$27,0,DATEDIF($I$27,AD446+1,"m"))))&lt;0,0,IF(Q447+R447+S447+T447+U447+V447+AB447+AC447+AA447+Z447+Y447+X447+W447=12,0,IF(AD446&gt;$I$28,12-DATEDIF($I$28,AD446+1,"m"),IF(AD446&lt;$I$27,0,DATEDIF($I$27,AD446+1,"m")))))</f>
        <v>0</v>
      </c>
      <c r="AE447" s="419">
        <f>IF(IF(Q447+R447+S447+T447+U447+V447+W447+AC447+AD447+AB447+AA447+Z447+Y447+X447=12,0,IF(AE446&gt;$I$28,12-DATEDIF($I$28,AE446+1,"m"),IF(AE446&lt;$I$27,0,DATEDIF($I$27,AE446+1,"m"))))&lt;0,0,IF(Q447+R447+S447+T447+U447+V447+W447+AC447+AD447+AB447+AA447+Z447+Y447+X447=12,0,IF(AE446&gt;$I$28,12-DATEDIF($I$28,AE446+1,"m"),IF(AE446&lt;$I$27,0,DATEDIF($I$27,AE446+1,"m")))))</f>
        <v>0</v>
      </c>
      <c r="AF447" s="419">
        <f>IF(IF(Q447+R447+S447+T447+U447+V447+W447+X447+AD447+AE447+AC447+AB447+AA447+Z447+Y447=12,0,IF(AF446&gt;$I$28,12-DATEDIF($I$28,AF446+1,"m"),IF(AF446&lt;$I$27,0,DATEDIF($I$27,AF446+1,"m"))))&lt;0,0,IF(Q447+R447+S447+T447+U447+V447+W447+X447+AD447+AE447+AC447+AB447+AA447+Z447+Y447=12,0,IF(AF446&gt;$I$28,12-DATEDIF($I$28,AF446+1,"m"),IF(AF446&lt;$I$27,0,DATEDIF($I$27,AF446+1,"m")))))</f>
        <v>0</v>
      </c>
      <c r="AG447" s="419">
        <f>IF(IF(Q447+R447+S447+T447+U447+V447+W447+X447+Y447+AE447+AF447+AD447+AC447+AB447+AA447+Z447=12,0,IF(AG446&gt;$I$28,12-DATEDIF($I$28,AG446+1,"m"),IF(AG446&lt;$I$27,0,DATEDIF($I$27,AG446+1,"m"))))&lt;0,0,IF(Q447+R447+S447+T447+U447+V447+W447+X447+Y447+AE447+AF447+AD447+AC447+AB447+AA447+Z447=12,0,IF(AG446&gt;$I$28,12-DATEDIF($I$28,AG446+1,"m"),IF(AG446&lt;$I$27,0,DATEDIF($I$27,AG446+1,"m")))))</f>
        <v>0</v>
      </c>
      <c r="AH447" s="423">
        <f>SUM(Q447:AG447)</f>
        <v>0</v>
      </c>
      <c r="AI447" s="426">
        <f t="shared" si="208"/>
        <v>0</v>
      </c>
      <c r="AJ447" s="426">
        <f t="shared" si="208"/>
        <v>0</v>
      </c>
      <c r="AK447" s="426">
        <f t="shared" si="208"/>
        <v>0</v>
      </c>
      <c r="AL447" s="426">
        <f t="shared" si="208"/>
        <v>0</v>
      </c>
      <c r="AM447" s="426">
        <f t="shared" si="208"/>
        <v>0</v>
      </c>
      <c r="AN447" s="426">
        <f t="shared" si="208"/>
        <v>0</v>
      </c>
      <c r="AO447" s="426">
        <f t="shared" si="208"/>
        <v>0</v>
      </c>
      <c r="AP447" s="426">
        <f t="shared" si="208"/>
        <v>0</v>
      </c>
      <c r="AQ447" s="426">
        <f t="shared" si="208"/>
        <v>0</v>
      </c>
      <c r="AR447" s="426">
        <f t="shared" si="208"/>
        <v>0</v>
      </c>
      <c r="AS447" s="426">
        <f t="shared" si="209"/>
        <v>0</v>
      </c>
      <c r="AT447" s="426">
        <f t="shared" si="209"/>
        <v>0</v>
      </c>
      <c r="AU447" s="426">
        <f t="shared" si="209"/>
        <v>0</v>
      </c>
      <c r="AV447" s="426">
        <f t="shared" si="209"/>
        <v>0</v>
      </c>
      <c r="AW447" s="426">
        <f t="shared" si="209"/>
        <v>0</v>
      </c>
      <c r="AX447" s="426">
        <f t="shared" si="209"/>
        <v>0</v>
      </c>
      <c r="AY447" s="426">
        <f t="shared" si="209"/>
        <v>0</v>
      </c>
      <c r="AZ447" s="426">
        <f>SUM(AI447:AY447)</f>
        <v>0</v>
      </c>
    </row>
    <row r="448" spans="15:52" hidden="1">
      <c r="Q448" s="419">
        <f>IF(Q447=0,0,(IF(($B$152+$C$152+$D$152+$E$152+$F$152+$G$152+$H$152+$I$152)&lt;=25000,(($I$152/+$AH447)*Q447)*VLOOKUP('1. SUMMARY'!$C$20,rate,Sheet1!T$21,0),((IF(($F$152+$B$152+$C$152+$D$152+$E$152+$G$152+$H$152)&gt;=25000,0,(((25000-($B$152+$C$152+$D$152+$E$152+$F$152+$G$152+$H$152))/+$AH447)*Q447)*(VLOOKUP('1. SUMMARY'!$C$20,rate,Sheet1!T$21,0))))))))</f>
        <v>0</v>
      </c>
      <c r="R448" s="419">
        <f>IF(R447=0,0,(IF(($B$152+$C$152+$D$152+$E$152+$F$152+$G$152+$H$152+$I$152)&lt;=25000,(($I$152/+$AH447)*R447)*VLOOKUP('1. SUMMARY'!$C$20,rate,Sheet1!U$21,0),((IF(($F$152+$B$152+$C$152+$D$152+$E$152+$G$152+$H$152)&gt;=25000,0,(((25000-($B$152+$C$152+$D$152+$E$152+$F$152+$G$152+$H$152))/+$AH447)*R447)*(VLOOKUP('1. SUMMARY'!$C$20,rate,Sheet1!U$21,0))))))))</f>
        <v>0</v>
      </c>
      <c r="S448" s="419">
        <f>IF(S447=0,0,(IF(($B$152+$C$152+$D$152+$E$152+$F$152+$G$152+$H$152+$I$152)&lt;=25000,(($I$152/+$AH447)*S447)*VLOOKUP('1. SUMMARY'!$C$20,rate,Sheet1!V$21,0),((IF(($F$152+$B$152+$C$152+$D$152+$E$152+$G$152+$H$152)&gt;=25000,0,(((25000-($B$152+$C$152+$D$152+$E$152+$F$152+$G$152+$H$152))/+$AH447)*S447)*(VLOOKUP('1. SUMMARY'!$C$20,rate,Sheet1!V$21,0))))))))</f>
        <v>0</v>
      </c>
      <c r="T448" s="419">
        <f>IF(T447=0,0,(IF(($B$152+$C$152+$D$152+$E$152+$F$152+$G$152+$H$152+$I$152)&lt;=25000,(($I$152/+$AH447)*T447)*VLOOKUP('1. SUMMARY'!$C$20,rate,Sheet1!W$21,0),((IF(($F$152+$B$152+$C$152+$D$152+$E$152+$G$152+$H$152)&gt;=25000,0,(((25000-($B$152+$C$152+$D$152+$E$152+$F$152+$G$152+$H$152))/+$AH447)*T447)*(VLOOKUP('1. SUMMARY'!$C$20,rate,Sheet1!W$21,0))))))))</f>
        <v>0</v>
      </c>
      <c r="U448" s="419">
        <f>IF(U447=0,0,(IF(($B$152+$C$152+$D$152+$E$152+$F$152+$G$152+$H$152+$I$152)&lt;=25000,(($I$152/+$AH447)*U447)*VLOOKUP('1. SUMMARY'!$C$20,rate,Sheet1!X$21,0),((IF(($F$152+$B$152+$C$152+$D$152+$E$152+$G$152+$H$152)&gt;=25000,0,(((25000-($B$152+$C$152+$D$152+$E$152+$F$152+$G$152+$H$152))/+$AH447)*U447)*(VLOOKUP('1. SUMMARY'!$C$20,rate,Sheet1!X$21,0))))))))</f>
        <v>0</v>
      </c>
      <c r="V448" s="419">
        <f>IF(V447=0,0,(IF(($B$152+$C$152+$D$152+$E$152+$F$152+$G$152+$H$152+$I$152)&lt;=25000,(($I$152/+$AH447)*V447)*VLOOKUP('1. SUMMARY'!$C$20,rate,Sheet1!Y$21,0),((IF(($F$152+$B$152+$C$152+$D$152+$E$152+$G$152+$H$152)&gt;=25000,0,(((25000-($B$152+$C$152+$D$152+$E$152+$F$152+$G$152+$H$152))/+$AH447)*V447)*(VLOOKUP('1. SUMMARY'!$C$20,rate,Sheet1!Y$21,0))))))))</f>
        <v>0</v>
      </c>
      <c r="W448" s="419">
        <f>IF(W447=0,0,(IF(($B$152+$C$152+$D$152+$E$152+$F$152+$G$152+$H$152+$I$152)&lt;=25000,(($I$152/+$AH447)*W447)*VLOOKUP('1. SUMMARY'!$C$20,rate,Sheet1!Z$21,0),((IF(($F$152+$B$152+$C$152+$D$152+$E$152+$G$152+$H$152)&gt;=25000,0,(((25000-($B$152+$C$152+$D$152+$E$152+$F$152+$G$152+$H$152))/+$AH447)*W447)*(VLOOKUP('1. SUMMARY'!$C$20,rate,Sheet1!Z$21,0))))))))</f>
        <v>0</v>
      </c>
      <c r="X448" s="419">
        <f>IF(X447=0,0,(IF(($B$152+$C$152+$D$152+$E$152+$F$152+$G$152+$H$152+$I$152)&lt;=25000,(($I$152/+$AH447)*X447)*VLOOKUP('1. SUMMARY'!$C$20,rate,Sheet1!AA$21,0),((IF(($F$152+$B$152+$C$152+$D$152+$E$152+$G$152+$H$152)&gt;=25000,0,(((25000-($B$152+$C$152+$D$152+$E$152+$F$152+$G$152+$H$152))/+$AH447)*X447)*(VLOOKUP('1. SUMMARY'!$C$20,rate,Sheet1!AA$21,0))))))))</f>
        <v>0</v>
      </c>
      <c r="Y448" s="419">
        <f>IF(Y447=0,0,(IF(($B$152+$C$152+$D$152+$E$152+$F$152+$G$152+$H$152+$I$152)&lt;=25000,(($I$152/+$AH447)*Y447)*VLOOKUP('1. SUMMARY'!$C$20,rate,Sheet1!AB$21,0),((IF(($F$152+$B$152+$C$152+$D$152+$E$152+$G$152+$H$152)&gt;=25000,0,(((25000-($B$152+$C$152+$D$152+$E$152+$F$152+$G$152+$H$152))/+$AH447)*Y447)*(VLOOKUP('1. SUMMARY'!$C$20,rate,Sheet1!AB$21,0))))))))</f>
        <v>0</v>
      </c>
      <c r="Z448" s="419">
        <f>IF(Z447=0,0,(IF(($B$152+$C$152+$D$152+$E$152+$F$152+$G$152+$H$152+$I$152)&lt;=25000,(($I$152/+$AH447)*Z447)*VLOOKUP('1. SUMMARY'!$C$20,rate,Sheet1!AC$21,0),((IF(($F$152+$B$152+$C$152+$D$152+$E$152+$G$152+$H$152)&gt;=25000,0,(((25000-($B$152+$C$152+$D$152+$E$152+$F$152+$G$152+$H$152))/+$AH447)*Z447)*(VLOOKUP('1. SUMMARY'!$C$20,rate,Sheet1!AC$21,0))))))))</f>
        <v>0</v>
      </c>
      <c r="AA448" s="419">
        <f>IF(AA447=0,0,(IF(($B$152+$C$152+$D$152+$E$152+$F$152+$G$152+$H$152+$I$152)&lt;=25000,(($I$152/+$AH447)*AA447)*VLOOKUP('1. SUMMARY'!$C$20,rate,Sheet1!AD$21,0),((IF(($F$152+$B$152+$C$152+$D$152+$E$152+$G$152+$H$152)&gt;=25000,0,(((25000-($B$152+$C$152+$D$152+$E$152+$F$152+$G$152+$H$152))/+$AH447)*AA447)*(VLOOKUP('1. SUMMARY'!$C$20,rate,Sheet1!AD$21,0))))))))</f>
        <v>0</v>
      </c>
      <c r="AB448" s="419">
        <f>IF(AB447=0,0,(IF(($B$152+$C$152+$D$152+$E$152+$F$152+$G$152+$H$152+$I$152)&lt;=25000,(($I$152/+$AH447)*AB447)*VLOOKUP('1. SUMMARY'!$C$20,rate,Sheet1!AE$21,0),((IF(($F$152+$B$152+$C$152+$D$152+$E$152+$G$152+$H$152)&gt;=25000,0,(((25000-($B$152+$C$152+$D$152+$E$152+$F$152+$G$152+$H$152))/+$AH447)*AB447)*(VLOOKUP('1. SUMMARY'!$C$20,rate,Sheet1!AE$21,0))))))))</f>
        <v>0</v>
      </c>
      <c r="AC448" s="419">
        <f>IF(AC447=0,0,(IF(($B$152+$C$152+$D$152+$E$152+$F$152+$G$152+$H$152+$I$152)&lt;=25000,(($I$152/+$AH447)*AC447)*VLOOKUP('1. SUMMARY'!$C$20,rate,Sheet1!AF$21,0),((IF(($F$152+$B$152+$C$152+$D$152+$E$152+$G$152+$H$152)&gt;=25000,0,(((25000-($B$152+$C$152+$D$152+$E$152+$F$152+$G$152+$H$152))/+$AH447)*AC447)*(VLOOKUP('1. SUMMARY'!$C$20,rate,Sheet1!AF$21,0))))))))</f>
        <v>0</v>
      </c>
      <c r="AD448" s="419">
        <f>IF(AD447=0,0,(IF(($B$152+$C$152+$D$152+$E$152+$F$152+$G$152+$H$152+$I$152)&lt;=25000,(($I$152/+$AH447)*AD447)*VLOOKUP('1. SUMMARY'!$C$20,rate,Sheet1!AG$21,0),((IF(($F$152+$B$152+$C$152+$D$152+$E$152+$G$152+$H$152)&gt;=25000,0,(((25000-($B$152+$C$152+$D$152+$E$152+$F$152+$G$152+$H$152))/+$AH447)*AD447)*(VLOOKUP('1. SUMMARY'!$C$20,rate,Sheet1!AG$21,0))))))))</f>
        <v>0</v>
      </c>
      <c r="AE448" s="419">
        <f>IF(AE447=0,0,(IF(($B$152+$C$152+$D$152+$E$152+$F$152+$G$152+$H$152+$I$152)&lt;=25000,(($I$152/+$AH447)*AE447)*VLOOKUP('1. SUMMARY'!$C$20,rate,Sheet1!AH$21,0),((IF(($F$152+$B$152+$C$152+$D$152+$E$152+$G$152+$H$152)&gt;=25000,0,(((25000-($B$152+$C$152+$D$152+$E$152+$F$152+$G$152+$H$152))/+$AH447)*AE447)*(VLOOKUP('1. SUMMARY'!$C$20,rate,Sheet1!AH$21,0))))))))</f>
        <v>0</v>
      </c>
      <c r="AF448" s="419">
        <f>IF(AF447=0,0,(IF(($B$152+$C$152+$D$152+$E$152+$F$152+$G$152+$H$152+$I$152)&lt;=25000,(($I$152/+$AH447)*AF447)*VLOOKUP('1. SUMMARY'!$C$20,rate,Sheet1!AI$21,0),((IF(($F$152+$B$152+$C$152+$D$152+$E$152+$G$152+$H$152)&gt;=25000,0,(((25000-($B$152+$C$152+$D$152+$E$152+$F$152+$G$152+$H$152))/+$AH447)*AF447)*(VLOOKUP('1. SUMMARY'!$C$20,rate,Sheet1!AI$21,0))))))))</f>
        <v>0</v>
      </c>
      <c r="AG448" s="419">
        <f>IF(AG447=0,0,(IF(($B$152+$C$152+$D$152+$E$152+$F$152+$G$152+$H$152+$I$152)&lt;=25000,(($I$152/+$AH447)*AG447)*VLOOKUP('1. SUMMARY'!$C$20,rate,Sheet1!AJ$21,0),((IF(($F$152+$B$152+$C$152+$D$152+$E$152+$G$152+$H$152)&gt;=25000,0,(((25000-($B$152+$C$152+$D$152+$E$152+$F$152+$G$152+$H$152))/+$AH447)*AG447)*(VLOOKUP('1. SUMMARY'!$C$20,rate,Sheet1!AJ$21,0))))))))</f>
        <v>0</v>
      </c>
      <c r="AH448" s="219">
        <f>SUM(Q448:AG448)</f>
        <v>0</v>
      </c>
      <c r="AI448" s="419">
        <f>IF(AI447=0,0,((+$I152/$AZ447)*AI447)*VLOOKUP('1. SUMMARY'!$C$20,rate,Sheet1!T$21,0))</f>
        <v>0</v>
      </c>
      <c r="AJ448" s="419">
        <f>IF(AJ447=0,0,((+$I152/$AZ447)*AJ447)*VLOOKUP('1. SUMMARY'!$C$20,rate,Sheet1!U$21,0))</f>
        <v>0</v>
      </c>
      <c r="AK448" s="419">
        <f>IF(AK447=0,0,((+$I152/$AZ447)*AK447)*VLOOKUP('1. SUMMARY'!$C$20,rate,Sheet1!V$21,0))</f>
        <v>0</v>
      </c>
      <c r="AL448" s="419">
        <f>IF(AL447=0,0,((+$I152/$AZ447)*AL447)*VLOOKUP('1. SUMMARY'!$C$20,rate,Sheet1!W$21,0))</f>
        <v>0</v>
      </c>
      <c r="AM448" s="419">
        <f>IF(AM447=0,0,((+$I152/$AZ447)*AM447)*VLOOKUP('1. SUMMARY'!$C$20,rate,Sheet1!X$21,0))</f>
        <v>0</v>
      </c>
      <c r="AN448" s="419">
        <f>IF(AN447=0,0,((+$I152/$AZ447)*AN447)*VLOOKUP('1. SUMMARY'!$C$20,rate,Sheet1!Y$21,0))</f>
        <v>0</v>
      </c>
      <c r="AO448" s="419">
        <f>IF(AO447=0,0,((+$I152/$AZ447)*AO447)*VLOOKUP('1. SUMMARY'!$C$20,rate,Sheet1!Z$21,0))</f>
        <v>0</v>
      </c>
      <c r="AP448" s="419">
        <f>IF(AP447=0,0,((+$I152/$AZ447)*AP447)*VLOOKUP('1. SUMMARY'!$C$20,rate,Sheet1!AA$21,0))</f>
        <v>0</v>
      </c>
      <c r="AQ448" s="419">
        <f>IF(AQ447=0,0,((+$I152/$AZ447)*AQ447)*VLOOKUP('1. SUMMARY'!$C$20,rate,Sheet1!AB$21,0))</f>
        <v>0</v>
      </c>
      <c r="AR448" s="419">
        <f>IF(AR447=0,0,((+$I152/$AZ447)*AR447)*VLOOKUP('1. SUMMARY'!$C$20,rate,Sheet1!AC$21,0))</f>
        <v>0</v>
      </c>
      <c r="AS448" s="419">
        <f>IF(AS447=0,0,((+$I152/$AZ447)*AS447)*VLOOKUP('1. SUMMARY'!$C$20,rate,Sheet1!AD$21,0))</f>
        <v>0</v>
      </c>
      <c r="AT448" s="419">
        <f>IF(AT447=0,0,((+$I152/$AZ447)*AT447)*VLOOKUP('1. SUMMARY'!$C$20,rate,Sheet1!AE$21,0))</f>
        <v>0</v>
      </c>
      <c r="AU448" s="419">
        <f>IF(AU447=0,0,((+$I152/$AZ447)*AU447)*VLOOKUP('1. SUMMARY'!$C$20,rate,Sheet1!AF$21,0))</f>
        <v>0</v>
      </c>
      <c r="AV448" s="419">
        <f>IF(AV447=0,0,((+$I152/$AZ447)*AV447)*VLOOKUP('1. SUMMARY'!$C$20,rate,Sheet1!AG$21,0))</f>
        <v>0</v>
      </c>
      <c r="AW448" s="419">
        <f>IF(AW447=0,0,((+$I152/$AZ447)*AW447)*VLOOKUP('1. SUMMARY'!$C$20,rate,Sheet1!AH$21,0))</f>
        <v>0</v>
      </c>
      <c r="AX448" s="419">
        <f>IF(AX447=0,0,((+$I152/$AZ447)*AX447)*VLOOKUP('1. SUMMARY'!$C$20,rate,Sheet1!AI$21,0))</f>
        <v>0</v>
      </c>
      <c r="AY448" s="419">
        <f>IF(AY447=0,0,((+$I152/$AZ447)*AY447)*VLOOKUP('1. SUMMARY'!$C$20,rate,Sheet1!AJ$21,0))</f>
        <v>0</v>
      </c>
      <c r="AZ448" s="419">
        <f>SUM(AI448:AY448)</f>
        <v>0</v>
      </c>
    </row>
    <row r="449" spans="15:52" hidden="1">
      <c r="Q449" s="419">
        <f>+Q448/VLOOKUP('1. SUMMARY'!$C$20,rate,Sheet1!T$21,0)</f>
        <v>0</v>
      </c>
      <c r="R449" s="419">
        <f>+R448/VLOOKUP('1. SUMMARY'!$C$20,rate,Sheet1!U$21,0)</f>
        <v>0</v>
      </c>
      <c r="S449" s="419">
        <f>+S448/VLOOKUP('1. SUMMARY'!$C$20,rate,Sheet1!V$21,0)</f>
        <v>0</v>
      </c>
      <c r="T449" s="419">
        <f>+T448/VLOOKUP('1. SUMMARY'!$C$20,rate,Sheet1!W$21,0)</f>
        <v>0</v>
      </c>
      <c r="U449" s="419">
        <f>+U448/VLOOKUP('1. SUMMARY'!$C$20,rate,Sheet1!X$21,0)</f>
        <v>0</v>
      </c>
      <c r="V449" s="419">
        <f>+V448/VLOOKUP('1. SUMMARY'!$C$20,rate,Sheet1!Y$21,0)</f>
        <v>0</v>
      </c>
      <c r="W449" s="419">
        <f>+W448/VLOOKUP('1. SUMMARY'!$C$20,rate,Sheet1!Z$21,0)</f>
        <v>0</v>
      </c>
      <c r="X449" s="419">
        <f>+X448/VLOOKUP('1. SUMMARY'!$C$20,rate,Sheet1!AA$21,0)</f>
        <v>0</v>
      </c>
      <c r="Y449" s="419">
        <f>+Y448/VLOOKUP('1. SUMMARY'!$C$20,rate,Sheet1!AB$21,0)</f>
        <v>0</v>
      </c>
      <c r="Z449" s="419">
        <f>+Z448/VLOOKUP('1. SUMMARY'!$C$20,rate,Sheet1!AC$21,0)</f>
        <v>0</v>
      </c>
      <c r="AA449" s="419">
        <f>+AA448/VLOOKUP('1. SUMMARY'!$C$20,rate,Sheet1!AD$21,0)</f>
        <v>0</v>
      </c>
      <c r="AB449" s="419">
        <f>+AB448/VLOOKUP('1. SUMMARY'!$C$20,rate,Sheet1!AE$21,0)</f>
        <v>0</v>
      </c>
      <c r="AC449" s="419">
        <f>+AC448/VLOOKUP('1. SUMMARY'!$C$20,rate,Sheet1!AF$21,0)</f>
        <v>0</v>
      </c>
      <c r="AD449" s="419">
        <f>+AD448/VLOOKUP('1. SUMMARY'!$C$20,rate,Sheet1!AG$21,0)</f>
        <v>0</v>
      </c>
      <c r="AE449" s="419">
        <f>+AE448/VLOOKUP('1. SUMMARY'!$C$20,rate,Sheet1!AH$21,0)</f>
        <v>0</v>
      </c>
      <c r="AF449" s="419">
        <f>+AF448/VLOOKUP('1. SUMMARY'!$C$20,rate,Sheet1!AI$21,0)</f>
        <v>0</v>
      </c>
      <c r="AG449" s="419">
        <f>+AG448/VLOOKUP('1. SUMMARY'!$C$20,rate,Sheet1!AJ$21,0)</f>
        <v>0</v>
      </c>
      <c r="AH449" s="219"/>
      <c r="AI449" s="419"/>
      <c r="AJ449" s="419"/>
      <c r="AK449" s="419"/>
      <c r="AL449" s="419"/>
      <c r="AM449" s="419"/>
      <c r="AN449" s="419"/>
      <c r="AO449" s="419"/>
      <c r="AP449" s="419"/>
      <c r="AQ449" s="419"/>
      <c r="AR449" s="419"/>
      <c r="AS449" s="419"/>
      <c r="AT449" s="419"/>
      <c r="AU449" s="419"/>
      <c r="AV449" s="419"/>
      <c r="AW449" s="419"/>
      <c r="AX449" s="419"/>
      <c r="AY449" s="419"/>
      <c r="AZ449" s="419"/>
    </row>
    <row r="450" spans="15:52" hidden="1">
      <c r="Q450" s="416">
        <f>Sheet1!$T$8</f>
        <v>44105</v>
      </c>
      <c r="R450" s="416">
        <f>Sheet1!$U$8</f>
        <v>44470</v>
      </c>
      <c r="S450" s="416">
        <f>Sheet1!$V$8</f>
        <v>44835</v>
      </c>
      <c r="T450" s="416">
        <f>Sheet1!$W$8</f>
        <v>45200</v>
      </c>
      <c r="U450" s="416">
        <f>Sheet1!$X$8</f>
        <v>45566</v>
      </c>
      <c r="V450" s="416">
        <f>Sheet1!$Y$8</f>
        <v>45931</v>
      </c>
      <c r="W450" s="416">
        <f>Sheet1!$Z$8</f>
        <v>46296</v>
      </c>
      <c r="X450" s="416">
        <f>Sheet1!$AA$8</f>
        <v>46661</v>
      </c>
      <c r="Y450" s="416">
        <f>Sheet1!$AB$8</f>
        <v>47027</v>
      </c>
      <c r="Z450" s="416">
        <f>Sheet1!$AC$8</f>
        <v>47392</v>
      </c>
      <c r="AA450" s="416">
        <f>$AA$5</f>
        <v>47757</v>
      </c>
      <c r="AB450" s="416">
        <f>$AB$5</f>
        <v>48122</v>
      </c>
      <c r="AC450" s="416">
        <f>$AC$5</f>
        <v>48488</v>
      </c>
      <c r="AD450" s="416">
        <f>$AD$5</f>
        <v>48853</v>
      </c>
      <c r="AE450" s="416">
        <f>$AE$5</f>
        <v>49218</v>
      </c>
      <c r="AF450" s="416">
        <f>$AF$5</f>
        <v>49583</v>
      </c>
      <c r="AG450" s="416">
        <f>$AG$5</f>
        <v>49949</v>
      </c>
      <c r="AH450" s="219"/>
      <c r="AI450" s="416">
        <f t="shared" ref="AI450:AR452" si="210">+Q450</f>
        <v>44105</v>
      </c>
      <c r="AJ450" s="416">
        <f t="shared" si="210"/>
        <v>44470</v>
      </c>
      <c r="AK450" s="416">
        <f t="shared" si="210"/>
        <v>44835</v>
      </c>
      <c r="AL450" s="416">
        <f t="shared" si="210"/>
        <v>45200</v>
      </c>
      <c r="AM450" s="416">
        <f t="shared" si="210"/>
        <v>45566</v>
      </c>
      <c r="AN450" s="416">
        <f t="shared" si="210"/>
        <v>45931</v>
      </c>
      <c r="AO450" s="416">
        <f t="shared" si="210"/>
        <v>46296</v>
      </c>
      <c r="AP450" s="416">
        <f t="shared" si="210"/>
        <v>46661</v>
      </c>
      <c r="AQ450" s="416">
        <f t="shared" si="210"/>
        <v>47027</v>
      </c>
      <c r="AR450" s="416">
        <f t="shared" si="210"/>
        <v>47392</v>
      </c>
      <c r="AS450" s="416">
        <f t="shared" ref="AS450:AY452" si="211">+AA450</f>
        <v>47757</v>
      </c>
      <c r="AT450" s="416">
        <f t="shared" si="211"/>
        <v>48122</v>
      </c>
      <c r="AU450" s="416">
        <f t="shared" si="211"/>
        <v>48488</v>
      </c>
      <c r="AV450" s="416">
        <f t="shared" si="211"/>
        <v>48853</v>
      </c>
      <c r="AW450" s="416">
        <f t="shared" si="211"/>
        <v>49218</v>
      </c>
      <c r="AX450" s="416">
        <f t="shared" si="211"/>
        <v>49583</v>
      </c>
      <c r="AY450" s="416">
        <f t="shared" si="211"/>
        <v>49949</v>
      </c>
      <c r="AZ450" s="416"/>
    </row>
    <row r="451" spans="15:52" hidden="1">
      <c r="Q451" s="416">
        <f>Sheet1!$T$9</f>
        <v>44469</v>
      </c>
      <c r="R451" s="416">
        <f>Sheet1!$U$9</f>
        <v>44834</v>
      </c>
      <c r="S451" s="416">
        <f>Sheet1!$V$9</f>
        <v>45199</v>
      </c>
      <c r="T451" s="416">
        <f>Sheet1!$W$9</f>
        <v>45565</v>
      </c>
      <c r="U451" s="416">
        <f>Sheet1!$X$9</f>
        <v>45930</v>
      </c>
      <c r="V451" s="416">
        <f>Sheet1!$Y$9</f>
        <v>46295</v>
      </c>
      <c r="W451" s="416">
        <f>Sheet1!$Z$9</f>
        <v>46660</v>
      </c>
      <c r="X451" s="416">
        <f>Sheet1!$AA$9</f>
        <v>47026</v>
      </c>
      <c r="Y451" s="416">
        <f>Sheet1!$AB$9</f>
        <v>47391</v>
      </c>
      <c r="Z451" s="416">
        <f>Sheet1!$AC$9</f>
        <v>47756</v>
      </c>
      <c r="AA451" s="416">
        <f>$AA$6</f>
        <v>48121</v>
      </c>
      <c r="AB451" s="416">
        <f>$AB$6</f>
        <v>48487</v>
      </c>
      <c r="AC451" s="416">
        <f>$AC$6</f>
        <v>48852</v>
      </c>
      <c r="AD451" s="416">
        <f>$AD$6</f>
        <v>49217</v>
      </c>
      <c r="AE451" s="416">
        <f>$AE$6</f>
        <v>49582</v>
      </c>
      <c r="AF451" s="416">
        <f>$AF$6</f>
        <v>49948</v>
      </c>
      <c r="AG451" s="416">
        <f>$AG$6</f>
        <v>50313</v>
      </c>
      <c r="AH451" s="219"/>
      <c r="AI451" s="416">
        <f t="shared" si="210"/>
        <v>44469</v>
      </c>
      <c r="AJ451" s="416">
        <f t="shared" si="210"/>
        <v>44834</v>
      </c>
      <c r="AK451" s="416">
        <f t="shared" si="210"/>
        <v>45199</v>
      </c>
      <c r="AL451" s="416">
        <f t="shared" si="210"/>
        <v>45565</v>
      </c>
      <c r="AM451" s="416">
        <f t="shared" si="210"/>
        <v>45930</v>
      </c>
      <c r="AN451" s="416">
        <f t="shared" si="210"/>
        <v>46295</v>
      </c>
      <c r="AO451" s="416">
        <f t="shared" si="210"/>
        <v>46660</v>
      </c>
      <c r="AP451" s="416">
        <f t="shared" si="210"/>
        <v>47026</v>
      </c>
      <c r="AQ451" s="416">
        <f t="shared" si="210"/>
        <v>47391</v>
      </c>
      <c r="AR451" s="416">
        <f t="shared" si="210"/>
        <v>47756</v>
      </c>
      <c r="AS451" s="416">
        <f t="shared" si="211"/>
        <v>48121</v>
      </c>
      <c r="AT451" s="416">
        <f t="shared" si="211"/>
        <v>48487</v>
      </c>
      <c r="AU451" s="416">
        <f t="shared" si="211"/>
        <v>48852</v>
      </c>
      <c r="AV451" s="416">
        <f t="shared" si="211"/>
        <v>49217</v>
      </c>
      <c r="AW451" s="416">
        <f t="shared" si="211"/>
        <v>49582</v>
      </c>
      <c r="AX451" s="416">
        <f t="shared" si="211"/>
        <v>49948</v>
      </c>
      <c r="AY451" s="416">
        <f t="shared" si="211"/>
        <v>50313</v>
      </c>
      <c r="AZ451" s="416"/>
    </row>
    <row r="452" spans="15:52" hidden="1">
      <c r="O452" s="207" t="s">
        <v>266</v>
      </c>
      <c r="Q452" s="417">
        <f>IF(IF(Q451&lt;$J$27,0,DATEDIF($J$27,Q451+1,"m"))&lt;0,0,IF(Q451&lt;$J$27,0,DATEDIF($J$27,Q451+1,"m")))</f>
        <v>0</v>
      </c>
      <c r="R452" s="417">
        <f>IF(IF(Q452=12,0,IF(R451&gt;$J$28,12-DATEDIF($J$28,R451+1,"m"),IF(R451&lt;$J$27,0,DATEDIF($J$27,R451+1,"m"))))&lt;0,0,IF(Q452=12,0,IF(R451&gt;$J$28,12-DATEDIF($J$28,R451+1,"m"),IF(R451&lt;$J$27,0,DATEDIF($J$27,R451+1,"m")))))</f>
        <v>0</v>
      </c>
      <c r="S452" s="417">
        <f>IF(IF(Q452+R452=12,0,IF(S451&gt;$J$28,12-DATEDIF($J$28,S451+1,"m"),IF(S451&lt;$J$27,0,DATEDIF($J$27,S451+1,"m"))))&lt;0,0,IF(Q452+R452=12,0,IF(S451&gt;$J$28,12-DATEDIF($J$28,S451+1,"m"),IF(S451&lt;$J$27,0,DATEDIF($J$27,S451+1,"m")))))</f>
        <v>0</v>
      </c>
      <c r="T452" s="417">
        <f>IF(IF(R452+S452+Q452=12,0,IF(T451&gt;$J$28,12-DATEDIF($J$28,T451+1,"m"),IF(T451&lt;$J$27,0,DATEDIF($J$27,T451+1,"m"))))&lt;0,0,IF(R452+S452+Q452=12,0,IF(T451&gt;$J$28,12-DATEDIF($J$28,T451+1,"m"),IF(T451&lt;$J$27,0,DATEDIF($J$27,T451+1,"m")))))</f>
        <v>0</v>
      </c>
      <c r="U452" s="417">
        <f>IF(IF(S452+T452+R452+Q452=12,0,IF(U451&gt;$J$28,12-DATEDIF($J$28,U451+1,"m"),IF(U451&lt;$J$27,0,DATEDIF($J$27,U451+1,"m"))))&lt;0,0,IF(S452+T452+R452+Q452=12,0,IF(U451&gt;$J$28,12-DATEDIF($J$28,U451+1,"m"),IF(U451&lt;$J$27,0,DATEDIF($J$27,U451+1,"m")))))</f>
        <v>0</v>
      </c>
      <c r="V452" s="417">
        <f>IF(IF(T452+U452+S452+R452+Q452=12,0,IF(V451&gt;$J$28,12-DATEDIF($J$28,V451+1,"m"),IF(V451&lt;$J$27,0,DATEDIF($J$27,V451+1,"m"))))&lt;0,0,IF(T452+U452+S452+R452+Q452=12,0,IF(V451&gt;$J$28,12-DATEDIF($J$28,V451+1,"m"),IF(V451&lt;$J$27,0,DATEDIF($J$27,V451+1,"m")))))</f>
        <v>0</v>
      </c>
      <c r="W452" s="417">
        <f>IF(IF(U452+V452+T452+S452+R452+Q452=12,0,IF(W451&gt;$J$28,12-DATEDIF($J$28,W451+1,"m"),IF(W451&lt;$J$27,0,DATEDIF($J$27,W451+1,"m"))))&lt;0,0,IF(U452+V452+T452+S452+R452+Q452=12,0,IF(W451&gt;$J$28,12-DATEDIF($J$28,W451+1,"m"),IF(W451&lt;$J$27,0,DATEDIF($J$27,W451+1,"m")))))</f>
        <v>0</v>
      </c>
      <c r="X452" s="417">
        <f>IF(IF(V452+W452+U452+T452+S452+R452+Q452=12,0,IF(X451&gt;$J$28,12-DATEDIF($J$28,X451+1,"m"),IF(X451&lt;$J$27,0,DATEDIF($J$27,X451+1,"m"))))&lt;0,0,IF(V452+W452+U452+T452+S452+R452+Q452=12,0,IF(X451&gt;$J$28,12-DATEDIF($J$28,X451+1,"m"),IF(X451&lt;$J$27,0,DATEDIF($J$27,X451+1,"m")))))</f>
        <v>0</v>
      </c>
      <c r="Y452" s="417">
        <f>IF(IF(W452+X452+V452+U452+T452+S452+R452+Q452=12,0,IF(Y451&gt;$J$28,12-DATEDIF($J$28,Y451+1,"m"),IF(Y451&lt;$J$27,0,DATEDIF($J$27,Y451+1,"m"))))&lt;0,0,IF(W452+X452+V452+U452+T452+S452+R452+Q452=12,0,IF(Y451&gt;$J$28,12-DATEDIF($J$28,Y451+1,"m"),IF(Y451&lt;$J$27,0,DATEDIF($J$27,Y451+1,"m")))))</f>
        <v>0</v>
      </c>
      <c r="Z452" s="417">
        <f>IF(IF(X452+Y452+W452+V452+U452+T452+S452+R452+Q452=12,0,IF(Z451&gt;$J$28,12-DATEDIF($J$28,Z451+1,"m"),IF(Z451&lt;$J$27,0,DATEDIF($J$27,Z451+1,"m"))))&lt;0,0,IF(X452+Y452+W452+V452+U452+T452+S452+R452+Q452=12,0,IF(Z451&gt;$J$28,12-DATEDIF($J$28,Z451+1,"m"),IF(Z451&lt;$J$27,0,DATEDIF($J$27,Z451+1,"m")))))</f>
        <v>0</v>
      </c>
      <c r="AA452" s="417">
        <f>IF(IF(Q452+R452+S452+Y452+Z452+X452+W452+V452+U452+T452=12,0,IF(AA451&gt;$J$28,12-DATEDIF($J$28,AA451+1,"m"),IF(AA451&lt;$J$27,0,DATEDIF($J$27,AA451+1,"m"))))&lt;0,0,IF(Q452+R452+S452+Y452+Z452+X452+W452+V452+U452+T452=12,0,IF(AA451&gt;$J$28,12-DATEDIF($J$28,AA451+1,"m"),IF(AA451&lt;$J$27,0,DATEDIF($J$27,AA451+1,"m")))))</f>
        <v>0</v>
      </c>
      <c r="AB452" s="417">
        <f>IF(IF(Q452+R452+S452+T452+Z452+AA452+Y452+X452+W452+V452+U452=12,0,IF(AB451&gt;$J$28,12-DATEDIF($J$28,AB451+1,"m"),IF(AB451&lt;$J$27,0,DATEDIF($J$27,AB451+1,"m"))))&lt;0,0,IF(Q452+R452+S452+T452+Z452+AA452+Y452+X452+W452+V452+U452=12,0,IF(AB451&gt;$J$28,12-DATEDIF($J$28,AB451+1,"m"),IF(AB451&lt;$J$27,0,DATEDIF($J$27,AB451+1,"m")))))</f>
        <v>0</v>
      </c>
      <c r="AC452" s="417">
        <f>IF(IF(Q452+R452+S452+T452+U452+AA452+AB452+Z452+Y452+X452+W452+V452=12,0,IF(AC451&gt;$J$28,12-DATEDIF($J$28,AC451+1,"m"),IF(AC451&lt;$J$27,0,DATEDIF($J$27,AC451+1,"m"))))&lt;0,0,IF(Q452+R452+S452+T452+U452+AA452+AB452+Z452+Y452+X452+W452+V452=12,0,IF(AC451&gt;$J$28,12-DATEDIF($J$28,AC451+1,"m"),IF(AC451&lt;$J$27,0,DATEDIF($J$27,AC451+1,"m")))))</f>
        <v>0</v>
      </c>
      <c r="AD452" s="417">
        <f>IF(IF(Q452+R452+S452+T452+U452+V452+AB452+AC452+AA452+Z452+Y452+X452+W452=12,0,IF(AD451&gt;$J$28,12-DATEDIF($J$28,AD451+1,"m"),IF(AD451&lt;$J$27,0,DATEDIF($J$27,AD451+1,"m"))))&lt;0,0,IF(Q452+R452+S452+T452+U452+V452+AB452+AC452+AA452+Z452+Y452+X452+W452=12,0,IF(AD451&gt;$J$28,12-DATEDIF($J$28,AD451+1,"m"),IF(AD451&lt;$J$27,0,DATEDIF($J$27,AD451+1,"m")))))</f>
        <v>0</v>
      </c>
      <c r="AE452" s="417">
        <f>IF(IF(Q452+R452+S452+T452+U452+V452+W452+AC452+AD452+AB452+AA452+Z452+Y452+X452=12,0,IF(AE451&gt;$J$28,12-DATEDIF($J$28,AE451+1,"m"),IF(AE451&lt;$J$27,0,DATEDIF($J$27,AE451+1,"m"))))&lt;0,0,IF(Q452+R452+S452+T452+U452+V452+W452+AC452+AD452+AB452+AA452+Z452+Y452+X452=12,0,IF(AE451&gt;$J$28,12-DATEDIF($J$28,AE451+1,"m"),IF(AE451&lt;$J$27,0,DATEDIF($J$27,AE451+1,"m")))))</f>
        <v>0</v>
      </c>
      <c r="AF452" s="417">
        <f>IF(IF(Q452+R452+S452+T452+U452+V452+W452+X452+AD452+AE452+AC452+AB452+AA452+Z452+Y452=12,0,IF(AF451&gt;$J$28,12-DATEDIF($J$28,AF451+1,"m"),IF(AF451&lt;$J$27,0,DATEDIF($J$27,AF451+1,"m"))))&lt;0,0,IF(Q452+R452+S452+T452+U452+V452+W452+X452+AD452+AE452+AC452+AB452+AA452+Z452+Y452=12,0,IF(AF451&gt;$J$28,12-DATEDIF($J$28,AF451+1,"m"),IF(AF451&lt;$J$27,0,DATEDIF($J$27,AF451+1,"m")))))</f>
        <v>0</v>
      </c>
      <c r="AG452" s="417">
        <f>IF(IF(Q452+R452+S452+T452+U452+V452+W452+X452+Y452+AE452+AF452+AD452+AC452+AB452+AA452+Z452=12,0,IF(AG451&gt;$J$28,12-DATEDIF($J$28,AG451+1,"m"),IF(AG451&lt;$J$27,0,DATEDIF($J$27,AG451+1,"m"))))&lt;0,0,IF(Q452+R452+S452+T452+U452+V452+W452+X452+Y452+AE452+AF452+AD452+AC452+AB452+AA452+Z452=12,0,IF(AG451&gt;$J$28,12-DATEDIF($J$28,AG451+1,"m"),IF(AG451&lt;$J$27,0,DATEDIF($J$27,AG451+1,"m")))))</f>
        <v>0</v>
      </c>
      <c r="AH452" s="423">
        <f>SUM(Q452:AG452)</f>
        <v>0</v>
      </c>
      <c r="AI452" s="427">
        <f t="shared" si="210"/>
        <v>0</v>
      </c>
      <c r="AJ452" s="427">
        <f t="shared" si="210"/>
        <v>0</v>
      </c>
      <c r="AK452" s="427">
        <f t="shared" si="210"/>
        <v>0</v>
      </c>
      <c r="AL452" s="427">
        <f t="shared" si="210"/>
        <v>0</v>
      </c>
      <c r="AM452" s="427">
        <f t="shared" si="210"/>
        <v>0</v>
      </c>
      <c r="AN452" s="427">
        <f t="shared" si="210"/>
        <v>0</v>
      </c>
      <c r="AO452" s="427">
        <f t="shared" si="210"/>
        <v>0</v>
      </c>
      <c r="AP452" s="427">
        <f t="shared" si="210"/>
        <v>0</v>
      </c>
      <c r="AQ452" s="427">
        <f t="shared" si="210"/>
        <v>0</v>
      </c>
      <c r="AR452" s="427">
        <f t="shared" si="210"/>
        <v>0</v>
      </c>
      <c r="AS452" s="427">
        <f t="shared" si="211"/>
        <v>0</v>
      </c>
      <c r="AT452" s="427">
        <f t="shared" si="211"/>
        <v>0</v>
      </c>
      <c r="AU452" s="427">
        <f t="shared" si="211"/>
        <v>0</v>
      </c>
      <c r="AV452" s="427">
        <f t="shared" si="211"/>
        <v>0</v>
      </c>
      <c r="AW452" s="427">
        <f t="shared" si="211"/>
        <v>0</v>
      </c>
      <c r="AX452" s="427">
        <f t="shared" si="211"/>
        <v>0</v>
      </c>
      <c r="AY452" s="427">
        <f t="shared" si="211"/>
        <v>0</v>
      </c>
      <c r="AZ452" s="427">
        <f>SUM(AI452:AY452)</f>
        <v>0</v>
      </c>
    </row>
    <row r="453" spans="15:52" hidden="1">
      <c r="Q453" s="417">
        <f>IF(Q452=0,0,(IF(($B$152+$C$152+$D$152+$E$152+$F$152+$G$152+$H$152+$I$152+$J$152)&lt;=25000,(($J$152/+$AH452)*Q452)*VLOOKUP('1. SUMMARY'!$C$20,rate,Sheet1!T$21,0),((IF(($F$152+$B$152+$C$152+$D$152+$E$152+$G$152+$H$152+$I$152)&gt;=25000,0,(((25000-($B$152+$C$152+$D$152+$E$152+$F$152+$G$152+$H$152+$I$152))/+$AH452)*Q452)*(VLOOKUP('1. SUMMARY'!$C$20,rate,Sheet1!T$21,0))))))))</f>
        <v>0</v>
      </c>
      <c r="R453" s="417">
        <f>IF(R452=0,0,(IF(($B$152+$C$152+$D$152+$E$152+$F$152+$G$152+$H$152+$I$152+$J$152)&lt;=25000,(($J$152/+$AH452)*R452)*VLOOKUP('1. SUMMARY'!$C$20,rate,Sheet1!U$21,0),((IF(($F$152+$B$152+$C$152+$D$152+$E$152+$G$152+$H$152+$I$152)&gt;=25000,0,(((25000-($B$152+$C$152+$D$152+$E$152+$F$152+$G$152+$H$152+$I$152))/+$AH452)*R452)*(VLOOKUP('1. SUMMARY'!$C$20,rate,Sheet1!U$21,0))))))))</f>
        <v>0</v>
      </c>
      <c r="S453" s="417">
        <f>IF(S452=0,0,(IF(($B$152+$C$152+$D$152+$E$152+$F$152+$G$152+$H$152+$I$152+$J$152)&lt;=25000,(($J$152/+$AH452)*S452)*VLOOKUP('1. SUMMARY'!$C$20,rate,Sheet1!V$21,0),((IF(($F$152+$B$152+$C$152+$D$152+$E$152+$G$152+$H$152+$I$152)&gt;=25000,0,(((25000-($B$152+$C$152+$D$152+$E$152+$F$152+$G$152+$H$152+$I$152))/+$AH452)*S452)*(VLOOKUP('1. SUMMARY'!$C$20,rate,Sheet1!V$21,0))))))))</f>
        <v>0</v>
      </c>
      <c r="T453" s="417">
        <f>IF(T452=0,0,(IF(($B$152+$C$152+$D$152+$E$152+$F$152+$G$152+$H$152+$I$152+$J$152)&lt;=25000,(($J$152/+$AH452)*T452)*VLOOKUP('1. SUMMARY'!$C$20,rate,Sheet1!W$21,0),((IF(($F$152+$B$152+$C$152+$D$152+$E$152+$G$152+$H$152+$I$152)&gt;=25000,0,(((25000-($B$152+$C$152+$D$152+$E$152+$F$152+$G$152+$H$152+$I$152))/+$AH452)*T452)*(VLOOKUP('1. SUMMARY'!$C$20,rate,Sheet1!W$21,0))))))))</f>
        <v>0</v>
      </c>
      <c r="U453" s="417">
        <f>IF(U452=0,0,(IF(($B$152+$C$152+$D$152+$E$152+$F$152+$G$152+$H$152+$I$152+$J$152)&lt;=25000,(($J$152/+$AH452)*U452)*VLOOKUP('1. SUMMARY'!$C$20,rate,Sheet1!X$21,0),((IF(($F$152+$B$152+$C$152+$D$152+$E$152+$G$152+$H$152+$I$152)&gt;=25000,0,(((25000-($B$152+$C$152+$D$152+$E$152+$F$152+$G$152+$H$152+$I$152))/+$AH452)*U452)*(VLOOKUP('1. SUMMARY'!$C$20,rate,Sheet1!X$21,0))))))))</f>
        <v>0</v>
      </c>
      <c r="V453" s="417">
        <f>IF(V452=0,0,(IF(($B$152+$C$152+$D$152+$E$152+$F$152+$G$152+$H$152+$I$152+$J$152)&lt;=25000,(($J$152/+$AH452)*V452)*VLOOKUP('1. SUMMARY'!$C$20,rate,Sheet1!Y$21,0),((IF(($F$152+$B$152+$C$152+$D$152+$E$152+$G$152+$H$152+$I$152)&gt;=25000,0,(((25000-($B$152+$C$152+$D$152+$E$152+$F$152+$G$152+$H$152+$I$152))/+$AH452)*V452)*(VLOOKUP('1. SUMMARY'!$C$20,rate,Sheet1!Y$21,0))))))))</f>
        <v>0</v>
      </c>
      <c r="W453" s="417">
        <f>IF(W452=0,0,(IF(($B$152+$C$152+$D$152+$E$152+$F$152+$G$152+$H$152+$I$152+$J$152)&lt;=25000,(($J$152/+$AH452)*W452)*VLOOKUP('1. SUMMARY'!$C$20,rate,Sheet1!Z$21,0),((IF(($F$152+$B$152+$C$152+$D$152+$E$152+$G$152+$H$152+$I$152)&gt;=25000,0,(((25000-($B$152+$C$152+$D$152+$E$152+$F$152+$G$152+$H$152+$I$152))/+$AH452)*W452)*(VLOOKUP('1. SUMMARY'!$C$20,rate,Sheet1!Z$21,0))))))))</f>
        <v>0</v>
      </c>
      <c r="X453" s="417">
        <f>IF(X452=0,0,(IF(($B$152+$C$152+$D$152+$E$152+$F$152+$G$152+$H$152+$I$152+$J$152)&lt;=25000,(($J$152/+$AH452)*X452)*VLOOKUP('1. SUMMARY'!$C$20,rate,Sheet1!AA$21,0),((IF(($F$152+$B$152+$C$152+$D$152+$E$152+$G$152+$H$152+$I$152)&gt;=25000,0,(((25000-($B$152+$C$152+$D$152+$E$152+$F$152+$G$152+$H$152+$I$152))/+$AH452)*X452)*(VLOOKUP('1. SUMMARY'!$C$20,rate,Sheet1!AA$21,0))))))))</f>
        <v>0</v>
      </c>
      <c r="Y453" s="417">
        <f>IF(Y452=0,0,(IF(($B$152+$C$152+$D$152+$E$152+$F$152+$G$152+$H$152+$I$152+$J$152)&lt;=25000,(($J$152/+$AH452)*Y452)*VLOOKUP('1. SUMMARY'!$C$20,rate,Sheet1!AB$21,0),((IF(($F$152+$B$152+$C$152+$D$152+$E$152+$G$152+$H$152+$I$152)&gt;=25000,0,(((25000-($B$152+$C$152+$D$152+$E$152+$F$152+$G$152+$H$152+$I$152))/+$AH452)*Y452)*(VLOOKUP('1. SUMMARY'!$C$20,rate,Sheet1!AB$21,0))))))))</f>
        <v>0</v>
      </c>
      <c r="Z453" s="417">
        <f>IF(Z452=0,0,(IF(($B$152+$C$152+$D$152+$E$152+$F$152+$G$152+$H$152+$I$152+$J$152)&lt;=25000,(($J$152/+$AH452)*Z452)*VLOOKUP('1. SUMMARY'!$C$20,rate,Sheet1!AC$21,0),((IF(($F$152+$B$152+$C$152+$D$152+$E$152+$G$152+$H$152+$I$152)&gt;=25000,0,(((25000-($B$152+$C$152+$D$152+$E$152+$F$152+$G$152+$H$152+$I$152))/+$AH452)*Z452)*(VLOOKUP('1. SUMMARY'!$C$20,rate,Sheet1!AC$21,0))))))))</f>
        <v>0</v>
      </c>
      <c r="AA453" s="417">
        <f>IF(AA452=0,0,(IF(($B$152+$C$152+$D$152+$E$152+$F$152+$G$152+$H$152+$I$152+$J$152)&lt;=25000,(($J$152/+$AH452)*AA452)*VLOOKUP('1. SUMMARY'!$C$20,rate,Sheet1!AD$21,0),((IF(($F$152+$B$152+$C$152+$D$152+$E$152+$G$152+$H$152+$I$152)&gt;=25000,0,(((25000-($B$152+$C$152+$D$152+$E$152+$F$152+$G$152+$H$152+$I$152))/+$AH452)*AA452)*(VLOOKUP('1. SUMMARY'!$C$20,rate,Sheet1!AD$21,0))))))))</f>
        <v>0</v>
      </c>
      <c r="AB453" s="417">
        <f>IF(AB452=0,0,(IF(($B$152+$C$152+$D$152+$E$152+$F$152+$G$152+$H$152+$I$152+$J$152)&lt;=25000,(($J$152/+$AH452)*AB452)*VLOOKUP('1. SUMMARY'!$C$20,rate,Sheet1!AE$21,0),((IF(($F$152+$B$152+$C$152+$D$152+$E$152+$G$152+$H$152+$I$152)&gt;=25000,0,(((25000-($B$152+$C$152+$D$152+$E$152+$F$152+$G$152+$H$152+$I$152))/+$AH452)*AB452)*(VLOOKUP('1. SUMMARY'!$C$20,rate,Sheet1!AE$21,0))))))))</f>
        <v>0</v>
      </c>
      <c r="AC453" s="417">
        <f>IF(AC452=0,0,(IF(($B$152+$C$152+$D$152+$E$152+$F$152+$G$152+$H$152+$I$152+$J$152)&lt;=25000,(($J$152/+$AH452)*AC452)*VLOOKUP('1. SUMMARY'!$C$20,rate,Sheet1!AF$21,0),((IF(($F$152+$B$152+$C$152+$D$152+$E$152+$G$152+$H$152+$I$152)&gt;=25000,0,(((25000-($B$152+$C$152+$D$152+$E$152+$F$152+$G$152+$H$152+$I$152))/+$AH452)*AC452)*(VLOOKUP('1. SUMMARY'!$C$20,rate,Sheet1!AF$21,0))))))))</f>
        <v>0</v>
      </c>
      <c r="AD453" s="417">
        <f>IF(AD452=0,0,(IF(($B$152+$C$152+$D$152+$E$152+$F$152+$G$152+$H$152+$I$152+$J$152)&lt;=25000,(($J$152/+$AH452)*AD452)*VLOOKUP('1. SUMMARY'!$C$20,rate,Sheet1!AG$21,0),((IF(($F$152+$B$152+$C$152+$D$152+$E$152+$G$152+$H$152+$I$152)&gt;=25000,0,(((25000-($B$152+$C$152+$D$152+$E$152+$F$152+$G$152+$H$152+$I$152))/+$AH452)*AD452)*(VLOOKUP('1. SUMMARY'!$C$20,rate,Sheet1!AG$21,0))))))))</f>
        <v>0</v>
      </c>
      <c r="AE453" s="417">
        <f>IF(AE452=0,0,(IF(($B$152+$C$152+$D$152+$E$152+$F$152+$G$152+$H$152+$I$152+$J$152)&lt;=25000,(($J$152/+$AH452)*AE452)*VLOOKUP('1. SUMMARY'!$C$20,rate,Sheet1!AH$21,0),((IF(($F$152+$B$152+$C$152+$D$152+$E$152+$G$152+$H$152+$I$152)&gt;=25000,0,(((25000-($B$152+$C$152+$D$152+$E$152+$F$152+$G$152+$H$152+$I$152))/+$AH452)*AE452)*(VLOOKUP('1. SUMMARY'!$C$20,rate,Sheet1!AH$21,0))))))))</f>
        <v>0</v>
      </c>
      <c r="AF453" s="417">
        <f>IF(AF452=0,0,(IF(($B$152+$C$152+$D$152+$E$152+$F$152+$G$152+$H$152+$I$152+$J$152)&lt;=25000,(($J$152/+$AH452)*AF452)*VLOOKUP('1. SUMMARY'!$C$20,rate,Sheet1!AI$21,0),((IF(($F$152+$B$152+$C$152+$D$152+$E$152+$G$152+$H$152+$I$152)&gt;=25000,0,(((25000-($B$152+$C$152+$D$152+$E$152+$F$152+$G$152+$H$152+$I$152))/+$AH452)*AF452)*(VLOOKUP('1. SUMMARY'!$C$20,rate,Sheet1!AI$21,0))))))))</f>
        <v>0</v>
      </c>
      <c r="AG453" s="417">
        <f>IF(AG452=0,0,(IF(($B$152+$C$152+$D$152+$E$152+$F$152+$G$152+$H$152+$I$152+$J$152)&lt;=25000,(($J$152/+$AH452)*AG452)*VLOOKUP('1. SUMMARY'!$C$20,rate,Sheet1!AJ$21,0),((IF(($F$152+$B$152+$C$152+$D$152+$E$152+$G$152+$H$152+$I$152)&gt;=25000,0,(((25000-($B$152+$C$152+$D$152+$E$152+$F$152+$G$152+$H$152+$I$152))/+$AH452)*AG452)*(VLOOKUP('1. SUMMARY'!$C$20,rate,Sheet1!AJ$21,0))))))))</f>
        <v>0</v>
      </c>
      <c r="AH453" s="219">
        <f>SUM(Q453:AG453)</f>
        <v>0</v>
      </c>
      <c r="AI453" s="417">
        <f>IF(AI452=0,0,((+$J152/$AZ452)*AI452)*VLOOKUP('1. SUMMARY'!$C$20,rate,Sheet1!T$21,0))</f>
        <v>0</v>
      </c>
      <c r="AJ453" s="417">
        <f>IF(AJ452=0,0,((+$J152/$AZ452)*AJ452)*VLOOKUP('1. SUMMARY'!$C$20,rate,Sheet1!U$21,0))</f>
        <v>0</v>
      </c>
      <c r="AK453" s="417">
        <f>IF(AK452=0,0,((+$J152/$AZ452)*AK452)*VLOOKUP('1. SUMMARY'!$C$20,rate,Sheet1!V$21,0))</f>
        <v>0</v>
      </c>
      <c r="AL453" s="417">
        <f>IF(AL452=0,0,((+$J152/$AZ452)*AL452)*VLOOKUP('1. SUMMARY'!$C$20,rate,Sheet1!W$21,0))</f>
        <v>0</v>
      </c>
      <c r="AM453" s="417">
        <f>IF(AM452=0,0,((+$J152/$AZ452)*AM452)*VLOOKUP('1. SUMMARY'!$C$20,rate,Sheet1!X$21,0))</f>
        <v>0</v>
      </c>
      <c r="AN453" s="417">
        <f>IF(AN452=0,0,((+$J152/$AZ452)*AN452)*VLOOKUP('1. SUMMARY'!$C$20,rate,Sheet1!Y$21,0))</f>
        <v>0</v>
      </c>
      <c r="AO453" s="417">
        <f>IF(AO452=0,0,((+$J152/$AZ452)*AO452)*VLOOKUP('1. SUMMARY'!$C$20,rate,Sheet1!Z$21,0))</f>
        <v>0</v>
      </c>
      <c r="AP453" s="417">
        <f>IF(AP452=0,0,((+$J152/$AZ452)*AP452)*VLOOKUP('1. SUMMARY'!$C$20,rate,Sheet1!AA$21,0))</f>
        <v>0</v>
      </c>
      <c r="AQ453" s="417">
        <f>IF(AQ452=0,0,((+$J152/$AZ452)*AQ452)*VLOOKUP('1. SUMMARY'!$C$20,rate,Sheet1!AB$21,0))</f>
        <v>0</v>
      </c>
      <c r="AR453" s="417">
        <f>IF(AR452=0,0,((+$J152/$AZ452)*AR452)*VLOOKUP('1. SUMMARY'!$C$20,rate,Sheet1!AC$21,0))</f>
        <v>0</v>
      </c>
      <c r="AS453" s="417">
        <f>IF(AS452=0,0,((+$J152/$AZ452)*AS452)*VLOOKUP('1. SUMMARY'!$C$20,rate,Sheet1!AD$21,0))</f>
        <v>0</v>
      </c>
      <c r="AT453" s="417">
        <f>IF(AT452=0,0,((+$J152/$AZ452)*AT452)*VLOOKUP('1. SUMMARY'!$C$20,rate,Sheet1!AE$21,0))</f>
        <v>0</v>
      </c>
      <c r="AU453" s="417">
        <f>IF(AU452=0,0,((+$J152/$AZ452)*AU452)*VLOOKUP('1. SUMMARY'!$C$20,rate,Sheet1!AF$21,0))</f>
        <v>0</v>
      </c>
      <c r="AV453" s="417">
        <f>IF(AV452=0,0,((+$J152/$AZ452)*AV452)*VLOOKUP('1. SUMMARY'!$C$20,rate,Sheet1!AG$21,0))</f>
        <v>0</v>
      </c>
      <c r="AW453" s="417">
        <f>IF(AW452=0,0,((+$J152/$AZ452)*AW452)*VLOOKUP('1. SUMMARY'!$C$20,rate,Sheet1!AH$21,0))</f>
        <v>0</v>
      </c>
      <c r="AX453" s="417">
        <f>IF(AX452=0,0,((+$J152/$AZ452)*AX452)*VLOOKUP('1. SUMMARY'!$C$20,rate,Sheet1!AI$21,0))</f>
        <v>0</v>
      </c>
      <c r="AY453" s="417">
        <f>IF(AY452=0,0,((+$J152/$AZ452)*AY452)*VLOOKUP('1. SUMMARY'!$C$20,rate,Sheet1!AJ$21,0))</f>
        <v>0</v>
      </c>
      <c r="AZ453" s="417">
        <f>SUM(AI453:AY453)</f>
        <v>0</v>
      </c>
    </row>
    <row r="454" spans="15:52" hidden="1">
      <c r="Q454" s="417">
        <f>+Q453/VLOOKUP('1. SUMMARY'!$C$20,rate,Sheet1!T$21,0)</f>
        <v>0</v>
      </c>
      <c r="R454" s="417">
        <f>+R453/VLOOKUP('1. SUMMARY'!$C$20,rate,Sheet1!U$21,0)</f>
        <v>0</v>
      </c>
      <c r="S454" s="417">
        <f>+S453/VLOOKUP('1. SUMMARY'!$C$20,rate,Sheet1!V$21,0)</f>
        <v>0</v>
      </c>
      <c r="T454" s="417">
        <f>+T453/VLOOKUP('1. SUMMARY'!$C$20,rate,Sheet1!W$21,0)</f>
        <v>0</v>
      </c>
      <c r="U454" s="417">
        <f>+U453/VLOOKUP('1. SUMMARY'!$C$20,rate,Sheet1!X$21,0)</f>
        <v>0</v>
      </c>
      <c r="V454" s="417">
        <f>+V453/VLOOKUP('1. SUMMARY'!$C$20,rate,Sheet1!Y$21,0)</f>
        <v>0</v>
      </c>
      <c r="W454" s="417">
        <f>+W453/VLOOKUP('1. SUMMARY'!$C$20,rate,Sheet1!Z$21,0)</f>
        <v>0</v>
      </c>
      <c r="X454" s="417">
        <f>+X453/VLOOKUP('1. SUMMARY'!$C$20,rate,Sheet1!AA$21,0)</f>
        <v>0</v>
      </c>
      <c r="Y454" s="417">
        <f>+Y453/VLOOKUP('1. SUMMARY'!$C$20,rate,Sheet1!AB$21,0)</f>
        <v>0</v>
      </c>
      <c r="Z454" s="417">
        <f>+Z453/VLOOKUP('1. SUMMARY'!$C$20,rate,Sheet1!AC$21,0)</f>
        <v>0</v>
      </c>
      <c r="AA454" s="417">
        <f>+AA453/VLOOKUP('1. SUMMARY'!$C$20,rate,Sheet1!AD$21,0)</f>
        <v>0</v>
      </c>
      <c r="AB454" s="417">
        <f>+AB453/VLOOKUP('1. SUMMARY'!$C$20,rate,Sheet1!AE$21,0)</f>
        <v>0</v>
      </c>
      <c r="AC454" s="417">
        <f>+AC453/VLOOKUP('1. SUMMARY'!$C$20,rate,Sheet1!AF$21,0)</f>
        <v>0</v>
      </c>
      <c r="AD454" s="417">
        <f>+AD453/VLOOKUP('1. SUMMARY'!$C$20,rate,Sheet1!AG$21,0)</f>
        <v>0</v>
      </c>
      <c r="AE454" s="417">
        <f>+AE453/VLOOKUP('1. SUMMARY'!$C$20,rate,Sheet1!AH$21,0)</f>
        <v>0</v>
      </c>
      <c r="AF454" s="417">
        <f>+AF453/VLOOKUP('1. SUMMARY'!$C$20,rate,Sheet1!AI$21,0)</f>
        <v>0</v>
      </c>
      <c r="AG454" s="417">
        <f>+AG453/VLOOKUP('1. SUMMARY'!$C$20,rate,Sheet1!AJ$21,0)</f>
        <v>0</v>
      </c>
      <c r="AH454" s="219"/>
      <c r="AI454" s="417"/>
      <c r="AJ454" s="417"/>
      <c r="AK454" s="417"/>
      <c r="AL454" s="417"/>
      <c r="AM454" s="417"/>
      <c r="AN454" s="417"/>
      <c r="AO454" s="417"/>
      <c r="AP454" s="417"/>
      <c r="AQ454" s="417"/>
      <c r="AR454" s="417"/>
      <c r="AS454" s="417"/>
      <c r="AT454" s="417"/>
      <c r="AU454" s="417"/>
      <c r="AV454" s="417"/>
      <c r="AW454" s="417"/>
      <c r="AX454" s="417"/>
      <c r="AY454" s="417"/>
      <c r="AZ454" s="417"/>
    </row>
    <row r="455" spans="15:52" hidden="1">
      <c r="Q455" s="420">
        <f>Sheet1!$T$8</f>
        <v>44105</v>
      </c>
      <c r="R455" s="420">
        <f>Sheet1!$U$8</f>
        <v>44470</v>
      </c>
      <c r="S455" s="420">
        <f>Sheet1!$V$8</f>
        <v>44835</v>
      </c>
      <c r="T455" s="420">
        <f>Sheet1!$W$8</f>
        <v>45200</v>
      </c>
      <c r="U455" s="420">
        <f>Sheet1!$X$8</f>
        <v>45566</v>
      </c>
      <c r="V455" s="420">
        <f>Sheet1!$Y$8</f>
        <v>45931</v>
      </c>
      <c r="W455" s="420">
        <f>Sheet1!$Z$8</f>
        <v>46296</v>
      </c>
      <c r="X455" s="420">
        <f>Sheet1!$AA$8</f>
        <v>46661</v>
      </c>
      <c r="Y455" s="420">
        <f>Sheet1!$AB$8</f>
        <v>47027</v>
      </c>
      <c r="Z455" s="420">
        <f>Sheet1!$AC$8</f>
        <v>47392</v>
      </c>
      <c r="AA455" s="420">
        <f>$AA$5</f>
        <v>47757</v>
      </c>
      <c r="AB455" s="420">
        <f>$AB$5</f>
        <v>48122</v>
      </c>
      <c r="AC455" s="420">
        <f>$AC$5</f>
        <v>48488</v>
      </c>
      <c r="AD455" s="420">
        <f>$AD$5</f>
        <v>48853</v>
      </c>
      <c r="AE455" s="420">
        <f>$AE$5</f>
        <v>49218</v>
      </c>
      <c r="AF455" s="420">
        <f>$AF$5</f>
        <v>49583</v>
      </c>
      <c r="AG455" s="420">
        <f>$AG$5</f>
        <v>49949</v>
      </c>
      <c r="AH455" s="219"/>
      <c r="AI455" s="420">
        <f t="shared" ref="AI455:AR457" si="212">+Q455</f>
        <v>44105</v>
      </c>
      <c r="AJ455" s="420">
        <f t="shared" si="212"/>
        <v>44470</v>
      </c>
      <c r="AK455" s="420">
        <f t="shared" si="212"/>
        <v>44835</v>
      </c>
      <c r="AL455" s="420">
        <f t="shared" si="212"/>
        <v>45200</v>
      </c>
      <c r="AM455" s="420">
        <f t="shared" si="212"/>
        <v>45566</v>
      </c>
      <c r="AN455" s="420">
        <f t="shared" si="212"/>
        <v>45931</v>
      </c>
      <c r="AO455" s="420">
        <f t="shared" si="212"/>
        <v>46296</v>
      </c>
      <c r="AP455" s="420">
        <f t="shared" si="212"/>
        <v>46661</v>
      </c>
      <c r="AQ455" s="420">
        <f t="shared" si="212"/>
        <v>47027</v>
      </c>
      <c r="AR455" s="420">
        <f t="shared" si="212"/>
        <v>47392</v>
      </c>
      <c r="AS455" s="420">
        <f t="shared" ref="AS455:AY457" si="213">+AA455</f>
        <v>47757</v>
      </c>
      <c r="AT455" s="420">
        <f t="shared" si="213"/>
        <v>48122</v>
      </c>
      <c r="AU455" s="420">
        <f t="shared" si="213"/>
        <v>48488</v>
      </c>
      <c r="AV455" s="420">
        <f t="shared" si="213"/>
        <v>48853</v>
      </c>
      <c r="AW455" s="420">
        <f t="shared" si="213"/>
        <v>49218</v>
      </c>
      <c r="AX455" s="420">
        <f t="shared" si="213"/>
        <v>49583</v>
      </c>
      <c r="AY455" s="420">
        <f t="shared" si="213"/>
        <v>49949</v>
      </c>
      <c r="AZ455" s="420"/>
    </row>
    <row r="456" spans="15:52" hidden="1">
      <c r="O456" s="207" t="s">
        <v>267</v>
      </c>
      <c r="Q456" s="420">
        <f>Sheet1!$T$9</f>
        <v>44469</v>
      </c>
      <c r="R456" s="420">
        <f>Sheet1!$U$9</f>
        <v>44834</v>
      </c>
      <c r="S456" s="420">
        <f>Sheet1!$V$9</f>
        <v>45199</v>
      </c>
      <c r="T456" s="420">
        <f>Sheet1!$W$9</f>
        <v>45565</v>
      </c>
      <c r="U456" s="420">
        <f>Sheet1!$X$9</f>
        <v>45930</v>
      </c>
      <c r="V456" s="420">
        <f>Sheet1!$Y$9</f>
        <v>46295</v>
      </c>
      <c r="W456" s="420">
        <f>Sheet1!$Z$9</f>
        <v>46660</v>
      </c>
      <c r="X456" s="420">
        <f>Sheet1!$AA$9</f>
        <v>47026</v>
      </c>
      <c r="Y456" s="420">
        <f>Sheet1!$AB$9</f>
        <v>47391</v>
      </c>
      <c r="Z456" s="420">
        <f>Sheet1!$AC$9</f>
        <v>47756</v>
      </c>
      <c r="AA456" s="420">
        <f>$AA$6</f>
        <v>48121</v>
      </c>
      <c r="AB456" s="420">
        <f>$AB$6</f>
        <v>48487</v>
      </c>
      <c r="AC456" s="420">
        <f>$AC$6</f>
        <v>48852</v>
      </c>
      <c r="AD456" s="420">
        <f>$AD$6</f>
        <v>49217</v>
      </c>
      <c r="AE456" s="420">
        <f>$AE$6</f>
        <v>49582</v>
      </c>
      <c r="AF456" s="420">
        <f>$AF$6</f>
        <v>49948</v>
      </c>
      <c r="AG456" s="420">
        <f>$AG$6</f>
        <v>50313</v>
      </c>
      <c r="AH456" s="219"/>
      <c r="AI456" s="420">
        <f t="shared" si="212"/>
        <v>44469</v>
      </c>
      <c r="AJ456" s="420">
        <f t="shared" si="212"/>
        <v>44834</v>
      </c>
      <c r="AK456" s="420">
        <f t="shared" si="212"/>
        <v>45199</v>
      </c>
      <c r="AL456" s="420">
        <f t="shared" si="212"/>
        <v>45565</v>
      </c>
      <c r="AM456" s="420">
        <f t="shared" si="212"/>
        <v>45930</v>
      </c>
      <c r="AN456" s="420">
        <f t="shared" si="212"/>
        <v>46295</v>
      </c>
      <c r="AO456" s="420">
        <f t="shared" si="212"/>
        <v>46660</v>
      </c>
      <c r="AP456" s="420">
        <f t="shared" si="212"/>
        <v>47026</v>
      </c>
      <c r="AQ456" s="420">
        <f t="shared" si="212"/>
        <v>47391</v>
      </c>
      <c r="AR456" s="420">
        <f t="shared" si="212"/>
        <v>47756</v>
      </c>
      <c r="AS456" s="420">
        <f t="shared" si="213"/>
        <v>48121</v>
      </c>
      <c r="AT456" s="420">
        <f t="shared" si="213"/>
        <v>48487</v>
      </c>
      <c r="AU456" s="420">
        <f t="shared" si="213"/>
        <v>48852</v>
      </c>
      <c r="AV456" s="420">
        <f t="shared" si="213"/>
        <v>49217</v>
      </c>
      <c r="AW456" s="420">
        <f t="shared" si="213"/>
        <v>49582</v>
      </c>
      <c r="AX456" s="420">
        <f t="shared" si="213"/>
        <v>49948</v>
      </c>
      <c r="AY456" s="420">
        <f t="shared" si="213"/>
        <v>50313</v>
      </c>
      <c r="AZ456" s="420"/>
    </row>
    <row r="457" spans="15:52" hidden="1">
      <c r="Q457" s="421">
        <f>IF(IF(Q456&lt;$K$27,0,DATEDIF($K$27,Q456+1,"m"))&lt;0,0,IF(Q456&lt;$K$27,0,DATEDIF($K$27,Q456+1,"m")))</f>
        <v>0</v>
      </c>
      <c r="R457" s="421">
        <f>IF(IF(Q457=12,0,IF(R456&gt;$K$28,12-DATEDIF($K$28,R456+1,"m"),IF(R456&lt;$K$27,0,DATEDIF($K$27,R456+1,"m"))))&lt;0,0,IF(Q457=12,0,IF(R456&gt;$K$28,12-DATEDIF($K$28,R456+1,"m"),IF(R456&lt;$K$27,0,DATEDIF($K$27,R456+1,"m")))))</f>
        <v>0</v>
      </c>
      <c r="S457" s="421">
        <f>IF(IF(Q457+R457=12,0,IF(S456&gt;$K$28,12-DATEDIF($K$28,S456+1,"m"),IF(S456&lt;$K$27,0,DATEDIF($K$27,S456+1,"m"))))&lt;0,0,IF(Q457+R457=12,0,IF(S456&gt;$K$28,12-DATEDIF($K$28,S456+1,"m"),IF(S456&lt;$K$27,0,DATEDIF($K$27,S456+1,"m")))))</f>
        <v>0</v>
      </c>
      <c r="T457" s="421">
        <f>IF(IF(R457+S457+Q457=12,0,IF(T456&gt;$K$28,12-DATEDIF($K$28,T456+1,"m"),IF(T456&lt;$K$27,0,DATEDIF($K$27,T456+1,"m"))))&lt;0,0,IF(R457+S457+Q457=12,0,IF(T456&gt;$K$28,12-DATEDIF($K$28,T456+1,"m"),IF(T456&lt;$K$27,0,DATEDIF($K$27,T456+1,"m")))))</f>
        <v>0</v>
      </c>
      <c r="U457" s="421">
        <f>IF(IF(S457+T457+R457+Q457=12,0,IF(U456&gt;$K$28,12-DATEDIF($K$28,U456+1,"m"),IF(U456&lt;$K$27,0,DATEDIF($K$27,U456+1,"m"))))&lt;0,0,IF(S457+T457+R457+Q457=12,0,IF(U456&gt;$K$28,12-DATEDIF($K$28,U456+1,"m"),IF(U456&lt;$K$27,0,DATEDIF($K$27,U456+1,"m")))))</f>
        <v>0</v>
      </c>
      <c r="V457" s="421">
        <f>IF(IF(T457+U457+S457+R457+Q457=12,0,IF(V456&gt;$K$28,12-DATEDIF($K$28,V456+1,"m"),IF(V456&lt;$K$27,0,DATEDIF($K$27,V456+1,"m"))))&lt;0,0,IF(T457+U457+S457+R457+Q457=12,0,IF(V456&gt;$K$28,12-DATEDIF($K$28,V456+1,"m"),IF(V456&lt;$K$27,0,DATEDIF($K$27,V456+1,"m")))))</f>
        <v>0</v>
      </c>
      <c r="W457" s="421">
        <f>IF(IF(U457+V457+T457+S457+R457+Q457=12,0,IF(W456&gt;$K$28,12-DATEDIF($K$28,W456+1,"m"),IF(W456&lt;$K$27,0,DATEDIF($K$27,W456+1,"m"))))&lt;0,0,IF(U457+V457+T457+S457+R457+Q457=12,0,IF(W456&gt;$K$28,12-DATEDIF($K$28,W456+1,"m"),IF(W456&lt;$K$27,0,DATEDIF($K$27,W456+1,"m")))))</f>
        <v>0</v>
      </c>
      <c r="X457" s="421">
        <f>IF(IF(V457+W457+U457+T457+S457+R457+Q457=12,0,IF(X456&gt;$K$28,12-DATEDIF($K$28,X456+1,"m"),IF(X456&lt;$K$27,0,DATEDIF($K$27,X456+1,"m"))))&lt;0,0,IF(V457+W457+U457+T457+S457+R457+Q457=12,0,IF(X456&gt;$K$28,12-DATEDIF($K$28,X456+1,"m"),IF(X456&lt;$K$27,0,DATEDIF($K$27,X456+1,"m")))))</f>
        <v>0</v>
      </c>
      <c r="Y457" s="421">
        <f>IF(IF(W457+X457+V457+U457+T457+S457+R457+Q457=12,0,IF(Y456&gt;$K$28,12-DATEDIF($K$28,Y456+1,"m"),IF(Y456&lt;$K$27,0,DATEDIF($K$27,Y456+1,"m"))))&lt;0,0,IF(W457+X457+V457+U457+T457+S457+R457+Q457=12,0,IF(Y456&gt;$K$28,12-DATEDIF($K$28,Y456+1,"m"),IF(Y456&lt;$K$27,0,DATEDIF($K$27,Y456+1,"m")))))</f>
        <v>0</v>
      </c>
      <c r="Z457" s="421">
        <f>IF(IF(X457+Y457+W457+V457+U457+T457+S457+R457+Q457=12,0,IF(Z456&gt;$K$28,12-DATEDIF($K$28,Z456+1,"m"),IF(Z456&lt;$K$27,0,DATEDIF($K$27,Z456+1,"m"))))&lt;0,0,IF(X457+Y457+W457+V457+U457+T457+S457+R457+Q457=12,0,IF(Z456&gt;$K$28,12-DATEDIF($K$28,Z456+1,"m"),IF(Z456&lt;$K$27,0,DATEDIF($K$27,Z456+1,"m")))))</f>
        <v>0</v>
      </c>
      <c r="AA457" s="421">
        <f>IF(IF(Q457+R457+S457+Y457+Z457+X457+W457+V457+U457+T457=12,0,IF(AA456&gt;$K$28,12-DATEDIF($K$28,AA456+1,"m"),IF(AA456&lt;$K$27,0,DATEDIF($K$27,AA456+1,"m"))))&lt;0,0,IF(Q457+R457+S457+Y457+Z457+X457+W457+V457+U457+T457=12,0,IF(AA456&gt;$K$28,12-DATEDIF($K$28,AA456+1,"m"),IF(AA456&lt;$K$27,0,DATEDIF($K$27,AA456+1,"m")))))</f>
        <v>0</v>
      </c>
      <c r="AB457" s="421">
        <f>IF(IF(Q457+R457+S457+T457+Z457+AA457+Y457+X457+W457+V457+U457=12,0,IF(AB456&gt;$K$28,12-DATEDIF($K$28,AB456+1,"m"),IF(AB456&lt;$K$27,0,DATEDIF($K$27,AB456+1,"m"))))&lt;0,0,IF(Q457+R457+S457+T457+Z457+AA457+Y457+X457+W457+V457+U457=12,0,IF(AB456&gt;$K$28,12-DATEDIF($K$28,AB456+1,"m"),IF(AB456&lt;$K$27,0,DATEDIF($K$27,AB456+1,"m")))))</f>
        <v>0</v>
      </c>
      <c r="AC457" s="421">
        <f>IF(IF(Q457+R457+S457+T457+U457+AA457+AB457+Z457+Y457+X457+W457+V457=12,0,IF(AC456&gt;$K$28,12-DATEDIF($K$28,AC456+1,"m"),IF(AC456&lt;$K$27,0,DATEDIF($K$27,AC456+1,"m"))))&lt;0,0,IF(Q457+R457+S457+T457+U457+AA457+AB457+Z457+Y457+X457+W457+V457=12,0,IF(AC456&gt;$K$28,12-DATEDIF($K$28,AC456+1,"m"),IF(AC456&lt;$K$27,0,DATEDIF($K$27,AC456+1,"m")))))</f>
        <v>0</v>
      </c>
      <c r="AD457" s="421">
        <f>IF(IF(Q457+R457+S457+T457+U457+V457+AB457+AC457+AA457+Z457+Y457+X457+W457=12,0,IF(AD456&gt;$K$28,12-DATEDIF($K$28,AD456+1,"m"),IF(AD456&lt;$K$27,0,DATEDIF($K$27,AD456+1,"m"))))&lt;0,0,IF(Q457+R457+S457+T457+U457+V457+AB457+AC457+AA457+Z457+Y457+X457+W457=12,0,IF(AD456&gt;$K$28,12-DATEDIF($K$28,AD456+1,"m"),IF(AD456&lt;$K$27,0,DATEDIF($K$27,AD456+1,"m")))))</f>
        <v>0</v>
      </c>
      <c r="AE457" s="421">
        <f>IF(IF(Q457+R457+S457+T457+U457+V457+W457+AC457+AD457+AB457+AA457+Z457+Y457+X457=12,0,IF(AE456&gt;$K$28,12-DATEDIF($K$28,AE456+1,"m"),IF(AE456&lt;$K$27,0,DATEDIF($K$27,AE456+1,"m"))))&lt;0,0,IF(Q457+R457+S457+T457+U457+V457+W457+AC457+AD457+AB457+AA457+Z457+Y457+X457=12,0,IF(AE456&gt;$K$28,12-DATEDIF($K$28,AE456+1,"m"),IF(AE456&lt;$K$27,0,DATEDIF($K$27,AE456+1,"m")))))</f>
        <v>0</v>
      </c>
      <c r="AF457" s="421">
        <f>IF(IF(Q457+R457+S457+T457+U457+V457+W457+X457+AD457+AE457+AC457+AB457+AA457+Z457+Y457=12,0,IF(AF456&gt;$K$28,12-DATEDIF($K$28,AF456+1,"m"),IF(AF456&lt;$K$27,0,DATEDIF($K$27,AF456+1,"m"))))&lt;0,0,IF(Q457+R457+S457+T457+U457+V457+W457+X457+AD457+AE457+AC457+AB457+AA457+Z457+Y457=12,0,IF(AF456&gt;$K$28,12-DATEDIF($K$28,AF456+1,"m"),IF(AF456&lt;$K$27,0,DATEDIF($K$27,AF456+1,"m")))))</f>
        <v>0</v>
      </c>
      <c r="AG457" s="421">
        <f>IF(IF(Q457+R457+S457+T457+U457+V457+W457+X457+Y457+AE457+AF457+AD457+AC457+AB457+AA457+Z457=12,0,IF(AG456&gt;$K$28,12-DATEDIF($K$28,AG456+1,"m"),IF(AG456&lt;$K$27,0,DATEDIF($K$27,AG456+1,"m"))))&lt;0,0,IF(Q457+R457+S457+T457+U457+V457+W457+X457+Y457+AE457+AF457+AD457+AC457+AB457+AA457+Z457=12,0,IF(AG456&gt;$K$28,12-DATEDIF($K$28,AG456+1,"m"),IF(AG456&lt;$K$27,0,DATEDIF($K$27,AG456+1,"m")))))</f>
        <v>0</v>
      </c>
      <c r="AH457" s="423">
        <f>SUM(Q457:AG457)</f>
        <v>0</v>
      </c>
      <c r="AI457" s="428">
        <f t="shared" si="212"/>
        <v>0</v>
      </c>
      <c r="AJ457" s="428">
        <f t="shared" si="212"/>
        <v>0</v>
      </c>
      <c r="AK457" s="428">
        <f t="shared" si="212"/>
        <v>0</v>
      </c>
      <c r="AL457" s="428">
        <f t="shared" si="212"/>
        <v>0</v>
      </c>
      <c r="AM457" s="428">
        <f t="shared" si="212"/>
        <v>0</v>
      </c>
      <c r="AN457" s="428">
        <f t="shared" si="212"/>
        <v>0</v>
      </c>
      <c r="AO457" s="428">
        <f t="shared" si="212"/>
        <v>0</v>
      </c>
      <c r="AP457" s="428">
        <f t="shared" si="212"/>
        <v>0</v>
      </c>
      <c r="AQ457" s="428">
        <f t="shared" si="212"/>
        <v>0</v>
      </c>
      <c r="AR457" s="428">
        <f t="shared" si="212"/>
        <v>0</v>
      </c>
      <c r="AS457" s="428">
        <f t="shared" si="213"/>
        <v>0</v>
      </c>
      <c r="AT457" s="428">
        <f t="shared" si="213"/>
        <v>0</v>
      </c>
      <c r="AU457" s="428">
        <f t="shared" si="213"/>
        <v>0</v>
      </c>
      <c r="AV457" s="428">
        <f t="shared" si="213"/>
        <v>0</v>
      </c>
      <c r="AW457" s="428">
        <f t="shared" si="213"/>
        <v>0</v>
      </c>
      <c r="AX457" s="428">
        <f t="shared" si="213"/>
        <v>0</v>
      </c>
      <c r="AY457" s="428">
        <f t="shared" si="213"/>
        <v>0</v>
      </c>
      <c r="AZ457" s="428">
        <f>SUM(AI457:AY457)</f>
        <v>0</v>
      </c>
    </row>
    <row r="458" spans="15:52" hidden="1">
      <c r="Q458" s="421">
        <f>IF(Q457=0,0,(IF(($B$152+$C$152+$D$152+$E$152+$F$152+$G$152+$H$152+$I$152+$J$152+$K$152)&lt;=25000,(($K$152/+$AH457)*Q457)*VLOOKUP('1. SUMMARY'!$C$20,rate,Sheet1!T$21,0),((IF(($F$152+$B$152+$C$152+$D$152+$E$152+$G$152+$H$152+$I$152+$J$152)&gt;=25000,0,(((25000-($B$152+$C$152+$D$152+$E$152+$F$152+$G$152+$H$152+$I$152+$J$152))/+$AH457)*Q457)*(VLOOKUP('1. SUMMARY'!$C$20,rate,Sheet1!T$21,0))))))))</f>
        <v>0</v>
      </c>
      <c r="R458" s="421">
        <f>IF(R457=0,0,(IF(($B$152+$C$152+$D$152+$E$152+$F$152+$G$152+$H$152+$I$152+$J$152+$K$152)&lt;=25000,(($K$152/+$AH457)*R457)*VLOOKUP('1. SUMMARY'!$C$20,rate,Sheet1!U$21,0),((IF(($F$152+$B$152+$C$152+$D$152+$E$152+$G$152+$H$152+$I$152+$J$152)&gt;=25000,0,(((25000-($B$152+$C$152+$D$152+$E$152+$F$152+$G$152+$H$152+$I$152+$J$152))/+$AH457)*R457)*(VLOOKUP('1. SUMMARY'!$C$20,rate,Sheet1!U$21,0))))))))</f>
        <v>0</v>
      </c>
      <c r="S458" s="421">
        <f>IF(S457=0,0,(IF(($B$152+$C$152+$D$152+$E$152+$F$152+$G$152+$H$152+$I$152+$J$152+$K$152)&lt;=25000,(($K$152/+$AH457)*S457)*VLOOKUP('1. SUMMARY'!$C$20,rate,Sheet1!V$21,0),((IF(($F$152+$B$152+$C$152+$D$152+$E$152+$G$152+$H$152+$I$152+$J$152)&gt;=25000,0,(((25000-($B$152+$C$152+$D$152+$E$152+$F$152+$G$152+$H$152+$I$152+$J$152))/+$AH457)*S457)*(VLOOKUP('1. SUMMARY'!$C$20,rate,Sheet1!V$21,0))))))))</f>
        <v>0</v>
      </c>
      <c r="T458" s="421">
        <f>IF(T457=0,0,(IF(($B$152+$C$152+$D$152+$E$152+$F$152+$G$152+$H$152+$I$152+$J$152+$K$152)&lt;=25000,(($K$152/+$AH457)*T457)*VLOOKUP('1. SUMMARY'!$C$20,rate,Sheet1!W$21,0),((IF(($F$152+$B$152+$C$152+$D$152+$E$152+$G$152+$H$152+$I$152+$J$152)&gt;=25000,0,(((25000-($B$152+$C$152+$D$152+$E$152+$F$152+$G$152+$H$152+$I$152+$J$152))/+$AH457)*T457)*(VLOOKUP('1. SUMMARY'!$C$20,rate,Sheet1!W$21,0))))))))</f>
        <v>0</v>
      </c>
      <c r="U458" s="421">
        <f>IF(U457=0,0,(IF(($B$152+$C$152+$D$152+$E$152+$F$152+$G$152+$H$152+$I$152+$J$152+$K$152)&lt;=25000,(($K$152/+$AH457)*U457)*VLOOKUP('1. SUMMARY'!$C$20,rate,Sheet1!X$21,0),((IF(($F$152+$B$152+$C$152+$D$152+$E$152+$G$152+$H$152+$I$152+$J$152)&gt;=25000,0,(((25000-($B$152+$C$152+$D$152+$E$152+$F$152+$G$152+$H$152+$I$152+$J$152))/+$AH457)*U457)*(VLOOKUP('1. SUMMARY'!$C$20,rate,Sheet1!X$21,0))))))))</f>
        <v>0</v>
      </c>
      <c r="V458" s="421">
        <f>IF(V457=0,0,(IF(($B$152+$C$152+$D$152+$E$152+$F$152+$G$152+$H$152+$I$152+$J$152+$K$152)&lt;=25000,(($K$152/+$AH457)*V457)*VLOOKUP('1. SUMMARY'!$C$20,rate,Sheet1!Y$21,0),((IF(($F$152+$B$152+$C$152+$D$152+$E$152+$G$152+$H$152+$I$152+$J$152)&gt;=25000,0,(((25000-($B$152+$C$152+$D$152+$E$152+$F$152+$G$152+$H$152+$I$152+$J$152))/+$AH457)*V457)*(VLOOKUP('1. SUMMARY'!$C$20,rate,Sheet1!Y$21,0))))))))</f>
        <v>0</v>
      </c>
      <c r="W458" s="421">
        <f>IF(W457=0,0,(IF(($B$152+$C$152+$D$152+$E$152+$F$152+$G$152+$H$152+$I$152+$J$152+$K$152)&lt;=25000,(($K$152/+$AH457)*W457)*VLOOKUP('1. SUMMARY'!$C$20,rate,Sheet1!Z$21,0),((IF(($F$152+$B$152+$C$152+$D$152+$E$152+$G$152+$H$152+$I$152+$J$152)&gt;=25000,0,(((25000-($B$152+$C$152+$D$152+$E$152+$F$152+$G$152+$H$152+$I$152+$J$152))/+$AH457)*W457)*(VLOOKUP('1. SUMMARY'!$C$20,rate,Sheet1!Z$21,0))))))))</f>
        <v>0</v>
      </c>
      <c r="X458" s="421">
        <f>IF(X457=0,0,(IF(($B$152+$C$152+$D$152+$E$152+$F$152+$G$152+$H$152+$I$152+$J$152+$K$152)&lt;=25000,(($K$152/+$AH457)*X457)*VLOOKUP('1. SUMMARY'!$C$20,rate,Sheet1!AA$21,0),((IF(($F$152+$B$152+$C$152+$D$152+$E$152+$G$152+$H$152+$I$152+$J$152)&gt;=25000,0,(((25000-($B$152+$C$152+$D$152+$E$152+$F$152+$G$152+$H$152+$I$152+$J$152))/+$AH457)*X457)*(VLOOKUP('1. SUMMARY'!$C$20,rate,Sheet1!AA$21,0))))))))</f>
        <v>0</v>
      </c>
      <c r="Y458" s="421">
        <f>IF(Y457=0,0,(IF(($B$152+$C$152+$D$152+$E$152+$F$152+$G$152+$H$152+$I$152+$J$152+$K$152)&lt;=25000,(($K$152/+$AH457)*Y457)*VLOOKUP('1. SUMMARY'!$C$20,rate,Sheet1!AB$21,0),((IF(($F$152+$B$152+$C$152+$D$152+$E$152+$G$152+$H$152+$I$152+$J$152)&gt;=25000,0,(((25000-($B$152+$C$152+$D$152+$E$152+$F$152+$G$152+$H$152+$I$152+$J$152))/+$AH457)*Y457)*(VLOOKUP('1. SUMMARY'!$C$20,rate,Sheet1!AB$21,0))))))))</f>
        <v>0</v>
      </c>
      <c r="Z458" s="421">
        <f>IF(Z457=0,0,(IF(($B$152+$C$152+$D$152+$E$152+$F$152+$G$152+$H$152+$I$152+$J$152+$K$152)&lt;=25000,(($K$152/+$AH457)*Z457)*VLOOKUP('1. SUMMARY'!$C$20,rate,Sheet1!AC$21,0),((IF(($F$152+$B$152+$C$152+$D$152+$E$152+$G$152+$H$152+$I$152+$J$152)&gt;=25000,0,(((25000-($B$152+$C$152+$D$152+$E$152+$F$152+$G$152+$H$152+$I$152+$J$152))/+$AH457)*Z457)*(VLOOKUP('1. SUMMARY'!$C$20,rate,Sheet1!AC$21,0))))))))</f>
        <v>0</v>
      </c>
      <c r="AA458" s="421">
        <f>IF(AA457=0,0,(IF(($B$152+$C$152+$D$152+$E$152+$F$152+$G$152+$H$152+$I$152+$J$152+$K$152)&lt;=25000,(($K$152/+$AH457)*AA457)*VLOOKUP('1. SUMMARY'!$C$20,rate,Sheet1!AD$21,0),((IF(($F$152+$B$152+$C$152+$D$152+$E$152+$G$152+$H$152+$I$152+$J$152)&gt;=25000,0,(((25000-($B$152+$C$152+$D$152+$E$152+$F$152+$G$152+$H$152+$I$152+$J$152))/+$AH457)*AA457)*(VLOOKUP('1. SUMMARY'!$C$20,rate,Sheet1!AD$21,0))))))))</f>
        <v>0</v>
      </c>
      <c r="AB458" s="421">
        <f>IF(AB457=0,0,(IF(($B$152+$C$152+$D$152+$E$152+$F$152+$G$152+$H$152+$I$152+$J$152+$K$152)&lt;=25000,(($K$152/+$AH457)*AB457)*VLOOKUP('1. SUMMARY'!$C$20,rate,Sheet1!AE$21,0),((IF(($F$152+$B$152+$C$152+$D$152+$E$152+$G$152+$H$152+$I$152+$J$152)&gt;=25000,0,(((25000-($B$152+$C$152+$D$152+$E$152+$F$152+$G$152+$H$152+$I$152+$J$152))/+$AH457)*AB457)*(VLOOKUP('1. SUMMARY'!$C$20,rate,Sheet1!AE$21,0))))))))</f>
        <v>0</v>
      </c>
      <c r="AC458" s="421">
        <f>IF(AC457=0,0,(IF(($B$152+$C$152+$D$152+$E$152+$F$152+$G$152+$H$152+$I$152+$J$152+$K$152)&lt;=25000,(($K$152/+$AH457)*AC457)*VLOOKUP('1. SUMMARY'!$C$20,rate,Sheet1!AF$21,0),((IF(($F$152+$B$152+$C$152+$D$152+$E$152+$G$152+$H$152+$I$152+$J$152)&gt;=25000,0,(((25000-($B$152+$C$152+$D$152+$E$152+$F$152+$G$152+$H$152+$I$152+$J$152))/+$AH457)*AC457)*(VLOOKUP('1. SUMMARY'!$C$20,rate,Sheet1!AF$21,0))))))))</f>
        <v>0</v>
      </c>
      <c r="AD458" s="421">
        <f>IF(AD457=0,0,(IF(($B$152+$C$152+$D$152+$E$152+$F$152+$G$152+$H$152+$I$152+$J$152+$K$152)&lt;=25000,(($K$152/+$AH457)*AD457)*VLOOKUP('1. SUMMARY'!$C$20,rate,Sheet1!AG$21,0),((IF(($F$152+$B$152+$C$152+$D$152+$E$152+$G$152+$H$152+$I$152+$J$152)&gt;=25000,0,(((25000-($B$152+$C$152+$D$152+$E$152+$F$152+$G$152+$H$152+$I$152+$J$152))/+$AH457)*AD457)*(VLOOKUP('1. SUMMARY'!$C$20,rate,Sheet1!AG$21,0))))))))</f>
        <v>0</v>
      </c>
      <c r="AE458" s="421">
        <f>IF(AE457=0,0,(IF(($B$152+$C$152+$D$152+$E$152+$F$152+$G$152+$H$152+$I$152+$J$152+$K$152)&lt;=25000,(($K$152/+$AH457)*AE457)*VLOOKUP('1. SUMMARY'!$C$20,rate,Sheet1!AH$21,0),((IF(($F$152+$B$152+$C$152+$D$152+$E$152+$G$152+$H$152+$I$152+$J$152)&gt;=25000,0,(((25000-($B$152+$C$152+$D$152+$E$152+$F$152+$G$152+$H$152+$I$152+$J$152))/+$AH457)*AE457)*(VLOOKUP('1. SUMMARY'!$C$20,rate,Sheet1!AH$21,0))))))))</f>
        <v>0</v>
      </c>
      <c r="AF458" s="421">
        <f>IF(AF457=0,0,(IF(($B$152+$C$152+$D$152+$E$152+$F$152+$G$152+$H$152+$I$152+$J$152+$K$152)&lt;=25000,(($K$152/+$AH457)*AF457)*VLOOKUP('1. SUMMARY'!$C$20,rate,Sheet1!AI$21,0),((IF(($F$152+$B$152+$C$152+$D$152+$E$152+$G$152+$H$152+$I$152+$J$152)&gt;=25000,0,(((25000-($B$152+$C$152+$D$152+$E$152+$F$152+$G$152+$H$152+$I$152+$J$152))/+$AH457)*AF457)*(VLOOKUP('1. SUMMARY'!$C$20,rate,Sheet1!AI$21,0))))))))</f>
        <v>0</v>
      </c>
      <c r="AG458" s="421">
        <f>IF(AG457=0,0,(IF(($B$152+$C$152+$D$152+$E$152+$F$152+$G$152+$H$152+$I$152+$J$152+$K$152)&lt;=25000,(($K$152/+$AH457)*AG457)*VLOOKUP('1. SUMMARY'!$C$20,rate,Sheet1!AJ$21,0),((IF(($F$152+$B$152+$C$152+$D$152+$E$152+$G$152+$H$152+$I$152+$J$152)&gt;=25000,0,(((25000-($B$152+$C$152+$D$152+$E$152+$F$152+$G$152+$H$152+$I$152+$J$152))/+$AH457)*AG457)*(VLOOKUP('1. SUMMARY'!$C$20,rate,Sheet1!AJ$21,0))))))))</f>
        <v>0</v>
      </c>
      <c r="AH458" s="219">
        <f>SUM(Q458:AG458)</f>
        <v>0</v>
      </c>
      <c r="AI458" s="421">
        <f>IF(AI457=0,0,((+$K152/$AZ457)*AI457)*VLOOKUP('1. SUMMARY'!$C$20,rate,Sheet1!T$21,0))</f>
        <v>0</v>
      </c>
      <c r="AJ458" s="421">
        <f>IF(AJ457=0,0,((+$K152/$AZ457)*AJ457)*VLOOKUP('1. SUMMARY'!$C$20,rate,Sheet1!U$21,0))</f>
        <v>0</v>
      </c>
      <c r="AK458" s="421">
        <f>IF(AK457=0,0,((+$K152/$AZ457)*AK457)*VLOOKUP('1. SUMMARY'!$C$20,rate,Sheet1!V$21,0))</f>
        <v>0</v>
      </c>
      <c r="AL458" s="421">
        <f>IF(AL457=0,0,((+$K152/$AZ457)*AL457)*VLOOKUP('1. SUMMARY'!$C$20,rate,Sheet1!W$21,0))</f>
        <v>0</v>
      </c>
      <c r="AM458" s="421">
        <f>IF(AM457=0,0,((+$K152/$AZ457)*AM457)*VLOOKUP('1. SUMMARY'!$C$20,rate,Sheet1!X$21,0))</f>
        <v>0</v>
      </c>
      <c r="AN458" s="421">
        <f>IF(AN457=0,0,((+$K152/$AZ457)*AN457)*VLOOKUP('1. SUMMARY'!$C$20,rate,Sheet1!Y$21,0))</f>
        <v>0</v>
      </c>
      <c r="AO458" s="421">
        <f>IF(AO457=0,0,((+$K152/$AZ457)*AO457)*VLOOKUP('1. SUMMARY'!$C$20,rate,Sheet1!Z$21,0))</f>
        <v>0</v>
      </c>
      <c r="AP458" s="421">
        <f>IF(AP457=0,0,((+$K152/$AZ457)*AP457)*VLOOKUP('1. SUMMARY'!$C$20,rate,Sheet1!AA$21,0))</f>
        <v>0</v>
      </c>
      <c r="AQ458" s="421">
        <f>IF(AQ457=0,0,((+$K152/$AZ457)*AQ457)*VLOOKUP('1. SUMMARY'!$C$20,rate,Sheet1!AB$21,0))</f>
        <v>0</v>
      </c>
      <c r="AR458" s="421">
        <f>IF(AR457=0,0,((+$K152/$AZ457)*AR457)*VLOOKUP('1. SUMMARY'!$C$20,rate,Sheet1!AC$21,0))</f>
        <v>0</v>
      </c>
      <c r="AS458" s="421">
        <f>IF(AS457=0,0,((+$K152/$AZ457)*AS457)*VLOOKUP('1. SUMMARY'!$C$20,rate,Sheet1!AD$21,0))</f>
        <v>0</v>
      </c>
      <c r="AT458" s="421">
        <f>IF(AT457=0,0,((+$K152/$AZ457)*AT457)*VLOOKUP('1. SUMMARY'!$C$20,rate,Sheet1!AE$21,0))</f>
        <v>0</v>
      </c>
      <c r="AU458" s="421">
        <f>IF(AU457=0,0,((+$K152/$AZ457)*AU457)*VLOOKUP('1. SUMMARY'!$C$20,rate,Sheet1!AF$21,0))</f>
        <v>0</v>
      </c>
      <c r="AV458" s="421">
        <f>IF(AV457=0,0,((+$K152/$AZ457)*AV457)*VLOOKUP('1. SUMMARY'!$C$20,rate,Sheet1!AG$21,0))</f>
        <v>0</v>
      </c>
      <c r="AW458" s="421">
        <f>IF(AW457=0,0,((+$K152/$AZ457)*AW457)*VLOOKUP('1. SUMMARY'!$C$20,rate,Sheet1!AH$21,0))</f>
        <v>0</v>
      </c>
      <c r="AX458" s="421">
        <f>IF(AX457=0,0,((+$K152/$AZ457)*AX457)*VLOOKUP('1. SUMMARY'!$C$20,rate,Sheet1!AI$21,0))</f>
        <v>0</v>
      </c>
      <c r="AY458" s="421">
        <f>IF(AY457=0,0,((+$K152/$AZ457)*AY457)*VLOOKUP('1. SUMMARY'!$C$20,rate,Sheet1!AJ$21,0))</f>
        <v>0</v>
      </c>
      <c r="AZ458" s="421">
        <f>SUM(AI458:AY458)</f>
        <v>0</v>
      </c>
    </row>
    <row r="459" spans="15:52" hidden="1">
      <c r="Q459" s="421">
        <f>+Q458/VLOOKUP('1. SUMMARY'!$C$20,rate,Sheet1!T$21,0)</f>
        <v>0</v>
      </c>
      <c r="R459" s="421">
        <f>+R458/VLOOKUP('1. SUMMARY'!$C$20,rate,Sheet1!U$21,0)</f>
        <v>0</v>
      </c>
      <c r="S459" s="421">
        <f>+S458/VLOOKUP('1. SUMMARY'!$C$20,rate,Sheet1!V$21,0)</f>
        <v>0</v>
      </c>
      <c r="T459" s="421">
        <f>+T458/VLOOKUP('1. SUMMARY'!$C$20,rate,Sheet1!W$21,0)</f>
        <v>0</v>
      </c>
      <c r="U459" s="421">
        <f>+U458/VLOOKUP('1. SUMMARY'!$C$20,rate,Sheet1!X$21,0)</f>
        <v>0</v>
      </c>
      <c r="V459" s="421">
        <f>+V458/VLOOKUP('1. SUMMARY'!$C$20,rate,Sheet1!Y$21,0)</f>
        <v>0</v>
      </c>
      <c r="W459" s="421">
        <f>+W458/VLOOKUP('1. SUMMARY'!$C$20,rate,Sheet1!Z$21,0)</f>
        <v>0</v>
      </c>
      <c r="X459" s="421">
        <f>+X458/VLOOKUP('1. SUMMARY'!$C$20,rate,Sheet1!AA$21,0)</f>
        <v>0</v>
      </c>
      <c r="Y459" s="421">
        <f>+Y458/VLOOKUP('1. SUMMARY'!$C$20,rate,Sheet1!AB$21,0)</f>
        <v>0</v>
      </c>
      <c r="Z459" s="421">
        <f>+Z458/VLOOKUP('1. SUMMARY'!$C$20,rate,Sheet1!AC$21,0)</f>
        <v>0</v>
      </c>
      <c r="AA459" s="421">
        <f>+AA458/VLOOKUP('1. SUMMARY'!$C$20,rate,Sheet1!AD$21,0)</f>
        <v>0</v>
      </c>
      <c r="AB459" s="421">
        <f>+AB458/VLOOKUP('1. SUMMARY'!$C$20,rate,Sheet1!AE$21,0)</f>
        <v>0</v>
      </c>
      <c r="AC459" s="421">
        <f>+AC458/VLOOKUP('1. SUMMARY'!$C$20,rate,Sheet1!AF$21,0)</f>
        <v>0</v>
      </c>
      <c r="AD459" s="421">
        <f>+AD458/VLOOKUP('1. SUMMARY'!$C$20,rate,Sheet1!AG$21,0)</f>
        <v>0</v>
      </c>
      <c r="AE459" s="421">
        <f>+AE458/VLOOKUP('1. SUMMARY'!$C$20,rate,Sheet1!AH$21,0)</f>
        <v>0</v>
      </c>
      <c r="AF459" s="421">
        <f>+AF458/VLOOKUP('1. SUMMARY'!$C$20,rate,Sheet1!AI$21,0)</f>
        <v>0</v>
      </c>
      <c r="AG459" s="421">
        <f>+AG458/VLOOKUP('1. SUMMARY'!$C$20,rate,Sheet1!AJ$21,0)</f>
        <v>0</v>
      </c>
      <c r="AH459" s="219"/>
      <c r="AI459" s="421"/>
      <c r="AJ459" s="421"/>
      <c r="AK459" s="421"/>
      <c r="AL459" s="421"/>
      <c r="AM459" s="421"/>
      <c r="AN459" s="421"/>
      <c r="AO459" s="421"/>
      <c r="AP459" s="421"/>
      <c r="AQ459" s="421"/>
      <c r="AR459" s="421"/>
      <c r="AS459" s="421"/>
      <c r="AT459" s="421"/>
      <c r="AU459" s="421"/>
      <c r="AV459" s="421"/>
      <c r="AW459" s="421"/>
      <c r="AX459" s="421"/>
      <c r="AY459" s="421"/>
      <c r="AZ459" s="421"/>
    </row>
    <row r="460" spans="15:52" hidden="1">
      <c r="Q460" s="219"/>
      <c r="R460" s="219"/>
      <c r="S460" s="219"/>
      <c r="T460" s="219"/>
      <c r="U460" s="219"/>
      <c r="V460" s="219"/>
      <c r="W460" s="219"/>
      <c r="X460" s="219"/>
      <c r="Y460" s="219"/>
      <c r="Z460" s="219"/>
      <c r="AA460" s="219"/>
      <c r="AB460" s="219"/>
      <c r="AC460" s="219"/>
      <c r="AD460" s="219"/>
      <c r="AE460" s="219"/>
      <c r="AF460" s="219"/>
      <c r="AG460" s="219"/>
      <c r="AH460" s="219"/>
      <c r="AI460" s="429"/>
      <c r="AJ460" s="429"/>
      <c r="AK460" s="429"/>
      <c r="AL460" s="429"/>
      <c r="AM460" s="429"/>
      <c r="AN460" s="429"/>
      <c r="AO460" s="429"/>
      <c r="AP460" s="429"/>
      <c r="AQ460" s="429"/>
      <c r="AR460" s="429"/>
      <c r="AS460" s="429"/>
      <c r="AT460" s="429"/>
      <c r="AU460" s="429"/>
      <c r="AV460" s="429"/>
      <c r="AW460" s="429"/>
      <c r="AX460" s="429"/>
      <c r="AY460" s="429"/>
      <c r="AZ460" s="429"/>
    </row>
    <row r="461" spans="15:52" hidden="1">
      <c r="Q461" s="219"/>
      <c r="R461" s="219"/>
      <c r="S461" s="219"/>
      <c r="T461" s="219"/>
      <c r="U461" s="219"/>
      <c r="V461" s="219"/>
      <c r="W461" s="219"/>
      <c r="X461" s="219"/>
      <c r="Y461" s="219"/>
      <c r="Z461" s="219"/>
      <c r="AA461" s="219"/>
      <c r="AB461" s="219"/>
      <c r="AC461" s="219"/>
      <c r="AD461" s="219"/>
      <c r="AE461" s="219"/>
      <c r="AF461" s="219"/>
      <c r="AG461" s="219"/>
      <c r="AH461" s="219"/>
      <c r="AI461" s="429"/>
      <c r="AJ461" s="429"/>
      <c r="AK461" s="429"/>
      <c r="AL461" s="429"/>
      <c r="AM461" s="429"/>
      <c r="AN461" s="429"/>
      <c r="AO461" s="429"/>
      <c r="AP461" s="429"/>
      <c r="AQ461" s="429"/>
      <c r="AR461" s="429"/>
      <c r="AS461" s="429"/>
      <c r="AT461" s="429"/>
      <c r="AU461" s="429"/>
      <c r="AV461" s="429"/>
      <c r="AW461" s="429"/>
      <c r="AX461" s="429"/>
      <c r="AY461" s="429"/>
      <c r="AZ461" s="429"/>
    </row>
    <row r="462" spans="15:52" hidden="1">
      <c r="Q462" s="219"/>
      <c r="R462" s="219"/>
      <c r="S462" s="219"/>
      <c r="T462" s="219"/>
      <c r="U462" s="219"/>
      <c r="V462" s="219"/>
      <c r="W462" s="219"/>
      <c r="X462" s="219"/>
      <c r="Y462" s="219"/>
      <c r="Z462" s="219"/>
      <c r="AA462" s="219"/>
      <c r="AB462" s="219"/>
      <c r="AC462" s="219"/>
      <c r="AD462" s="219"/>
      <c r="AE462" s="219"/>
      <c r="AF462" s="219"/>
      <c r="AG462" s="219"/>
      <c r="AH462" s="219"/>
      <c r="AI462" s="429"/>
      <c r="AJ462" s="429"/>
      <c r="AK462" s="429"/>
      <c r="AL462" s="429"/>
      <c r="AM462" s="429"/>
      <c r="AN462" s="429"/>
      <c r="AO462" s="429"/>
      <c r="AP462" s="429"/>
      <c r="AQ462" s="429"/>
      <c r="AR462" s="429"/>
      <c r="AS462" s="429"/>
      <c r="AT462" s="429"/>
      <c r="AU462" s="429"/>
      <c r="AV462" s="429"/>
      <c r="AW462" s="429"/>
      <c r="AX462" s="429"/>
      <c r="AY462" s="429"/>
      <c r="AZ462" s="429"/>
    </row>
    <row r="463" spans="15:52" hidden="1">
      <c r="Q463" s="219"/>
      <c r="R463" s="219"/>
      <c r="S463" s="219"/>
      <c r="T463" s="219"/>
      <c r="U463" s="219"/>
      <c r="V463" s="219"/>
      <c r="W463" s="219"/>
      <c r="X463" s="219"/>
      <c r="Y463" s="219"/>
      <c r="Z463" s="219"/>
      <c r="AA463" s="219"/>
      <c r="AB463" s="219"/>
      <c r="AC463" s="219"/>
      <c r="AD463" s="219"/>
      <c r="AE463" s="219"/>
      <c r="AF463" s="219"/>
      <c r="AG463" s="219"/>
      <c r="AH463" s="219"/>
      <c r="AI463" s="429"/>
      <c r="AJ463" s="429"/>
      <c r="AK463" s="429"/>
      <c r="AL463" s="429"/>
      <c r="AM463" s="429"/>
      <c r="AN463" s="429"/>
      <c r="AO463" s="429"/>
      <c r="AP463" s="429"/>
      <c r="AQ463" s="429"/>
      <c r="AR463" s="429"/>
      <c r="AS463" s="429"/>
      <c r="AT463" s="429"/>
      <c r="AU463" s="429"/>
      <c r="AV463" s="429"/>
      <c r="AW463" s="429"/>
      <c r="AX463" s="429"/>
      <c r="AY463" s="429"/>
      <c r="AZ463" s="429"/>
    </row>
    <row r="464" spans="15:52" hidden="1">
      <c r="Q464" s="219"/>
      <c r="R464" s="219"/>
      <c r="S464" s="219"/>
      <c r="T464" s="219"/>
      <c r="U464" s="219"/>
      <c r="V464" s="219"/>
      <c r="W464" s="219"/>
      <c r="X464" s="219"/>
      <c r="Y464" s="219"/>
      <c r="Z464" s="219"/>
      <c r="AA464" s="219"/>
      <c r="AB464" s="219"/>
      <c r="AC464" s="219"/>
      <c r="AD464" s="219"/>
      <c r="AE464" s="219"/>
      <c r="AF464" s="219"/>
      <c r="AG464" s="219"/>
      <c r="AH464" s="219"/>
      <c r="AI464" s="429"/>
      <c r="AJ464" s="429"/>
      <c r="AK464" s="429"/>
      <c r="AL464" s="429"/>
      <c r="AM464" s="429"/>
      <c r="AN464" s="429"/>
      <c r="AO464" s="429"/>
      <c r="AP464" s="429"/>
      <c r="AQ464" s="429"/>
      <c r="AR464" s="429"/>
      <c r="AS464" s="429"/>
      <c r="AT464" s="429"/>
      <c r="AU464" s="429"/>
      <c r="AV464" s="429"/>
      <c r="AW464" s="429"/>
      <c r="AX464" s="429"/>
      <c r="AY464" s="429"/>
      <c r="AZ464" s="429"/>
    </row>
    <row r="465" spans="16:52" hidden="1">
      <c r="Q465" s="219"/>
      <c r="R465" s="219"/>
      <c r="S465" s="219"/>
      <c r="T465" s="219"/>
      <c r="U465" s="219"/>
      <c r="V465" s="219"/>
      <c r="W465" s="219"/>
      <c r="X465" s="219"/>
      <c r="Y465" s="219"/>
      <c r="Z465" s="219"/>
      <c r="AA465" s="219"/>
      <c r="AB465" s="219"/>
      <c r="AC465" s="219"/>
      <c r="AD465" s="219"/>
      <c r="AE465" s="219"/>
      <c r="AF465" s="219"/>
      <c r="AG465" s="219"/>
      <c r="AH465" s="219"/>
      <c r="AI465" s="429"/>
      <c r="AJ465" s="429"/>
      <c r="AK465" s="429"/>
      <c r="AL465" s="429"/>
      <c r="AM465" s="429"/>
      <c r="AN465" s="429"/>
      <c r="AO465" s="429"/>
      <c r="AP465" s="429"/>
      <c r="AQ465" s="429"/>
      <c r="AR465" s="429"/>
      <c r="AS465" s="429"/>
      <c r="AT465" s="429"/>
      <c r="AU465" s="429"/>
      <c r="AV465" s="429"/>
      <c r="AW465" s="429"/>
      <c r="AX465" s="429"/>
      <c r="AY465" s="429"/>
      <c r="AZ465" s="429"/>
    </row>
    <row r="466" spans="16:52" hidden="1">
      <c r="Q466" s="219"/>
      <c r="R466" s="219"/>
      <c r="S466" s="219"/>
      <c r="T466" s="219"/>
      <c r="U466" s="219"/>
      <c r="V466" s="219"/>
      <c r="W466" s="219"/>
      <c r="X466" s="219"/>
      <c r="Y466" s="219"/>
      <c r="Z466" s="219"/>
      <c r="AA466" s="219"/>
      <c r="AB466" s="219"/>
      <c r="AC466" s="219"/>
      <c r="AD466" s="219"/>
      <c r="AE466" s="219"/>
      <c r="AF466" s="219"/>
      <c r="AG466" s="219"/>
      <c r="AH466" s="219"/>
      <c r="AI466" s="429"/>
      <c r="AJ466" s="429"/>
      <c r="AK466" s="429"/>
      <c r="AL466" s="429"/>
      <c r="AM466" s="429"/>
      <c r="AN466" s="429"/>
      <c r="AO466" s="429"/>
      <c r="AP466" s="429"/>
      <c r="AQ466" s="429"/>
      <c r="AR466" s="429"/>
      <c r="AS466" s="429"/>
      <c r="AT466" s="429"/>
      <c r="AU466" s="429"/>
      <c r="AV466" s="429"/>
      <c r="AW466" s="429"/>
      <c r="AX466" s="429"/>
      <c r="AY466" s="429"/>
      <c r="AZ466" s="429"/>
    </row>
    <row r="467" spans="16:52" hidden="1">
      <c r="Q467" s="219"/>
      <c r="R467" s="219"/>
      <c r="S467" s="219"/>
      <c r="T467" s="219"/>
      <c r="U467" s="219"/>
      <c r="V467" s="219"/>
      <c r="W467" s="219"/>
      <c r="X467" s="219"/>
      <c r="Y467" s="219"/>
      <c r="Z467" s="219"/>
      <c r="AA467" s="219"/>
      <c r="AB467" s="219"/>
      <c r="AC467" s="219"/>
      <c r="AD467" s="219"/>
      <c r="AE467" s="219"/>
      <c r="AF467" s="219"/>
      <c r="AG467" s="219"/>
      <c r="AH467" s="219"/>
      <c r="AI467" s="429"/>
      <c r="AJ467" s="429"/>
      <c r="AK467" s="429"/>
      <c r="AL467" s="429"/>
      <c r="AM467" s="429"/>
      <c r="AN467" s="429"/>
      <c r="AO467" s="429"/>
      <c r="AP467" s="429"/>
      <c r="AQ467" s="429"/>
      <c r="AR467" s="429"/>
      <c r="AS467" s="429"/>
      <c r="AT467" s="429"/>
      <c r="AU467" s="429"/>
      <c r="AV467" s="429"/>
      <c r="AW467" s="429"/>
      <c r="AX467" s="429"/>
      <c r="AY467" s="429"/>
      <c r="AZ467" s="429"/>
    </row>
    <row r="468" spans="16:52" hidden="1">
      <c r="Q468" s="219"/>
      <c r="R468" s="219"/>
      <c r="S468" s="219"/>
      <c r="T468" s="219"/>
      <c r="U468" s="219"/>
      <c r="V468" s="219"/>
      <c r="W468" s="219"/>
      <c r="X468" s="219"/>
      <c r="Y468" s="219"/>
      <c r="Z468" s="219"/>
      <c r="AA468" s="219"/>
      <c r="AB468" s="219"/>
      <c r="AC468" s="219"/>
      <c r="AD468" s="219"/>
      <c r="AE468" s="219"/>
      <c r="AF468" s="219"/>
      <c r="AG468" s="219"/>
      <c r="AH468" s="219"/>
      <c r="AI468" s="429"/>
      <c r="AJ468" s="429"/>
      <c r="AK468" s="429"/>
      <c r="AL468" s="429"/>
      <c r="AM468" s="429"/>
      <c r="AN468" s="429"/>
      <c r="AO468" s="429"/>
      <c r="AP468" s="429"/>
      <c r="AQ468" s="429"/>
      <c r="AR468" s="429"/>
      <c r="AS468" s="429"/>
      <c r="AT468" s="429"/>
      <c r="AU468" s="429"/>
      <c r="AV468" s="429"/>
      <c r="AW468" s="429"/>
      <c r="AX468" s="429"/>
      <c r="AY468" s="429"/>
      <c r="AZ468" s="429"/>
    </row>
    <row r="469" spans="16:52" hidden="1">
      <c r="Q469" s="219"/>
      <c r="R469" s="219"/>
      <c r="S469" s="219"/>
      <c r="T469" s="219"/>
      <c r="U469" s="219"/>
      <c r="V469" s="219"/>
      <c r="W469" s="219"/>
      <c r="X469" s="219"/>
      <c r="Y469" s="219"/>
      <c r="Z469" s="219"/>
      <c r="AA469" s="219"/>
      <c r="AB469" s="219"/>
      <c r="AC469" s="219"/>
      <c r="AD469" s="219"/>
      <c r="AE469" s="219"/>
      <c r="AF469" s="219"/>
      <c r="AG469" s="219"/>
      <c r="AH469" s="219"/>
      <c r="AI469" s="429"/>
      <c r="AJ469" s="429"/>
      <c r="AK469" s="429"/>
      <c r="AL469" s="429"/>
      <c r="AM469" s="429"/>
      <c r="AN469" s="429"/>
      <c r="AO469" s="429"/>
      <c r="AP469" s="429"/>
      <c r="AQ469" s="429"/>
      <c r="AR469" s="429"/>
      <c r="AS469" s="429"/>
      <c r="AT469" s="429"/>
      <c r="AU469" s="429"/>
      <c r="AV469" s="429"/>
      <c r="AW469" s="429"/>
      <c r="AX469" s="429"/>
      <c r="AY469" s="429"/>
      <c r="AZ469" s="429"/>
    </row>
    <row r="470" spans="16:52" hidden="1">
      <c r="P470" s="207">
        <f>IF(Q620=39356,(+P444+1),P444)</f>
        <v>1</v>
      </c>
      <c r="Q470" s="396">
        <f>Sheet1!$T$8</f>
        <v>44105</v>
      </c>
      <c r="R470" s="396">
        <f>Sheet1!$U$8</f>
        <v>44470</v>
      </c>
      <c r="S470" s="396">
        <f>Sheet1!$V$8</f>
        <v>44835</v>
      </c>
      <c r="T470" s="396">
        <f>Sheet1!$W$8</f>
        <v>45200</v>
      </c>
      <c r="U470" s="396">
        <f>Sheet1!$X$8</f>
        <v>45566</v>
      </c>
      <c r="V470" s="396">
        <f>Sheet1!$Y$8</f>
        <v>45931</v>
      </c>
      <c r="W470" s="396">
        <f>Sheet1!$Z$8</f>
        <v>46296</v>
      </c>
      <c r="X470" s="396">
        <f>Sheet1!$AA$8</f>
        <v>46661</v>
      </c>
      <c r="Y470" s="396">
        <f>Sheet1!$AB$8</f>
        <v>47027</v>
      </c>
      <c r="Z470" s="396">
        <f>Sheet1!$AC$8</f>
        <v>47392</v>
      </c>
      <c r="AA470" s="396">
        <f>$AA$5</f>
        <v>47757</v>
      </c>
      <c r="AB470" s="396">
        <f>$AB$5</f>
        <v>48122</v>
      </c>
      <c r="AC470" s="396">
        <f>$AC$5</f>
        <v>48488</v>
      </c>
      <c r="AD470" s="396">
        <f>$AD$5</f>
        <v>48853</v>
      </c>
      <c r="AE470" s="396">
        <f>$AE$5</f>
        <v>49218</v>
      </c>
      <c r="AF470" s="396">
        <f>$AF$5</f>
        <v>49583</v>
      </c>
      <c r="AG470" s="396">
        <f>$AG$5</f>
        <v>49949</v>
      </c>
      <c r="AH470" s="211"/>
      <c r="AI470" s="396">
        <f t="shared" ref="AI470:AR472" si="214">+Q470</f>
        <v>44105</v>
      </c>
      <c r="AJ470" s="396">
        <f t="shared" si="214"/>
        <v>44470</v>
      </c>
      <c r="AK470" s="396">
        <f t="shared" si="214"/>
        <v>44835</v>
      </c>
      <c r="AL470" s="396">
        <f t="shared" si="214"/>
        <v>45200</v>
      </c>
      <c r="AM470" s="396">
        <f t="shared" si="214"/>
        <v>45566</v>
      </c>
      <c r="AN470" s="396">
        <f t="shared" si="214"/>
        <v>45931</v>
      </c>
      <c r="AO470" s="396">
        <f t="shared" si="214"/>
        <v>46296</v>
      </c>
      <c r="AP470" s="396">
        <f t="shared" si="214"/>
        <v>46661</v>
      </c>
      <c r="AQ470" s="396">
        <f t="shared" si="214"/>
        <v>47027</v>
      </c>
      <c r="AR470" s="396">
        <f t="shared" si="214"/>
        <v>47392</v>
      </c>
      <c r="AS470" s="396">
        <f t="shared" ref="AS470:AY472" si="215">+AA470</f>
        <v>47757</v>
      </c>
      <c r="AT470" s="396">
        <f t="shared" si="215"/>
        <v>48122</v>
      </c>
      <c r="AU470" s="396">
        <f t="shared" si="215"/>
        <v>48488</v>
      </c>
      <c r="AV470" s="396">
        <f t="shared" si="215"/>
        <v>48853</v>
      </c>
      <c r="AW470" s="396">
        <f t="shared" si="215"/>
        <v>49218</v>
      </c>
      <c r="AX470" s="396">
        <f t="shared" si="215"/>
        <v>49583</v>
      </c>
      <c r="AY470" s="396">
        <f t="shared" si="215"/>
        <v>49949</v>
      </c>
      <c r="AZ470" s="396"/>
    </row>
    <row r="471" spans="16:52" hidden="1">
      <c r="P471" s="207">
        <f t="shared" ref="P471:P493" si="216">IF(Q621=39356,(+P470+1),P470)</f>
        <v>1</v>
      </c>
      <c r="Q471" s="396">
        <f>Sheet1!$T$9</f>
        <v>44469</v>
      </c>
      <c r="R471" s="396">
        <f>Sheet1!$U$9</f>
        <v>44834</v>
      </c>
      <c r="S471" s="396">
        <f>Sheet1!$V$9</f>
        <v>45199</v>
      </c>
      <c r="T471" s="396">
        <f>Sheet1!$W$9</f>
        <v>45565</v>
      </c>
      <c r="U471" s="396">
        <f>Sheet1!$X$9</f>
        <v>45930</v>
      </c>
      <c r="V471" s="396">
        <f>Sheet1!$Y$9</f>
        <v>46295</v>
      </c>
      <c r="W471" s="396">
        <f>Sheet1!$Z$9</f>
        <v>46660</v>
      </c>
      <c r="X471" s="396">
        <f>Sheet1!$AA$9</f>
        <v>47026</v>
      </c>
      <c r="Y471" s="396">
        <f>Sheet1!$AB$9</f>
        <v>47391</v>
      </c>
      <c r="Z471" s="396">
        <f>Sheet1!$AC$9</f>
        <v>47756</v>
      </c>
      <c r="AA471" s="396">
        <f>$AA$6</f>
        <v>48121</v>
      </c>
      <c r="AB471" s="396">
        <f>$AB$6</f>
        <v>48487</v>
      </c>
      <c r="AC471" s="396">
        <f>$AC$6</f>
        <v>48852</v>
      </c>
      <c r="AD471" s="396">
        <f>$AD$6</f>
        <v>49217</v>
      </c>
      <c r="AE471" s="396">
        <f>$AE$6</f>
        <v>49582</v>
      </c>
      <c r="AF471" s="396">
        <f>$AF$6</f>
        <v>49948</v>
      </c>
      <c r="AG471" s="396">
        <f>$AG$6</f>
        <v>50313</v>
      </c>
      <c r="AH471" s="211"/>
      <c r="AI471" s="396">
        <f t="shared" si="214"/>
        <v>44469</v>
      </c>
      <c r="AJ471" s="396">
        <f t="shared" si="214"/>
        <v>44834</v>
      </c>
      <c r="AK471" s="396">
        <f t="shared" si="214"/>
        <v>45199</v>
      </c>
      <c r="AL471" s="396">
        <f t="shared" si="214"/>
        <v>45565</v>
      </c>
      <c r="AM471" s="396">
        <f t="shared" si="214"/>
        <v>45930</v>
      </c>
      <c r="AN471" s="396">
        <f t="shared" si="214"/>
        <v>46295</v>
      </c>
      <c r="AO471" s="396">
        <f t="shared" si="214"/>
        <v>46660</v>
      </c>
      <c r="AP471" s="396">
        <f t="shared" si="214"/>
        <v>47026</v>
      </c>
      <c r="AQ471" s="396">
        <f t="shared" si="214"/>
        <v>47391</v>
      </c>
      <c r="AR471" s="396">
        <f t="shared" si="214"/>
        <v>47756</v>
      </c>
      <c r="AS471" s="396">
        <f t="shared" si="215"/>
        <v>48121</v>
      </c>
      <c r="AT471" s="396">
        <f t="shared" si="215"/>
        <v>48487</v>
      </c>
      <c r="AU471" s="396">
        <f t="shared" si="215"/>
        <v>48852</v>
      </c>
      <c r="AV471" s="396">
        <f t="shared" si="215"/>
        <v>49217</v>
      </c>
      <c r="AW471" s="396">
        <f t="shared" si="215"/>
        <v>49582</v>
      </c>
      <c r="AX471" s="396">
        <f t="shared" si="215"/>
        <v>49948</v>
      </c>
      <c r="AY471" s="396">
        <f t="shared" si="215"/>
        <v>50313</v>
      </c>
      <c r="AZ471" s="396"/>
    </row>
    <row r="472" spans="16:52" hidden="1">
      <c r="P472" s="207">
        <f t="shared" si="216"/>
        <v>1</v>
      </c>
      <c r="Q472" s="397">
        <f>IF(IF(Q471&lt;$B$27,0,DATEDIF($B$27,Q471+1,"m"))&lt;0,0,IF(Q471&lt;$B$27,0,DATEDIF($B$27,Q471+1,"m")))</f>
        <v>1461</v>
      </c>
      <c r="R472" s="397">
        <f>IF(IF(Q472=12,0,IF(R471&gt;$B$28,12-DATEDIF($B$28,R471+1,"m"),IF(R471&lt;$B$27,0,DATEDIF($B$27,R471+1,"m"))))&lt;0,0,IF(Q472=12,0,IF(R471&gt;$B$28,12-DATEDIF($B$28,R471+1,"m"),IF(R471&lt;$B$27,0,DATEDIF($B$27,R471+1,"m")))))</f>
        <v>0</v>
      </c>
      <c r="S472" s="397">
        <f>IF(IF(Q472+R472=12,0,IF(S471&gt;$B$28,12-DATEDIF($B$28,S471+1,"m"),IF(S471&lt;$B$27,0,DATEDIF($B$27,S471+1,"m"))))&lt;0,0,IF(Q472+R472=12,0,IF(S471&gt;$B$28,12-DATEDIF($B$28,S471+1,"m"),IF(S471&lt;$B$27,0,DATEDIF($B$27,S471+1,"m")))))</f>
        <v>0</v>
      </c>
      <c r="T472" s="397">
        <f>IF(IF(R472+S472+Q472=12,0,IF(T471&gt;$B$28,12-DATEDIF($B$28,T471+1,"m"),IF(T471&lt;$B$27,0,DATEDIF($B$27,T471+1,"m"))))&lt;0,0,IF(R472+S472+Q472=12,0,IF(T471&gt;$B$28,12-DATEDIF($B$28,T471+1,"m"),IF(T471&lt;$B$27,0,DATEDIF($B$27,T471+1,"m")))))</f>
        <v>0</v>
      </c>
      <c r="U472" s="397">
        <f>IF(IF(S472+T472+R472+Q472=12,0,IF(U471&gt;$B$28,12-DATEDIF($B$28,U471+1,"m"),IF(U471&lt;$B$27,0,DATEDIF($B$27,U471+1,"m"))))&lt;0,0,IF(S472+T472+R472+Q472=12,0,IF(U471&gt;$B$28,12-DATEDIF($B$28,U471+1,"m"),IF(U471&lt;$B$27,0,DATEDIF($B$27,U471+1,"m")))))</f>
        <v>0</v>
      </c>
      <c r="V472" s="397">
        <f>IF(IF(T472+U472+S472+R472+Q472=12,0,IF(V471&gt;$B$28,12-DATEDIF($B$28,V471+1,"m"),IF(V471&lt;$B$27,0,DATEDIF($B$27,V471+1,"m"))))&lt;0,0,IF(T472+U472+S472+R472+Q472=12,0,IF(V471&gt;$B$28,12-DATEDIF($B$28,V471+1,"m"),IF(V471&lt;$B$27,0,DATEDIF($B$27,V471+1,"m")))))</f>
        <v>0</v>
      </c>
      <c r="W472" s="397">
        <f>IF(IF(U472+V472+T472+S472+R472+Q472=12,0,IF(W471&gt;$B$28,12-DATEDIF($B$28,W471+1,"m"),IF(W471&lt;$B$27,0,DATEDIF($B$27,W471+1,"m"))))&lt;0,0,IF(U472+V472+T472+S472+R472+Q472=12,0,IF(W471&gt;$B$28,12-DATEDIF($B$28,W471+1,"m"),IF(W471&lt;$B$27,0,DATEDIF($B$27,W471+1,"m")))))</f>
        <v>0</v>
      </c>
      <c r="X472" s="397">
        <f>IF(IF(V472+W472+U472+T472+S472+R472+Q472=12,0,IF(X471&gt;$B$28,12-DATEDIF($B$28,X471+1,"m"),IF(X471&lt;$B$27,0,DATEDIF($B$27,X471+1,"m"))))&lt;0,0,IF(V472+W472+U472+T472+S472+R472+Q472=12,0,IF(X471&gt;$B$28,12-DATEDIF($B$28,X471+1,"m"),IF(X471&lt;$B$27,0,DATEDIF($B$27,X471+1,"m")))))</f>
        <v>0</v>
      </c>
      <c r="Y472" s="397">
        <f>IF(IF(W472+X472+V472+U472+T472+S472+R472=12,0,IF(Y471&gt;$B$28,12-DATEDIF($B$28,Y471+1,"m"),IF(Y471&lt;$B$27,0,DATEDIF($B$27,Y471+1,"m"))))&lt;0,0,IF(W472+X472+V472+U472+T472+S472+R472=12,0,IF(Y471&gt;$B$28,12-DATEDIF($B$28,Y471+1,"m"),IF(Y471&lt;$B$27,0,DATEDIF($B$27,Y471+1,"m")))))</f>
        <v>0</v>
      </c>
      <c r="Z472" s="397">
        <f>IF(IF(X472+Y472+W472+V472+U472+T472+S472=12,0,IF(Z471&gt;$B$28,12-DATEDIF($B$28,Z471+1,"m"),IF(Z471&lt;$B$27,0,DATEDIF($B$27,Z471+1,"m"))))&lt;0,0,IF(X472+Y472+W472+V472+U472+T472+S472=12,0,IF(Z471&gt;$B$28,12-DATEDIF($B$28,Z471+1,"m"),IF(Z471&lt;$B$27,0,DATEDIF($B$27,Z471+1,"m")))))</f>
        <v>0</v>
      </c>
      <c r="AA472" s="397"/>
      <c r="AB472" s="397"/>
      <c r="AC472" s="397"/>
      <c r="AD472" s="397"/>
      <c r="AE472" s="397"/>
      <c r="AF472" s="397"/>
      <c r="AG472" s="397"/>
      <c r="AH472" s="423">
        <f>SUM(Q472:AG472)</f>
        <v>1461</v>
      </c>
      <c r="AI472" s="397">
        <f t="shared" si="214"/>
        <v>1461</v>
      </c>
      <c r="AJ472" s="397">
        <f t="shared" si="214"/>
        <v>0</v>
      </c>
      <c r="AK472" s="397">
        <f t="shared" si="214"/>
        <v>0</v>
      </c>
      <c r="AL472" s="397">
        <f t="shared" si="214"/>
        <v>0</v>
      </c>
      <c r="AM472" s="397">
        <f t="shared" si="214"/>
        <v>0</v>
      </c>
      <c r="AN472" s="397">
        <f t="shared" si="214"/>
        <v>0</v>
      </c>
      <c r="AO472" s="397">
        <f t="shared" si="214"/>
        <v>0</v>
      </c>
      <c r="AP472" s="397">
        <f t="shared" si="214"/>
        <v>0</v>
      </c>
      <c r="AQ472" s="397">
        <f t="shared" si="214"/>
        <v>0</v>
      </c>
      <c r="AR472" s="397">
        <f t="shared" si="214"/>
        <v>0</v>
      </c>
      <c r="AS472" s="397">
        <f t="shared" si="215"/>
        <v>0</v>
      </c>
      <c r="AT472" s="397">
        <f t="shared" si="215"/>
        <v>0</v>
      </c>
      <c r="AU472" s="397">
        <f t="shared" si="215"/>
        <v>0</v>
      </c>
      <c r="AV472" s="397">
        <f t="shared" si="215"/>
        <v>0</v>
      </c>
      <c r="AW472" s="397">
        <f t="shared" si="215"/>
        <v>0</v>
      </c>
      <c r="AX472" s="397">
        <f t="shared" si="215"/>
        <v>0</v>
      </c>
      <c r="AY472" s="397">
        <f t="shared" si="215"/>
        <v>0</v>
      </c>
      <c r="AZ472" s="397">
        <f>SUM(AI472:AY472)</f>
        <v>1461</v>
      </c>
    </row>
    <row r="473" spans="16:52" hidden="1">
      <c r="P473" s="207">
        <f t="shared" si="216"/>
        <v>1</v>
      </c>
      <c r="Q473" s="398">
        <f>IF(Q472=0,0,(IF($B$169&gt;25000,((25000/+$AH472)*Q472)*VLOOKUP('1. SUMMARY'!$C$20,rate,Sheet1!T$21,0),(($B$169/+$AH472)*Q472)*VLOOKUP('1. SUMMARY'!$C$20,rate,Sheet1!T$21,0))))</f>
        <v>0</v>
      </c>
      <c r="R473" s="398">
        <f>IF(R472=0,0,(IF($B$169&gt;25000,((25000/+$AH472)*R472)*VLOOKUP('1. SUMMARY'!$C$20,rate,Sheet1!U$21,0),(($B$169/+$AH472)*R472)*VLOOKUP('1. SUMMARY'!$C$20,rate,Sheet1!U$21,0))))</f>
        <v>0</v>
      </c>
      <c r="S473" s="398">
        <f>IF(S472=0,0,(IF($B$169&gt;25000,((25000/+$AH472)*S472)*VLOOKUP('1. SUMMARY'!$C$20,rate,Sheet1!V$21,0),(($B$169/+$AH472)*S472)*VLOOKUP('1. SUMMARY'!$C$20,rate,Sheet1!V$21,0))))</f>
        <v>0</v>
      </c>
      <c r="T473" s="398">
        <f>IF(T472=0,0,(IF($B$169&gt;25000,((25000/+$AH472)*T472)*VLOOKUP('1. SUMMARY'!$C$20,rate,Sheet1!W$21,0),(($B$169/+$AH472)*T472)*VLOOKUP('1. SUMMARY'!$C$20,rate,Sheet1!W$21,0))))</f>
        <v>0</v>
      </c>
      <c r="U473" s="398">
        <f>IF(U472=0,0,(IF($B$169&gt;25000,((25000/+$AH472)*U472)*VLOOKUP('1. SUMMARY'!$C$20,rate,Sheet1!X$21,0),(($B$169/+$AH472)*U472)*VLOOKUP('1. SUMMARY'!$C$20,rate,Sheet1!X$21,0))))</f>
        <v>0</v>
      </c>
      <c r="V473" s="398">
        <f>IF(V472=0,0,(IF($B$169&gt;25000,((25000/+$AH472)*V472)*VLOOKUP('1. SUMMARY'!$C$20,rate,Sheet1!Y$21,0),(($B$169/+$AH472)*V472)*VLOOKUP('1. SUMMARY'!$C$20,rate,Sheet1!Y$21,0))))</f>
        <v>0</v>
      </c>
      <c r="W473" s="398">
        <f>IF(W472=0,0,(IF($B$169&gt;25000,((25000/+$AH472)*W472)*VLOOKUP('1. SUMMARY'!$C$20,rate,Sheet1!Z$21,0),(($B$169/+$AH472)*W472)*VLOOKUP('1. SUMMARY'!$C$20,rate,Sheet1!Z$21,0))))</f>
        <v>0</v>
      </c>
      <c r="X473" s="398">
        <f>IF(X472=0,0,(IF($B$169&gt;25000,((25000/+$AH472)*X472)*VLOOKUP('1. SUMMARY'!$C$20,rate,Sheet1!AA$21,0),(($B$169/+$AH472)*X472)*VLOOKUP('1. SUMMARY'!$C$20,rate,Sheet1!AA$21,0))))</f>
        <v>0</v>
      </c>
      <c r="Y473" s="398">
        <f>IF(Y472=0,0,(IF($B$169&gt;25000,((25000/+$AH472)*Y472)*VLOOKUP('1. SUMMARY'!$C$20,rate,Sheet1!AB$21,0),(($B$169/+$AH472)*Y472)*VLOOKUP('1. SUMMARY'!$C$20,rate,Sheet1!AB$21,0))))</f>
        <v>0</v>
      </c>
      <c r="Z473" s="398">
        <f>IF(Z472=0,0,(IF($B$169&gt;25000,((25000/+$AH472)*Z472)*VLOOKUP('1. SUMMARY'!$C$20,rate,Sheet1!AC$21,0),(($B$169/+$AH472)*Z472)*VLOOKUP('1. SUMMARY'!$C$20,rate,Sheet1!AC$21,0))))</f>
        <v>0</v>
      </c>
      <c r="AA473" s="398">
        <f>IF(AA472=0,0,(IF($B$169&gt;25000,((25000/+$AH472)*AA472)*VLOOKUP('1. SUMMARY'!$C$20,rate,Sheet1!AD$21,0),(($B$169/+$AH472)*AA472)*VLOOKUP('1. SUMMARY'!$C$20,rate,Sheet1!AD$21,0))))</f>
        <v>0</v>
      </c>
      <c r="AB473" s="398">
        <f>IF(AB472=0,0,(IF($B$169&gt;25000,((25000/+$AH472)*AB472)*VLOOKUP('1. SUMMARY'!$C$20,rate,Sheet1!AE$21,0),(($B$169/+$AH472)*AB472)*VLOOKUP('1. SUMMARY'!$C$20,rate,Sheet1!AE$21,0))))</f>
        <v>0</v>
      </c>
      <c r="AC473" s="398">
        <f>IF(AC472=0,0,(IF($B$169&gt;25000,((25000/+$AH472)*AC472)*VLOOKUP('1. SUMMARY'!$C$20,rate,Sheet1!AF$21,0),(($B$169/+$AH472)*AC472)*VLOOKUP('1. SUMMARY'!$C$20,rate,Sheet1!AF$21,0))))</f>
        <v>0</v>
      </c>
      <c r="AD473" s="398">
        <f>IF(AD472=0,0,(IF($B$169&gt;25000,((25000/+$AH472)*AD472)*VLOOKUP('1. SUMMARY'!$C$20,rate,Sheet1!AG$21,0),(($B$169/+$AH472)*AD472)*VLOOKUP('1. SUMMARY'!$C$20,rate,Sheet1!AG$21,0))))</f>
        <v>0</v>
      </c>
      <c r="AE473" s="398">
        <f>IF(AE472=0,0,(IF($B$169&gt;25000,((25000/+$AH472)*AE472)*VLOOKUP('1. SUMMARY'!$C$20,rate,Sheet1!AH$21,0),(($B$169/+$AH472)*AE472)*VLOOKUP('1. SUMMARY'!$C$20,rate,Sheet1!AH$21,0))))</f>
        <v>0</v>
      </c>
      <c r="AF473" s="398">
        <f>IF(AF472=0,0,(IF($B$169&gt;25000,((25000/+$AH472)*AF472)*VLOOKUP('1. SUMMARY'!$C$20,rate,Sheet1!AI$21,0),(($B$169/+$AH472)*AF472)*VLOOKUP('1. SUMMARY'!$C$20,rate,Sheet1!AI$21,0))))</f>
        <v>0</v>
      </c>
      <c r="AG473" s="398">
        <f>IF(AG472=0,0,(IF($B$169&gt;25000,((25000/+$AH472)*AG472)*VLOOKUP('1. SUMMARY'!$C$20,rate,Sheet1!AJ$21,0),(($B$169/+$AH472)*AG472)*VLOOKUP('1. SUMMARY'!$C$20,rate,Sheet1!AJ$21,0))))</f>
        <v>0</v>
      </c>
      <c r="AH473" s="219">
        <f>SUM(Q473:AG473)</f>
        <v>0</v>
      </c>
      <c r="AI473" s="398">
        <f>IF(Q472=0,0,((+$B169/$AZ472)*AI472)*VLOOKUP('1. SUMMARY'!$C$20,rate,Sheet1!T$21,0))</f>
        <v>0</v>
      </c>
      <c r="AJ473" s="398">
        <f>IF(R472=0,0,((+$B169/$AZ472)*AJ472)*VLOOKUP('1. SUMMARY'!$C$20,rate,Sheet1!U$21,0))</f>
        <v>0</v>
      </c>
      <c r="AK473" s="398">
        <f>IF(S472=0,0,((+$B169/$AZ472)*AK472)*VLOOKUP('1. SUMMARY'!$C$20,rate,Sheet1!V$21,0))</f>
        <v>0</v>
      </c>
      <c r="AL473" s="398">
        <f>IF(T472=0,0,((+$B169/$AZ472)*AL472)*VLOOKUP('1. SUMMARY'!$C$20,rate,Sheet1!W$21,0))</f>
        <v>0</v>
      </c>
      <c r="AM473" s="398">
        <f>IF(U472=0,0,((+$B169/$AZ472)*AM472)*VLOOKUP('1. SUMMARY'!$C$20,rate,Sheet1!X$21,0))</f>
        <v>0</v>
      </c>
      <c r="AN473" s="398">
        <f>IF(V472=0,0,((+$B169/$AZ472)*AN472)*VLOOKUP('1. SUMMARY'!$C$20,rate,Sheet1!Y$21,0))</f>
        <v>0</v>
      </c>
      <c r="AO473" s="398">
        <f>IF(W472=0,0,((+$B169/$AZ472)*AO472)*VLOOKUP('1. SUMMARY'!$C$20,rate,Sheet1!Z$21,0))</f>
        <v>0</v>
      </c>
      <c r="AP473" s="398">
        <f>IF(X472=0,0,((+$B169/$AZ472)*AP472)*VLOOKUP('1. SUMMARY'!$C$20,rate,Sheet1!AA$21,0))</f>
        <v>0</v>
      </c>
      <c r="AQ473" s="398">
        <f>IF(Y472=0,0,((+$B169/$AZ472)*AQ472)*VLOOKUP('1. SUMMARY'!$C$20,rate,Sheet1!AB$21,0))</f>
        <v>0</v>
      </c>
      <c r="AR473" s="398">
        <f>IF(Z472=0,0,((+$B169/$AZ472)*AR472)*VLOOKUP('1. SUMMARY'!$C$20,rate,Sheet1!AC$21,0))</f>
        <v>0</v>
      </c>
      <c r="AS473" s="398">
        <f>IF(AA472=0,0,((+$B169/$AZ472)*AS472)*VLOOKUP('1. SUMMARY'!$C$20,rate,Sheet1!AD$21,0))</f>
        <v>0</v>
      </c>
      <c r="AT473" s="398">
        <f>IF(AB472=0,0,((+$B169/$AZ472)*AT472)*VLOOKUP('1. SUMMARY'!$C$20,rate,Sheet1!AE$21,0))</f>
        <v>0</v>
      </c>
      <c r="AU473" s="398">
        <f>IF(AC472=0,0,((+$B169/$AZ472)*AU472)*VLOOKUP('1. SUMMARY'!$C$20,rate,Sheet1!AF$21,0))</f>
        <v>0</v>
      </c>
      <c r="AV473" s="398">
        <f>IF(AD472=0,0,((+$B169/$AZ472)*AV472)*VLOOKUP('1. SUMMARY'!$C$20,rate,Sheet1!AG$21,0))</f>
        <v>0</v>
      </c>
      <c r="AW473" s="398">
        <f>IF(AE472=0,0,((+$B169/$AZ472)*AW472)*VLOOKUP('1. SUMMARY'!$C$20,rate,Sheet1!AH$21,0))</f>
        <v>0</v>
      </c>
      <c r="AX473" s="398">
        <f>IF(AF472=0,0,((+$B169/$AZ472)*AX472)*VLOOKUP('1. SUMMARY'!$C$20,rate,Sheet1!AI$21,0))</f>
        <v>0</v>
      </c>
      <c r="AY473" s="398">
        <f>IF(AG472=0,0,((+$B169/$AZ472)*AY472)*VLOOKUP('1. SUMMARY'!$C$20,rate,Sheet1!AJ$21,0))</f>
        <v>0</v>
      </c>
      <c r="AZ473" s="398">
        <f>SUM(AI473:AY473)</f>
        <v>0</v>
      </c>
    </row>
    <row r="474" spans="16:52" hidden="1">
      <c r="P474" s="207">
        <f t="shared" si="216"/>
        <v>1</v>
      </c>
      <c r="Q474" s="398">
        <f>+Q473/VLOOKUP('1. SUMMARY'!$C$20,rate,Sheet1!T$21,0)</f>
        <v>0</v>
      </c>
      <c r="R474" s="398">
        <f>+R473/VLOOKUP('1. SUMMARY'!$C$20,rate,Sheet1!U$21,0)</f>
        <v>0</v>
      </c>
      <c r="S474" s="398">
        <f>+S473/VLOOKUP('1. SUMMARY'!$C$20,rate,Sheet1!V$21,0)</f>
        <v>0</v>
      </c>
      <c r="T474" s="398">
        <f>+T473/VLOOKUP('1. SUMMARY'!$C$20,rate,Sheet1!W$21,0)</f>
        <v>0</v>
      </c>
      <c r="U474" s="398">
        <f>+U473/VLOOKUP('1. SUMMARY'!$C$20,rate,Sheet1!X$21,0)</f>
        <v>0</v>
      </c>
      <c r="V474" s="398">
        <f>+V473/VLOOKUP('1. SUMMARY'!$C$20,rate,Sheet1!Y$21,0)</f>
        <v>0</v>
      </c>
      <c r="W474" s="398">
        <f>+W473/VLOOKUP('1. SUMMARY'!$C$20,rate,Sheet1!Z$21,0)</f>
        <v>0</v>
      </c>
      <c r="X474" s="398">
        <f>+X473/VLOOKUP('1. SUMMARY'!$C$20,rate,Sheet1!AA$21,0)</f>
        <v>0</v>
      </c>
      <c r="Y474" s="398">
        <f>+Y473/VLOOKUP('1. SUMMARY'!$C$20,rate,Sheet1!AB$21,0)</f>
        <v>0</v>
      </c>
      <c r="Z474" s="398">
        <f>+Z473/VLOOKUP('1. SUMMARY'!$C$20,rate,Sheet1!AC$21,0)</f>
        <v>0</v>
      </c>
      <c r="AA474" s="398">
        <f>+AA473/VLOOKUP('1. SUMMARY'!$C$20,rate,Sheet1!AD$21,0)</f>
        <v>0</v>
      </c>
      <c r="AB474" s="398">
        <f>+AB473/VLOOKUP('1. SUMMARY'!$C$20,rate,Sheet1!AE$21,0)</f>
        <v>0</v>
      </c>
      <c r="AC474" s="398">
        <f>+AC473/VLOOKUP('1. SUMMARY'!$C$20,rate,Sheet1!AF$21,0)</f>
        <v>0</v>
      </c>
      <c r="AD474" s="398">
        <f>+AD473/VLOOKUP('1. SUMMARY'!$C$20,rate,Sheet1!AG$21,0)</f>
        <v>0</v>
      </c>
      <c r="AE474" s="398">
        <f>+AE473/VLOOKUP('1. SUMMARY'!$C$20,rate,Sheet1!AH$21,0)</f>
        <v>0</v>
      </c>
      <c r="AF474" s="398">
        <f>+AF473/VLOOKUP('1. SUMMARY'!$C$20,rate,Sheet1!AI$21,0)</f>
        <v>0</v>
      </c>
      <c r="AG474" s="398">
        <f>+AG473/VLOOKUP('1. SUMMARY'!$C$20,rate,Sheet1!AJ$21,0)</f>
        <v>0</v>
      </c>
      <c r="AH474" s="219"/>
      <c r="AI474" s="398">
        <v>0</v>
      </c>
      <c r="AJ474" s="398">
        <v>0</v>
      </c>
      <c r="AK474" s="398">
        <v>0</v>
      </c>
      <c r="AL474" s="398">
        <v>0</v>
      </c>
      <c r="AM474" s="398">
        <v>0</v>
      </c>
      <c r="AN474" s="398">
        <v>0</v>
      </c>
      <c r="AO474" s="398">
        <v>0</v>
      </c>
      <c r="AP474" s="398">
        <v>0</v>
      </c>
      <c r="AQ474" s="398"/>
      <c r="AR474" s="398"/>
      <c r="AS474" s="398"/>
      <c r="AT474" s="398"/>
      <c r="AU474" s="398"/>
      <c r="AV474" s="398"/>
      <c r="AW474" s="398"/>
      <c r="AX474" s="398"/>
      <c r="AY474" s="398"/>
      <c r="AZ474" s="398"/>
    </row>
    <row r="475" spans="16:52" hidden="1">
      <c r="P475" s="207">
        <f t="shared" si="216"/>
        <v>1</v>
      </c>
      <c r="Q475" s="402">
        <f>Sheet1!$T$8</f>
        <v>44105</v>
      </c>
      <c r="R475" s="402">
        <f>Sheet1!$U$8</f>
        <v>44470</v>
      </c>
      <c r="S475" s="402">
        <f>Sheet1!$V$8</f>
        <v>44835</v>
      </c>
      <c r="T475" s="402">
        <f>Sheet1!$W$8</f>
        <v>45200</v>
      </c>
      <c r="U475" s="402">
        <f>Sheet1!$X$8</f>
        <v>45566</v>
      </c>
      <c r="V475" s="402">
        <f>Sheet1!$Y$8</f>
        <v>45931</v>
      </c>
      <c r="W475" s="402">
        <f>Sheet1!$Z$8</f>
        <v>46296</v>
      </c>
      <c r="X475" s="402">
        <f>Sheet1!$AA$8</f>
        <v>46661</v>
      </c>
      <c r="Y475" s="402">
        <f>Sheet1!$AB$8</f>
        <v>47027</v>
      </c>
      <c r="Z475" s="402">
        <f>Sheet1!$AC$8</f>
        <v>47392</v>
      </c>
      <c r="AA475" s="402">
        <f>$AA$5</f>
        <v>47757</v>
      </c>
      <c r="AB475" s="402">
        <f>$AB$5</f>
        <v>48122</v>
      </c>
      <c r="AC475" s="402">
        <f>$AC$5</f>
        <v>48488</v>
      </c>
      <c r="AD475" s="402">
        <f>$AD$5</f>
        <v>48853</v>
      </c>
      <c r="AE475" s="402">
        <f>$AE$5</f>
        <v>49218</v>
      </c>
      <c r="AF475" s="402">
        <f>$AF$5</f>
        <v>49583</v>
      </c>
      <c r="AG475" s="402">
        <f>$AG$5</f>
        <v>49949</v>
      </c>
      <c r="AH475" s="211"/>
      <c r="AI475" s="402">
        <f t="shared" ref="AI475:AR477" si="217">+Q475</f>
        <v>44105</v>
      </c>
      <c r="AJ475" s="402">
        <f t="shared" si="217"/>
        <v>44470</v>
      </c>
      <c r="AK475" s="402">
        <f t="shared" si="217"/>
        <v>44835</v>
      </c>
      <c r="AL475" s="402">
        <f t="shared" si="217"/>
        <v>45200</v>
      </c>
      <c r="AM475" s="402">
        <f t="shared" si="217"/>
        <v>45566</v>
      </c>
      <c r="AN475" s="402">
        <f t="shared" si="217"/>
        <v>45931</v>
      </c>
      <c r="AO475" s="402">
        <f t="shared" si="217"/>
        <v>46296</v>
      </c>
      <c r="AP475" s="402">
        <f t="shared" si="217"/>
        <v>46661</v>
      </c>
      <c r="AQ475" s="402">
        <f t="shared" si="217"/>
        <v>47027</v>
      </c>
      <c r="AR475" s="402">
        <f t="shared" si="217"/>
        <v>47392</v>
      </c>
      <c r="AS475" s="402">
        <f t="shared" ref="AS475:AY477" si="218">+AA475</f>
        <v>47757</v>
      </c>
      <c r="AT475" s="402">
        <f t="shared" si="218"/>
        <v>48122</v>
      </c>
      <c r="AU475" s="402">
        <f t="shared" si="218"/>
        <v>48488</v>
      </c>
      <c r="AV475" s="402">
        <f t="shared" si="218"/>
        <v>48853</v>
      </c>
      <c r="AW475" s="402">
        <f t="shared" si="218"/>
        <v>49218</v>
      </c>
      <c r="AX475" s="402">
        <f t="shared" si="218"/>
        <v>49583</v>
      </c>
      <c r="AY475" s="402">
        <f t="shared" si="218"/>
        <v>49949</v>
      </c>
      <c r="AZ475" s="402"/>
    </row>
    <row r="476" spans="16:52" hidden="1">
      <c r="P476" s="207">
        <f t="shared" si="216"/>
        <v>1</v>
      </c>
      <c r="Q476" s="402">
        <f>Sheet1!$T$9</f>
        <v>44469</v>
      </c>
      <c r="R476" s="402">
        <f>Sheet1!$U$9</f>
        <v>44834</v>
      </c>
      <c r="S476" s="402">
        <f>Sheet1!$V$9</f>
        <v>45199</v>
      </c>
      <c r="T476" s="402">
        <f>Sheet1!$W$9</f>
        <v>45565</v>
      </c>
      <c r="U476" s="402">
        <f>Sheet1!$X$9</f>
        <v>45930</v>
      </c>
      <c r="V476" s="402">
        <f>Sheet1!$Y$9</f>
        <v>46295</v>
      </c>
      <c r="W476" s="402">
        <f>Sheet1!$Z$9</f>
        <v>46660</v>
      </c>
      <c r="X476" s="402">
        <f>Sheet1!$AA$9</f>
        <v>47026</v>
      </c>
      <c r="Y476" s="402">
        <f>Sheet1!$AB$9</f>
        <v>47391</v>
      </c>
      <c r="Z476" s="402">
        <f>Sheet1!$AC$9</f>
        <v>47756</v>
      </c>
      <c r="AA476" s="402">
        <f>$AA$6</f>
        <v>48121</v>
      </c>
      <c r="AB476" s="402">
        <f>$AB$6</f>
        <v>48487</v>
      </c>
      <c r="AC476" s="402">
        <f>$AC$6</f>
        <v>48852</v>
      </c>
      <c r="AD476" s="402">
        <f>$AD$6</f>
        <v>49217</v>
      </c>
      <c r="AE476" s="402">
        <f>$AE$6</f>
        <v>49582</v>
      </c>
      <c r="AF476" s="402">
        <f>$AF$6</f>
        <v>49948</v>
      </c>
      <c r="AG476" s="402">
        <f>$AG$6</f>
        <v>50313</v>
      </c>
      <c r="AH476" s="211"/>
      <c r="AI476" s="402">
        <f t="shared" si="217"/>
        <v>44469</v>
      </c>
      <c r="AJ476" s="402">
        <f t="shared" si="217"/>
        <v>44834</v>
      </c>
      <c r="AK476" s="402">
        <f t="shared" si="217"/>
        <v>45199</v>
      </c>
      <c r="AL476" s="402">
        <f t="shared" si="217"/>
        <v>45565</v>
      </c>
      <c r="AM476" s="402">
        <f t="shared" si="217"/>
        <v>45930</v>
      </c>
      <c r="AN476" s="402">
        <f t="shared" si="217"/>
        <v>46295</v>
      </c>
      <c r="AO476" s="402">
        <f t="shared" si="217"/>
        <v>46660</v>
      </c>
      <c r="AP476" s="402">
        <f t="shared" si="217"/>
        <v>47026</v>
      </c>
      <c r="AQ476" s="402">
        <f t="shared" si="217"/>
        <v>47391</v>
      </c>
      <c r="AR476" s="402">
        <f t="shared" si="217"/>
        <v>47756</v>
      </c>
      <c r="AS476" s="402">
        <f t="shared" si="218"/>
        <v>48121</v>
      </c>
      <c r="AT476" s="402">
        <f t="shared" si="218"/>
        <v>48487</v>
      </c>
      <c r="AU476" s="402">
        <f t="shared" si="218"/>
        <v>48852</v>
      </c>
      <c r="AV476" s="402">
        <f t="shared" si="218"/>
        <v>49217</v>
      </c>
      <c r="AW476" s="402">
        <f t="shared" si="218"/>
        <v>49582</v>
      </c>
      <c r="AX476" s="402">
        <f t="shared" si="218"/>
        <v>49948</v>
      </c>
      <c r="AY476" s="402">
        <f t="shared" si="218"/>
        <v>50313</v>
      </c>
      <c r="AZ476" s="402"/>
    </row>
    <row r="477" spans="16:52" hidden="1">
      <c r="P477" s="207">
        <f t="shared" si="216"/>
        <v>1</v>
      </c>
      <c r="Q477" s="403">
        <f>IF(IF(Q476&lt;$C$27,0,DATEDIF($C$27,Q476+1,"m"))&lt;0,0,IF(Q476&lt;$C$27,0,DATEDIF($C$27,Q476+1,"m")))</f>
        <v>0</v>
      </c>
      <c r="R477" s="403">
        <f>IF(IF(Q477=12,0,IF(R476&gt;$C$28,12-DATEDIF($C$28,R476+1,"m"),IF(R476&lt;$C$27,0,DATEDIF($C$27,R476+1,"m"))))&lt;0,0,IF(Q477=12,0,IF(R476&gt;$C$28,12-DATEDIF($C$28,R476+1,"m"),IF(R476&lt;$C$27,0,DATEDIF($C$27,R476+1,"m")))))</f>
        <v>0</v>
      </c>
      <c r="S477" s="403">
        <f>IF(IF(Q477+R477=12,0,IF(S476&gt;$C$28,12-DATEDIF($C$28,S476+1,"m"),IF(S476&lt;$C$27,0,DATEDIF($C$27,S476+1,"m"))))&lt;0,0,IF(Q477+R477=12,0,IF(S476&gt;$C$28,12-DATEDIF($C$28,S476+1,"m"),IF(S476&lt;$C$27,0,DATEDIF($C$27,S476+1,"m")))))</f>
        <v>0</v>
      </c>
      <c r="T477" s="403">
        <f>IF(IF(R477+S477+Q477=12,0,IF(T476&gt;$C$28,12-DATEDIF($C$28,T476+1,"m"),IF(T476&lt;$C$27,0,DATEDIF($C$27,T476+1,"m"))))&lt;0,0,IF(R477+S477+Q477=12,0,IF(T476&gt;$C$28,12-DATEDIF($C$28,T476+1,"m"),IF(T476&lt;$C$27,0,DATEDIF($C$27,T476+1,"m")))))</f>
        <v>0</v>
      </c>
      <c r="U477" s="403">
        <f>IF(IF(S477+T477+R477+Q477=12,0,IF(U476&gt;$C$28,12-DATEDIF($C$28,U476+1,"m"),IF(U476&lt;$C$27,0,DATEDIF($C$27,U476+1,"m"))))&lt;0,0,IF(S477+T477+R477+Q477=12,0,IF(U476&gt;$C$28,12-DATEDIF($C$28,U476+1,"m"),IF(U476&lt;$C$27,0,DATEDIF($C$27,U476+1,"m")))))</f>
        <v>0</v>
      </c>
      <c r="V477" s="403">
        <f>IF(IF(T477+U477+S477+R477+Q477=12,0,IF(V476&gt;$C$28,12-DATEDIF($C$28,V476+1,"m"),IF(V476&lt;$C$27,0,DATEDIF($C$27,V476+1,"m"))))&lt;0,0,IF(T477+U477+S477+R477+Q477=12,0,IF(V476&gt;$C$28,12-DATEDIF($C$28,V476+1,"m"),IF(V476&lt;$C$27,0,DATEDIF($C$27,V476+1,"m")))))</f>
        <v>0</v>
      </c>
      <c r="W477" s="403">
        <f>IF(IF(U477+V477+T477+S477+R477+Q477=12,0,IF(W476&gt;$C$28,12-DATEDIF($C$28,W476+1,"m"),IF(W476&lt;$C$27,0,DATEDIF($C$27,W476+1,"m"))))&lt;0,0,IF(U477+V477+T477+S477+R477+Q477=12,0,IF(W476&gt;$C$28,12-DATEDIF($C$28,W476+1,"m"),IF(W476&lt;$C$27,0,DATEDIF($C$27,W476+1,"m")))))</f>
        <v>0</v>
      </c>
      <c r="X477" s="403">
        <f>IF(IF(V477+W477+U477+T477+S477+R477+Q477=12,0,IF(X476&gt;$C$28,12-DATEDIF($C$28,X476+1,"m"),IF(X476&lt;$C$27,0,DATEDIF($C$27,X476+1,"m"))))&lt;0,0,IF(V477+W477+U477+T477+S477+R477+Q477=12,0,IF(X476&gt;$C$28,12-DATEDIF($C$28,X476+1,"m"),IF(X476&lt;$C$27,0,DATEDIF($C$27,X476+1,"m")))))</f>
        <v>0</v>
      </c>
      <c r="Y477" s="403">
        <f>IF(IF(Q477+W477+X477+V477+U477+T477+S477+R477=12,0,IF(Y476&gt;$C$28,12-DATEDIF($C$28,Y476+1,"m"),IF(Y476&lt;$C$27,0,DATEDIF($C$27,Y476+1,"m"))))&lt;0,0,IF(Q477+W477+X477+V477+U477+T477+S477+R477=12,0,IF(Y476&gt;$C$28,12-DATEDIF($C$28,Y476+1,"m"),IF(Y476&lt;$C$27,0,DATEDIF($C$27,Y476+1,"m")))))</f>
        <v>0</v>
      </c>
      <c r="Z477" s="403">
        <f>IF(IF(Q477+R477+X477+Y477+W477+V477+U477+T477+S477=12,0,IF(Z476&gt;$C$28,12-DATEDIF($C$28,Z476+1,"m"),IF(Z476&lt;$C$27,0,DATEDIF($C$27,Z476+1,"m"))))&lt;0,0,IF(+Q477+R477+X477+Y477+W477+V477+U477+T477+S477=12,0,IF(Z476&gt;$C$28,12-DATEDIF($C$28,Z476+1,"m"),IF(Z476&lt;$C$27,0,DATEDIF($C$27,Z476+1,"m")))))</f>
        <v>0</v>
      </c>
      <c r="AA477" s="403"/>
      <c r="AB477" s="403"/>
      <c r="AC477" s="403"/>
      <c r="AD477" s="403"/>
      <c r="AE477" s="403"/>
      <c r="AF477" s="403"/>
      <c r="AG477" s="403"/>
      <c r="AH477" s="423">
        <f>SUM(Q477:AG477)</f>
        <v>0</v>
      </c>
      <c r="AI477" s="403">
        <f t="shared" si="217"/>
        <v>0</v>
      </c>
      <c r="AJ477" s="403">
        <f t="shared" si="217"/>
        <v>0</v>
      </c>
      <c r="AK477" s="403">
        <f t="shared" si="217"/>
        <v>0</v>
      </c>
      <c r="AL477" s="403">
        <f t="shared" si="217"/>
        <v>0</v>
      </c>
      <c r="AM477" s="403">
        <f t="shared" si="217"/>
        <v>0</v>
      </c>
      <c r="AN477" s="403">
        <f t="shared" si="217"/>
        <v>0</v>
      </c>
      <c r="AO477" s="403">
        <f t="shared" si="217"/>
        <v>0</v>
      </c>
      <c r="AP477" s="403">
        <f t="shared" si="217"/>
        <v>0</v>
      </c>
      <c r="AQ477" s="403">
        <f t="shared" si="217"/>
        <v>0</v>
      </c>
      <c r="AR477" s="403">
        <f t="shared" si="217"/>
        <v>0</v>
      </c>
      <c r="AS477" s="403">
        <f t="shared" si="218"/>
        <v>0</v>
      </c>
      <c r="AT477" s="403">
        <f t="shared" si="218"/>
        <v>0</v>
      </c>
      <c r="AU477" s="403">
        <f t="shared" si="218"/>
        <v>0</v>
      </c>
      <c r="AV477" s="403">
        <f t="shared" si="218"/>
        <v>0</v>
      </c>
      <c r="AW477" s="403">
        <f t="shared" si="218"/>
        <v>0</v>
      </c>
      <c r="AX477" s="403">
        <f t="shared" si="218"/>
        <v>0</v>
      </c>
      <c r="AY477" s="403">
        <f t="shared" si="218"/>
        <v>0</v>
      </c>
      <c r="AZ477" s="403">
        <f>SUM(AI477:AY477)</f>
        <v>0</v>
      </c>
    </row>
    <row r="478" spans="16:52" hidden="1">
      <c r="P478" s="207">
        <f t="shared" si="216"/>
        <v>1</v>
      </c>
      <c r="Q478" s="404">
        <f>IF(Q477=0,0,(IF(($C$169+$B$169)&lt;=25000,(($C$169/+$AH477)*Q477)*VLOOKUP('1. SUMMARY'!$C$20,rate,Sheet1!T$21,0),((IF($B$169&gt;=25000,0,((25000-$B$169)/+$AH477)*Q477)*VLOOKUP('1. SUMMARY'!$C$20,rate,Sheet1!T$21,0))))))</f>
        <v>0</v>
      </c>
      <c r="R478" s="404">
        <f>IF(R477=0,0,(IF(($C$169+$B$169)&lt;=25000,(($C$169/+$AH477)*R477)*VLOOKUP('1. SUMMARY'!$C$20,rate,Sheet1!U$21,0),((IF($B$169&gt;=25000,0,((25000-$B$169)/+$AH477)*R477)*VLOOKUP('1. SUMMARY'!$C$20,rate,Sheet1!U$21,0))))))</f>
        <v>0</v>
      </c>
      <c r="S478" s="404">
        <f>IF(S477=0,0,(IF(($C$169+$B$169)&lt;=25000,(($C$169/+$AH477)*S477)*VLOOKUP('1. SUMMARY'!$C$20,rate,Sheet1!V$21,0),((IF($B$169&gt;=25000,0,((25000-$B$169)/+$AH477)*S477)*VLOOKUP('1. SUMMARY'!$C$20,rate,Sheet1!V$21,0))))))</f>
        <v>0</v>
      </c>
      <c r="T478" s="404">
        <f>IF(T477=0,0,(IF(($C$169+$B$169)&lt;=25000,(($C$169/+$AH477)*T477)*VLOOKUP('1. SUMMARY'!$C$20,rate,Sheet1!W$21,0),((IF($B$169&gt;=25000,0,((25000-$B$169)/+$AH477)*T477)*VLOOKUP('1. SUMMARY'!$C$20,rate,Sheet1!W$21,0))))))</f>
        <v>0</v>
      </c>
      <c r="U478" s="404">
        <f>IF(U477=0,0,(IF(($C$169+$B$169)&lt;=25000,(($C$169/+$AH477)*U477)*VLOOKUP('1. SUMMARY'!$C$20,rate,Sheet1!X$21,0),((IF($B$169&gt;=25000,0,((25000-$B$169)/+$AH477)*U477)*VLOOKUP('1. SUMMARY'!$C$20,rate,Sheet1!X$21,0))))))</f>
        <v>0</v>
      </c>
      <c r="V478" s="404">
        <f>IF(V477=0,0,(IF(($C$169+$B$169)&lt;=25000,(($C$169/+$AH477)*V477)*VLOOKUP('1. SUMMARY'!$C$20,rate,Sheet1!Y$21,0),((IF($B$169&gt;=25000,0,((25000-$B$169)/+$AH477)*V477)*VLOOKUP('1. SUMMARY'!$C$20,rate,Sheet1!Y$21,0))))))</f>
        <v>0</v>
      </c>
      <c r="W478" s="404">
        <f>IF(W477=0,0,(IF(($C$169+$B$169)&lt;=25000,(($C$169/+$AH477)*W477)*VLOOKUP('1. SUMMARY'!$C$20,rate,Sheet1!Z$21,0),((IF($B$169&gt;=25000,0,((25000-$B$169)/+$AH477)*W477)*VLOOKUP('1. SUMMARY'!$C$20,rate,Sheet1!Z$21,0))))))</f>
        <v>0</v>
      </c>
      <c r="X478" s="404">
        <f>IF(X477=0,0,(IF(($C$169+$B$169)&lt;=25000,(($C$169/+$AH477)*X477)*VLOOKUP('1. SUMMARY'!$C$20,rate,Sheet1!AA$21,0),((IF($B$169&gt;=25000,0,((25000-$B$169)/+$AH477)*X477)*VLOOKUP('1. SUMMARY'!$C$20,rate,Sheet1!AA$21,0))))))</f>
        <v>0</v>
      </c>
      <c r="Y478" s="404">
        <f>IF(Y477=0,0,(IF(($C$169+$B$169)&lt;=25000,(($C$169/+$AH477)*Y477)*VLOOKUP('1. SUMMARY'!$C$20,rate,Sheet1!AB$21,0),((IF($B$169&gt;=25000,0,((25000-$B$169)/+$AH477)*Y477)*VLOOKUP('1. SUMMARY'!$C$20,rate,Sheet1!AB$21,0))))))</f>
        <v>0</v>
      </c>
      <c r="Z478" s="404">
        <f>IF(Z477=0,0,(IF(($C$169+$B$169)&lt;=25000,(($C$169/+$AH477)*Z477)*VLOOKUP('1. SUMMARY'!$C$20,rate,Sheet1!AC$21,0),((IF($B$169&gt;=25000,0,((25000-$B$169)/+$AH477)*Z477)*VLOOKUP('1. SUMMARY'!$C$20,rate,Sheet1!AC$21,0))))))</f>
        <v>0</v>
      </c>
      <c r="AA478" s="404">
        <f>IF(AA477=0,0,(IF(($C$169+$B$169)&lt;=25000,(($C$169/+$AH477)*AA477)*VLOOKUP('1. SUMMARY'!$C$20,rate,Sheet1!AD$21,0),((IF($B$169&gt;=25000,0,((25000-$B$169)/+$AH477)*AA477)*VLOOKUP('1. SUMMARY'!$C$20,rate,Sheet1!AD$21,0))))))</f>
        <v>0</v>
      </c>
      <c r="AB478" s="404">
        <f>IF(AB477=0,0,(IF(($C$169+$B$169)&lt;=25000,(($C$169/+$AH477)*AB477)*VLOOKUP('1. SUMMARY'!$C$20,rate,Sheet1!AE$21,0),((IF($B$169&gt;=25000,0,((25000-$B$169)/+$AH477)*AB477)*VLOOKUP('1. SUMMARY'!$C$20,rate,Sheet1!AE$21,0))))))</f>
        <v>0</v>
      </c>
      <c r="AC478" s="404">
        <f>IF(AC477=0,0,(IF(($C$169+$B$169)&lt;=25000,(($C$169/+$AH477)*AC477)*VLOOKUP('1. SUMMARY'!$C$20,rate,Sheet1!AF$21,0),((IF($B$169&gt;=25000,0,((25000-$B$169)/+$AH477)*AC477)*VLOOKUP('1. SUMMARY'!$C$20,rate,Sheet1!AF$21,0))))))</f>
        <v>0</v>
      </c>
      <c r="AD478" s="404">
        <f>IF(AD477=0,0,(IF(($C$169+$B$169)&lt;=25000,(($C$169/+$AH477)*AD477)*VLOOKUP('1. SUMMARY'!$C$20,rate,Sheet1!AG$21,0),((IF($B$169&gt;=25000,0,((25000-$B$169)/+$AH477)*AD477)*VLOOKUP('1. SUMMARY'!$C$20,rate,Sheet1!AG$21,0))))))</f>
        <v>0</v>
      </c>
      <c r="AE478" s="404">
        <f>IF(AE477=0,0,(IF(($C$169+$B$169)&lt;=25000,(($C$169/+$AH477)*AE477)*VLOOKUP('1. SUMMARY'!$C$20,rate,Sheet1!AH$21,0),((IF($B$169&gt;=25000,0,((25000-$B$169)/+$AH477)*AE477)*VLOOKUP('1. SUMMARY'!$C$20,rate,Sheet1!AH$21,0))))))</f>
        <v>0</v>
      </c>
      <c r="AF478" s="404">
        <f>IF(AF477=0,0,(IF(($C$169+$B$169)&lt;=25000,(($C$169/+$AH477)*AF477)*VLOOKUP('1. SUMMARY'!$C$20,rate,Sheet1!AI$21,0),((IF($B$169&gt;=25000,0,((25000-$B$169)/+$AH477)*AF477)*VLOOKUP('1. SUMMARY'!$C$20,rate,Sheet1!AI$21,0))))))</f>
        <v>0</v>
      </c>
      <c r="AG478" s="404">
        <f>IF(AG477=0,0,(IF(($C$169+$B$169)&lt;=25000,(($C$169/+$AH477)*AG477)*VLOOKUP('1. SUMMARY'!$C$20,rate,Sheet1!AJ$21,0),((IF($B$169&gt;=25000,0,((25000-$B$169)/+$AH477)*AG477)*VLOOKUP('1. SUMMARY'!$C$20,rate,Sheet1!AJ$21,0))))))</f>
        <v>0</v>
      </c>
      <c r="AH478" s="219">
        <f>SUM(Q478:AG478)</f>
        <v>0</v>
      </c>
      <c r="AI478" s="404">
        <f>IF(AI477=0,0,((+$C169/$AZ477)*AI477)*VLOOKUP('1. SUMMARY'!$C$20,rate,Sheet1!T$21,0))</f>
        <v>0</v>
      </c>
      <c r="AJ478" s="404">
        <f>IF(AJ477=0,0,((+$C169/$AZ477)*AJ477)*VLOOKUP('1. SUMMARY'!$C$20,rate,Sheet1!U$21,0))</f>
        <v>0</v>
      </c>
      <c r="AK478" s="404">
        <f>IF(AK477=0,0,((+$C169/$AZ477)*AK477)*VLOOKUP('1. SUMMARY'!$C$20,rate,Sheet1!V$21,0))</f>
        <v>0</v>
      </c>
      <c r="AL478" s="404">
        <f>IF(AL477=0,0,((+$C169/$AZ477)*AL477)*VLOOKUP('1. SUMMARY'!$C$20,rate,Sheet1!W$21,0))</f>
        <v>0</v>
      </c>
      <c r="AM478" s="404">
        <f>IF(AM477=0,0,((+$C169/$AZ477)*AM477)*VLOOKUP('1. SUMMARY'!$C$20,rate,Sheet1!X$21,0))</f>
        <v>0</v>
      </c>
      <c r="AN478" s="404">
        <f>IF(AN477=0,0,((+$C169/$AZ477)*AN477)*VLOOKUP('1. SUMMARY'!$C$20,rate,Sheet1!Y$21,0))</f>
        <v>0</v>
      </c>
      <c r="AO478" s="404">
        <f>IF(AO477=0,0,((+$C169/$AZ477)*AO477)*VLOOKUP('1. SUMMARY'!$C$20,rate,Sheet1!Z$21,0))</f>
        <v>0</v>
      </c>
      <c r="AP478" s="404">
        <f>IF(AP477=0,0,((+$C169/$AZ477)*AP477)*VLOOKUP('1. SUMMARY'!$C$20,rate,Sheet1!AA$21,0))</f>
        <v>0</v>
      </c>
      <c r="AQ478" s="404">
        <f>IF(AQ477=0,0,((+$C169/$AZ477)*AQ477)*VLOOKUP('1. SUMMARY'!$C$20,rate,Sheet1!AB$21,0))</f>
        <v>0</v>
      </c>
      <c r="AR478" s="404">
        <f>IF(AR477=0,0,((+$C169/$AZ477)*AR477)*VLOOKUP('1. SUMMARY'!$C$20,rate,Sheet1!AC$21,0))</f>
        <v>0</v>
      </c>
      <c r="AS478" s="404">
        <f>IF(AS477=0,0,((+$C169/$AZ477)*AS477)*VLOOKUP('1. SUMMARY'!$C$20,rate,Sheet1!AD$21,0))</f>
        <v>0</v>
      </c>
      <c r="AT478" s="404">
        <f>IF(AT477=0,0,((+$C169/$AZ477)*AT477)*VLOOKUP('1. SUMMARY'!$C$20,rate,Sheet1!AE$21,0))</f>
        <v>0</v>
      </c>
      <c r="AU478" s="404">
        <f>IF(AU477=0,0,((+$C169/$AZ477)*AU477)*VLOOKUP('1. SUMMARY'!$C$20,rate,Sheet1!AF$21,0))</f>
        <v>0</v>
      </c>
      <c r="AV478" s="404">
        <f>IF(AV477=0,0,((+$C169/$AZ477)*AV477)*VLOOKUP('1. SUMMARY'!$C$20,rate,Sheet1!AG$21,0))</f>
        <v>0</v>
      </c>
      <c r="AW478" s="404">
        <f>IF(AW477=0,0,((+$C169/$AZ477)*AW477)*VLOOKUP('1. SUMMARY'!$C$20,rate,Sheet1!AH$21,0))</f>
        <v>0</v>
      </c>
      <c r="AX478" s="404">
        <f>IF(AX477=0,0,((+$C169/$AZ477)*AX477)*VLOOKUP('1. SUMMARY'!$C$20,rate,Sheet1!AI$21,0))</f>
        <v>0</v>
      </c>
      <c r="AY478" s="404">
        <f>IF(AY477=0,0,((+$C169/$AZ477)*AY477)*VLOOKUP('1. SUMMARY'!$C$20,rate,Sheet1!AJ$21,0))</f>
        <v>0</v>
      </c>
      <c r="AZ478" s="404">
        <f>SUM(AI478:AY478)</f>
        <v>0</v>
      </c>
    </row>
    <row r="479" spans="16:52" hidden="1">
      <c r="P479" s="207">
        <f t="shared" si="216"/>
        <v>1</v>
      </c>
      <c r="Q479" s="404">
        <f>+Q478/VLOOKUP('1. SUMMARY'!$C$20,rate,Sheet1!T$21,0)</f>
        <v>0</v>
      </c>
      <c r="R479" s="404">
        <f>+R478/VLOOKUP('1. SUMMARY'!$C$20,rate,Sheet1!U$21,0)</f>
        <v>0</v>
      </c>
      <c r="S479" s="404">
        <f>+S478/VLOOKUP('1. SUMMARY'!$C$20,rate,Sheet1!V$21,0)</f>
        <v>0</v>
      </c>
      <c r="T479" s="404">
        <f>+T478/VLOOKUP('1. SUMMARY'!$C$20,rate,Sheet1!W$21,0)</f>
        <v>0</v>
      </c>
      <c r="U479" s="404">
        <f>+U478/VLOOKUP('1. SUMMARY'!$C$20,rate,Sheet1!X$21,0)</f>
        <v>0</v>
      </c>
      <c r="V479" s="404">
        <f>+V478/VLOOKUP('1. SUMMARY'!$C$20,rate,Sheet1!Y$21,0)</f>
        <v>0</v>
      </c>
      <c r="W479" s="404">
        <f>+W478/VLOOKUP('1. SUMMARY'!$C$20,rate,Sheet1!Z$21,0)</f>
        <v>0</v>
      </c>
      <c r="X479" s="404">
        <f>+X478/VLOOKUP('1. SUMMARY'!$C$20,rate,Sheet1!AA$21,0)</f>
        <v>0</v>
      </c>
      <c r="Y479" s="404">
        <f>+Y478/VLOOKUP('1. SUMMARY'!$C$20,rate,Sheet1!AB$21,0)</f>
        <v>0</v>
      </c>
      <c r="Z479" s="404">
        <f>+Z478/VLOOKUP('1. SUMMARY'!$C$20,rate,Sheet1!AC$21,0)</f>
        <v>0</v>
      </c>
      <c r="AA479" s="404">
        <f>+AA478/VLOOKUP('1. SUMMARY'!$C$20,rate,Sheet1!AD$21,0)</f>
        <v>0</v>
      </c>
      <c r="AB479" s="404">
        <f>+AB478/VLOOKUP('1. SUMMARY'!$C$20,rate,Sheet1!AE$21,0)</f>
        <v>0</v>
      </c>
      <c r="AC479" s="404">
        <f>+AC478/VLOOKUP('1. SUMMARY'!$C$20,rate,Sheet1!AF$21,0)</f>
        <v>0</v>
      </c>
      <c r="AD479" s="404">
        <f>+AD478/VLOOKUP('1. SUMMARY'!$C$20,rate,Sheet1!AG$21,0)</f>
        <v>0</v>
      </c>
      <c r="AE479" s="404">
        <f>+AE478/VLOOKUP('1. SUMMARY'!$C$20,rate,Sheet1!AH$21,0)</f>
        <v>0</v>
      </c>
      <c r="AF479" s="404">
        <f>+AF478/VLOOKUP('1. SUMMARY'!$C$20,rate,Sheet1!AI$21,0)</f>
        <v>0</v>
      </c>
      <c r="AG479" s="404">
        <f>+AG478/VLOOKUP('1. SUMMARY'!$C$20,rate,Sheet1!AJ$21,0)</f>
        <v>0</v>
      </c>
      <c r="AH479" s="219"/>
      <c r="AI479" s="404">
        <v>0</v>
      </c>
      <c r="AJ479" s="404">
        <v>0</v>
      </c>
      <c r="AK479" s="404">
        <v>0</v>
      </c>
      <c r="AL479" s="404">
        <v>0</v>
      </c>
      <c r="AM479" s="404">
        <v>0</v>
      </c>
      <c r="AN479" s="404">
        <v>0</v>
      </c>
      <c r="AO479" s="404">
        <v>0</v>
      </c>
      <c r="AP479" s="404">
        <v>0</v>
      </c>
      <c r="AQ479" s="404"/>
      <c r="AR479" s="404"/>
      <c r="AS479" s="404"/>
      <c r="AT479" s="404"/>
      <c r="AU479" s="404"/>
      <c r="AV479" s="404"/>
      <c r="AW479" s="404"/>
      <c r="AX479" s="404"/>
      <c r="AY479" s="404"/>
      <c r="AZ479" s="404"/>
    </row>
    <row r="480" spans="16:52" hidden="1">
      <c r="P480" s="207">
        <f t="shared" si="216"/>
        <v>1</v>
      </c>
      <c r="Q480" s="399">
        <f>Sheet1!$T$8</f>
        <v>44105</v>
      </c>
      <c r="R480" s="399">
        <f>Sheet1!$U$8</f>
        <v>44470</v>
      </c>
      <c r="S480" s="399">
        <f>Sheet1!$V$8</f>
        <v>44835</v>
      </c>
      <c r="T480" s="399">
        <f>Sheet1!$W$8</f>
        <v>45200</v>
      </c>
      <c r="U480" s="399">
        <f>Sheet1!$X$8</f>
        <v>45566</v>
      </c>
      <c r="V480" s="399">
        <f>Sheet1!$Y$8</f>
        <v>45931</v>
      </c>
      <c r="W480" s="399">
        <f>Sheet1!$Z$8</f>
        <v>46296</v>
      </c>
      <c r="X480" s="399">
        <f>Sheet1!$AA$8</f>
        <v>46661</v>
      </c>
      <c r="Y480" s="399">
        <f>Sheet1!$AB$8</f>
        <v>47027</v>
      </c>
      <c r="Z480" s="399">
        <f>Sheet1!$AC$8</f>
        <v>47392</v>
      </c>
      <c r="AA480" s="399">
        <f>$AA$5</f>
        <v>47757</v>
      </c>
      <c r="AB480" s="399">
        <f>$AB$5</f>
        <v>48122</v>
      </c>
      <c r="AC480" s="399">
        <f>$AC$5</f>
        <v>48488</v>
      </c>
      <c r="AD480" s="399">
        <f>$AD$5</f>
        <v>48853</v>
      </c>
      <c r="AE480" s="399">
        <f>$AE$5</f>
        <v>49218</v>
      </c>
      <c r="AF480" s="399">
        <f>$AF$5</f>
        <v>49583</v>
      </c>
      <c r="AG480" s="399">
        <f>$AG$5</f>
        <v>49949</v>
      </c>
      <c r="AH480" s="211"/>
      <c r="AI480" s="399">
        <f t="shared" ref="AI480:AR482" si="219">+Q480</f>
        <v>44105</v>
      </c>
      <c r="AJ480" s="399">
        <f t="shared" si="219"/>
        <v>44470</v>
      </c>
      <c r="AK480" s="399">
        <f t="shared" si="219"/>
        <v>44835</v>
      </c>
      <c r="AL480" s="399">
        <f t="shared" si="219"/>
        <v>45200</v>
      </c>
      <c r="AM480" s="399">
        <f t="shared" si="219"/>
        <v>45566</v>
      </c>
      <c r="AN480" s="399">
        <f t="shared" si="219"/>
        <v>45931</v>
      </c>
      <c r="AO480" s="399">
        <f t="shared" si="219"/>
        <v>46296</v>
      </c>
      <c r="AP480" s="399">
        <f t="shared" si="219"/>
        <v>46661</v>
      </c>
      <c r="AQ480" s="399">
        <f t="shared" si="219"/>
        <v>47027</v>
      </c>
      <c r="AR480" s="399">
        <f t="shared" si="219"/>
        <v>47392</v>
      </c>
      <c r="AS480" s="399">
        <f t="shared" ref="AS480:AY482" si="220">+AA480</f>
        <v>47757</v>
      </c>
      <c r="AT480" s="399">
        <f t="shared" si="220"/>
        <v>48122</v>
      </c>
      <c r="AU480" s="399">
        <f t="shared" si="220"/>
        <v>48488</v>
      </c>
      <c r="AV480" s="399">
        <f t="shared" si="220"/>
        <v>48853</v>
      </c>
      <c r="AW480" s="399">
        <f t="shared" si="220"/>
        <v>49218</v>
      </c>
      <c r="AX480" s="399">
        <f t="shared" si="220"/>
        <v>49583</v>
      </c>
      <c r="AY480" s="399">
        <f t="shared" si="220"/>
        <v>49949</v>
      </c>
      <c r="AZ480" s="399"/>
    </row>
    <row r="481" spans="16:52" hidden="1">
      <c r="P481" s="207">
        <f t="shared" si="216"/>
        <v>1</v>
      </c>
      <c r="Q481" s="399">
        <f>Sheet1!$T$9</f>
        <v>44469</v>
      </c>
      <c r="R481" s="399">
        <f>Sheet1!$U$9</f>
        <v>44834</v>
      </c>
      <c r="S481" s="399">
        <f>Sheet1!$V$9</f>
        <v>45199</v>
      </c>
      <c r="T481" s="399">
        <f>Sheet1!$W$9</f>
        <v>45565</v>
      </c>
      <c r="U481" s="399">
        <f>Sheet1!$X$9</f>
        <v>45930</v>
      </c>
      <c r="V481" s="399">
        <f>Sheet1!$Y$9</f>
        <v>46295</v>
      </c>
      <c r="W481" s="399">
        <f>Sheet1!$Z$9</f>
        <v>46660</v>
      </c>
      <c r="X481" s="399">
        <f>Sheet1!$AA$9</f>
        <v>47026</v>
      </c>
      <c r="Y481" s="399">
        <f>Sheet1!$AB$9</f>
        <v>47391</v>
      </c>
      <c r="Z481" s="399">
        <f>Sheet1!$AC$9</f>
        <v>47756</v>
      </c>
      <c r="AA481" s="399">
        <f>$AA$6</f>
        <v>48121</v>
      </c>
      <c r="AB481" s="399">
        <f>$AB$6</f>
        <v>48487</v>
      </c>
      <c r="AC481" s="399">
        <f>$AC$6</f>
        <v>48852</v>
      </c>
      <c r="AD481" s="399">
        <f>$AD$6</f>
        <v>49217</v>
      </c>
      <c r="AE481" s="399">
        <f>$AE$6</f>
        <v>49582</v>
      </c>
      <c r="AF481" s="399">
        <f>$AF$6</f>
        <v>49948</v>
      </c>
      <c r="AG481" s="399">
        <f>$AG$6</f>
        <v>50313</v>
      </c>
      <c r="AH481" s="211"/>
      <c r="AI481" s="399">
        <f t="shared" si="219"/>
        <v>44469</v>
      </c>
      <c r="AJ481" s="399">
        <f t="shared" si="219"/>
        <v>44834</v>
      </c>
      <c r="AK481" s="399">
        <f t="shared" si="219"/>
        <v>45199</v>
      </c>
      <c r="AL481" s="399">
        <f t="shared" si="219"/>
        <v>45565</v>
      </c>
      <c r="AM481" s="399">
        <f t="shared" si="219"/>
        <v>45930</v>
      </c>
      <c r="AN481" s="399">
        <f t="shared" si="219"/>
        <v>46295</v>
      </c>
      <c r="AO481" s="399">
        <f t="shared" si="219"/>
        <v>46660</v>
      </c>
      <c r="AP481" s="399">
        <f t="shared" si="219"/>
        <v>47026</v>
      </c>
      <c r="AQ481" s="399">
        <f t="shared" si="219"/>
        <v>47391</v>
      </c>
      <c r="AR481" s="399">
        <f t="shared" si="219"/>
        <v>47756</v>
      </c>
      <c r="AS481" s="399">
        <f t="shared" si="220"/>
        <v>48121</v>
      </c>
      <c r="AT481" s="399">
        <f t="shared" si="220"/>
        <v>48487</v>
      </c>
      <c r="AU481" s="399">
        <f t="shared" si="220"/>
        <v>48852</v>
      </c>
      <c r="AV481" s="399">
        <f t="shared" si="220"/>
        <v>49217</v>
      </c>
      <c r="AW481" s="399">
        <f t="shared" si="220"/>
        <v>49582</v>
      </c>
      <c r="AX481" s="399">
        <f t="shared" si="220"/>
        <v>49948</v>
      </c>
      <c r="AY481" s="399">
        <f t="shared" si="220"/>
        <v>50313</v>
      </c>
      <c r="AZ481" s="399"/>
    </row>
    <row r="482" spans="16:52" hidden="1">
      <c r="P482" s="207">
        <f t="shared" si="216"/>
        <v>1</v>
      </c>
      <c r="Q482" s="400">
        <f>IF(IF(Q481&lt;$D$27,0,DATEDIF($D$27,Q481+1,"m"))&lt;0,0,IF(Q481&lt;$D$27,0,DATEDIF($D$27,Q481+1,"m")))</f>
        <v>0</v>
      </c>
      <c r="R482" s="400">
        <f>IF(IF(Q482=12,0,IF(R481&gt;$D$28,12-DATEDIF($D$28,R481+1,"m"),IF(R481&lt;$D$27,0,DATEDIF($D$27,R481+1,"m"))))&lt;0,0,IF(Q482=12,0,IF(R481&gt;$D$28,12-DATEDIF($D$28,R481+1,"m"),IF(R481&lt;$D$27,0,DATEDIF($D$27,R481+1,"m")))))</f>
        <v>0</v>
      </c>
      <c r="S482" s="400">
        <f>IF(IF(Q482+R482=12,0,IF(S481&gt;$D$28,12-DATEDIF($D$28,S481+1,"m"),IF(S481&lt;$D$27,0,DATEDIF($D$27,S481+1,"m"))))&lt;0,0,IF(Q482+R482=12,0,IF(S481&gt;$D$28,12-DATEDIF($D$28,S481+1,"m"),IF(S481&lt;$D$27,0,DATEDIF($D$27,S481+1,"m")))))</f>
        <v>0</v>
      </c>
      <c r="T482" s="400">
        <f>IF(IF(R482+S482+Q482=12,0,IF(T481&gt;$D$28,12-DATEDIF($D$28,T481+1,"m"),IF(T481&lt;$D$27,0,DATEDIF($D$27,T481+1,"m"))))&lt;0,0,IF(R482+S482+Q482=12,0,IF(T481&gt;$D$28,12-DATEDIF($D$28,T481+1,"m"),IF(T481&lt;$D$27,0,DATEDIF($D$27,T481+1,"m")))))</f>
        <v>0</v>
      </c>
      <c r="U482" s="400">
        <f>IF(IF(S482+T482+R482+Q482=12,0,IF(U481&gt;$D$28,12-DATEDIF($D$28,U481+1,"m"),IF(U481&lt;$D$27,0,DATEDIF($D$27,U481+1,"m"))))&lt;0,0,IF(S482+T482+R482+Q482=12,0,IF(U481&gt;$D$28,12-DATEDIF($D$28,U481+1,"m"),IF(U481&lt;$D$27,0,DATEDIF($D$27,U481+1,"m")))))</f>
        <v>0</v>
      </c>
      <c r="V482" s="400">
        <f>IF(IF(T482+U482+S482+R482+Q482=12,0,IF(V481&gt;$D$28,12-DATEDIF($D$28,V481+1,"m"),IF(V481&lt;$D$27,0,DATEDIF($D$27,V481+1,"m"))))&lt;0,0,IF(T482+U482+S482+R482+Q482=12,0,IF(V481&gt;$D$28,12-DATEDIF($D$28,V481+1,"m"),IF(V481&lt;$D$27,0,DATEDIF($D$27,V481+1,"m")))))</f>
        <v>0</v>
      </c>
      <c r="W482" s="400">
        <f>IF(IF(U482+V482+T482+S482+R482+Q482=12,0,IF(W481&gt;$D$28,12-DATEDIF($D$28,W481+1,"m"),IF(W481&lt;$D$27,0,DATEDIF($D$27,W481+1,"m"))))&lt;0,0,IF(U482+V482+T482+S482+R482+Q482=12,0,IF(W481&gt;$D$28,12-DATEDIF($D$28,W481+1,"m"),IF(W481&lt;$D$27,0,DATEDIF($D$27,W481+1,"m")))))</f>
        <v>0</v>
      </c>
      <c r="X482" s="400">
        <f>IF(IF(V482+W482+U482+T482+S482+R482+Q482=12,0,IF(X481&gt;$D$28,12-DATEDIF($D$28,X481+1,"m"),IF(X481&lt;$D$27,0,DATEDIF($D$27,X481+1,"m"))))&lt;0,0,IF(V482+W482+U482+T482+S482+R482+Q482=12,0,IF(X481&gt;$D$28,1-DATEDIF($D$28,X481+1,"m"),IF(X481&lt;$D$27,0,DATEDIF($D$27,X481+1,"m")))))</f>
        <v>0</v>
      </c>
      <c r="Y482" s="400">
        <f>IF(IF(Q482+W482+X482+V482+U482+T482+S482+R482=12,0,IF(Y481&gt;E306,12-DATEDIF(E306,Y481+1,"m"),IF(Y481&lt;E305,0,DATEDIF(E305,Y481+1,"m"))))&lt;0,0,IF(Q482+W482+X482+V482+U482+T482+S482+R482=12,0,IF(Y481&gt;E306,12-DATEDIF(E306,Y481+1,"m"),IF(Y481&lt;E305,0,DATEDIF(E305,Y481+1,"m")))))</f>
        <v>0</v>
      </c>
      <c r="Z482" s="400">
        <f>IF(IF(Q482+R482+X482+Y482+W482+V482+U482+T482+S482=12,0,IF(Z481&gt;F306,12-DATEDIF(F306,Z481+1,"m"),IF(Z481&lt;F305,0,DATEDIF(F305,Z481+1,"m"))))&lt;0,0,IF(Q482+R482+X482+Y482+W482+V482+U482+T482+S482=12,0,IF(Z481&gt;F306,12-DATEDIF(F306,Z481+1,"m"),IF(Z481&lt;F305,0,DATEDIF(F305,Z481+1,"m")))))</f>
        <v>0</v>
      </c>
      <c r="AA482" s="400"/>
      <c r="AB482" s="400"/>
      <c r="AC482" s="400"/>
      <c r="AD482" s="400"/>
      <c r="AE482" s="400"/>
      <c r="AF482" s="400"/>
      <c r="AG482" s="400"/>
      <c r="AH482" s="423">
        <f>SUM(Q482:AG482)</f>
        <v>0</v>
      </c>
      <c r="AI482" s="400">
        <f t="shared" si="219"/>
        <v>0</v>
      </c>
      <c r="AJ482" s="400">
        <f t="shared" si="219"/>
        <v>0</v>
      </c>
      <c r="AK482" s="400">
        <f t="shared" si="219"/>
        <v>0</v>
      </c>
      <c r="AL482" s="400">
        <f t="shared" si="219"/>
        <v>0</v>
      </c>
      <c r="AM482" s="400">
        <f t="shared" si="219"/>
        <v>0</v>
      </c>
      <c r="AN482" s="400">
        <f t="shared" si="219"/>
        <v>0</v>
      </c>
      <c r="AO482" s="400">
        <f t="shared" si="219"/>
        <v>0</v>
      </c>
      <c r="AP482" s="400">
        <f t="shared" si="219"/>
        <v>0</v>
      </c>
      <c r="AQ482" s="400">
        <f t="shared" si="219"/>
        <v>0</v>
      </c>
      <c r="AR482" s="400">
        <f t="shared" si="219"/>
        <v>0</v>
      </c>
      <c r="AS482" s="400">
        <f t="shared" si="220"/>
        <v>0</v>
      </c>
      <c r="AT482" s="400">
        <f t="shared" si="220"/>
        <v>0</v>
      </c>
      <c r="AU482" s="400">
        <f t="shared" si="220"/>
        <v>0</v>
      </c>
      <c r="AV482" s="400">
        <f t="shared" si="220"/>
        <v>0</v>
      </c>
      <c r="AW482" s="400">
        <f t="shared" si="220"/>
        <v>0</v>
      </c>
      <c r="AX482" s="400">
        <f t="shared" si="220"/>
        <v>0</v>
      </c>
      <c r="AY482" s="400">
        <f t="shared" si="220"/>
        <v>0</v>
      </c>
      <c r="AZ482" s="400">
        <f>SUM(AI482:AY482)</f>
        <v>0</v>
      </c>
    </row>
    <row r="483" spans="16:52" hidden="1">
      <c r="P483" s="207">
        <f t="shared" si="216"/>
        <v>1</v>
      </c>
      <c r="Q483" s="401">
        <f>IF(Q482=0,0,(IF(($C$169+$B$169+$D$169)&lt;=25000,(($D$169/+$AH482)*Q482)*VLOOKUP('1. SUMMARY'!$C$20,rate,Sheet1!T$21,0),((IF(($B$169+$C$169)&gt;=25000,0,(((25000-($B$169+$C$169))/+$AH482)*Q482)*VLOOKUP('1. SUMMARY'!$C$20,rate,Sheet1!T$21,0)))))))</f>
        <v>0</v>
      </c>
      <c r="R483" s="401">
        <f>IF(R482=0,0,(IF(($C$169+$B$169+$D$169)&lt;=25000,(($D$169/+$AH482)*R482)*VLOOKUP('1. SUMMARY'!$C$20,rate,Sheet1!U$21,0),((IF(($B$169+$C$169)&gt;=25000,0,(((25000-($B$169+$C$169))/+$AH482)*R482)*VLOOKUP('1. SUMMARY'!$C$20,rate,Sheet1!U$21,0)))))))</f>
        <v>0</v>
      </c>
      <c r="S483" s="401">
        <f>IF(S482=0,0,(IF(($C$169+$B$169+$D$169)&lt;=25000,(($D$169/+$AH482)*S482)*VLOOKUP('1. SUMMARY'!$C$20,rate,Sheet1!V$21,0),((IF(($B$169+$C$169)&gt;=25000,0,(((25000-($B$169+$C$169))/+$AH482)*S482)*VLOOKUP('1. SUMMARY'!$C$20,rate,Sheet1!V$21,0)))))))</f>
        <v>0</v>
      </c>
      <c r="T483" s="401">
        <f>IF(T482=0,0,(IF(($C$169+$B$169+$D$169)&lt;=25000,(($D$169/+$AH482)*T482)*VLOOKUP('1. SUMMARY'!$C$20,rate,Sheet1!W$21,0),((IF(($B$169+$C$169)&gt;=25000,0,(((25000-($B$169+$C$169))/+$AH482)*T482)*VLOOKUP('1. SUMMARY'!$C$20,rate,Sheet1!W$21,0)))))))</f>
        <v>0</v>
      </c>
      <c r="U483" s="401">
        <f>IF(U482=0,0,(IF(($C$169+$B$169+$D$169)&lt;=25000,(($D$169/+$AH482)*U482)*VLOOKUP('1. SUMMARY'!$C$20,rate,Sheet1!X$21,0),((IF(($B$169+$C$169)&gt;=25000,0,(((25000-($B$169+$C$169))/+$AH482)*U482)*VLOOKUP('1. SUMMARY'!$C$20,rate,Sheet1!X$21,0)))))))</f>
        <v>0</v>
      </c>
      <c r="V483" s="401">
        <f>IF(V482=0,0,(IF(($C$169+$B$169+$D$169)&lt;=25000,(($D$169/+$AH482)*V482)*VLOOKUP('1. SUMMARY'!$C$20,rate,Sheet1!Y$21,0),((IF(($B$169+$C$169)&gt;=25000,0,(((25000-($B$169+$C$169))/+$AH482)*V482)*VLOOKUP('1. SUMMARY'!$C$20,rate,Sheet1!Y$21,0)))))))</f>
        <v>0</v>
      </c>
      <c r="W483" s="401">
        <f>IF(W482=0,0,(IF(($C$169+$B$169+$D$169)&lt;=25000,(($D$169/+$AH482)*W482)*VLOOKUP('1. SUMMARY'!$C$20,rate,Sheet1!Z$21,0),((IF(($B$169+$C$169)&gt;=25000,0,(((25000-($B$169+$C$169))/+$AH482)*W482)*VLOOKUP('1. SUMMARY'!$C$20,rate,Sheet1!Z$21,0)))))))</f>
        <v>0</v>
      </c>
      <c r="X483" s="401">
        <f>IF(X482=0,0,(IF(($C$169+$B$169+$D$169)&lt;=25000,(($D$169/+$AH482)*X482)*VLOOKUP('1. SUMMARY'!$C$20,rate,Sheet1!AA$21,0),((IF(($B$169+$C$169)&gt;=25000,0,(((25000-($B$169+$C$169))/+$AH482)*X482)*VLOOKUP('1. SUMMARY'!$C$20,rate,Sheet1!AA$21,0)))))))</f>
        <v>0</v>
      </c>
      <c r="Y483" s="401">
        <f>IF(Y482=0,0,(IF(($C$169+$B$169+$D$169)&lt;=25000,(($D$169/+$AH482)*Y482)*VLOOKUP('1. SUMMARY'!$C$20,rate,Sheet1!AB$21,0),((IF(($B$169+$C$169)&gt;=25000,0,(((25000-($B$169+$C$169))/+$AH482)*Y482)*VLOOKUP('1. SUMMARY'!$C$20,rate,Sheet1!AB$21,0)))))))</f>
        <v>0</v>
      </c>
      <c r="Z483" s="401">
        <f>IF(Z482=0,0,(IF(($C$169+$B$169+$D$169)&lt;=25000,(($D$169/+$AH482)*Z482)*VLOOKUP('1. SUMMARY'!$C$20,rate,Sheet1!AC$21,0),((IF(($B$169+$C$169)&gt;=25000,0,(((25000-($B$169+$C$169))/+$AH482)*Z482)*VLOOKUP('1. SUMMARY'!$C$20,rate,Sheet1!AC$21,0)))))))</f>
        <v>0</v>
      </c>
      <c r="AA483" s="401">
        <f>IF(AA482=0,0,(IF(($C$169+$B$169+$D$169)&lt;=25000,(($D$169/+$AH482)*AA482)*VLOOKUP('1. SUMMARY'!$C$20,rate,Sheet1!AD$21,0),((IF(($B$169+$C$169)&gt;=25000,0,(((25000-($B$169+$C$169))/+$AH482)*AA482)*VLOOKUP('1. SUMMARY'!$C$20,rate,Sheet1!AD$21,0)))))))</f>
        <v>0</v>
      </c>
      <c r="AB483" s="401">
        <f>IF(AB482=0,0,(IF(($C$169+$B$169+$D$169)&lt;=25000,(($D$169/+$AH482)*AB482)*VLOOKUP('1. SUMMARY'!$C$20,rate,Sheet1!AE$21,0),((IF(($B$169+$C$169)&gt;=25000,0,(((25000-($B$169+$C$169))/+$AH482)*AB482)*VLOOKUP('1. SUMMARY'!$C$20,rate,Sheet1!AE$21,0)))))))</f>
        <v>0</v>
      </c>
      <c r="AC483" s="401">
        <f>IF(AC482=0,0,(IF(($C$169+$B$169+$D$169)&lt;=25000,(($D$169/+$AH482)*AC482)*VLOOKUP('1. SUMMARY'!$C$20,rate,Sheet1!AF$21,0),((IF(($B$169+$C$169)&gt;=25000,0,(((25000-($B$169+$C$169))/+$AH482)*AC482)*VLOOKUP('1. SUMMARY'!$C$20,rate,Sheet1!AF$21,0)))))))</f>
        <v>0</v>
      </c>
      <c r="AD483" s="401">
        <f>IF(AD482=0,0,(IF(($C$169+$B$169+$D$169)&lt;=25000,(($D$169/+$AH482)*AD482)*VLOOKUP('1. SUMMARY'!$C$20,rate,Sheet1!AG$21,0),((IF(($B$169+$C$169)&gt;=25000,0,(((25000-($B$169+$C$169))/+$AH482)*AD482)*VLOOKUP('1. SUMMARY'!$C$20,rate,Sheet1!AG$21,0)))))))</f>
        <v>0</v>
      </c>
      <c r="AE483" s="401">
        <f>IF(AE482=0,0,(IF(($C$169+$B$169+$D$169)&lt;=25000,(($D$169/+$AH482)*AE482)*VLOOKUP('1. SUMMARY'!$C$20,rate,Sheet1!AH$21,0),((IF(($B$169+$C$169)&gt;=25000,0,(((25000-($B$169+$C$169))/+$AH482)*AE482)*VLOOKUP('1. SUMMARY'!$C$20,rate,Sheet1!AH$21,0)))))))</f>
        <v>0</v>
      </c>
      <c r="AF483" s="401">
        <f>IF(AF482=0,0,(IF(($C$169+$B$169+$D$169)&lt;=25000,(($D$169/+$AH482)*AF482)*VLOOKUP('1. SUMMARY'!$C$20,rate,Sheet1!AI$21,0),((IF(($B$169+$C$169)&gt;=25000,0,(((25000-($B$169+$C$169))/+$AH482)*AF482)*VLOOKUP('1. SUMMARY'!$C$20,rate,Sheet1!AI$21,0)))))))</f>
        <v>0</v>
      </c>
      <c r="AG483" s="401">
        <f>IF(AG482=0,0,(IF(($C$169+$B$169+$D$169)&lt;=25000,(($D$169/+$AH482)*AG482)*VLOOKUP('1. SUMMARY'!$C$20,rate,Sheet1!AJ$21,0),((IF(($B$169+$C$169)&gt;=25000,0,(((25000-($B$169+$C$169))/+$AH482)*AG482)*VLOOKUP('1. SUMMARY'!$C$20,rate,Sheet1!AJ$21,0)))))))</f>
        <v>0</v>
      </c>
      <c r="AH483" s="219">
        <f>SUM(Q483:AG483)</f>
        <v>0</v>
      </c>
      <c r="AI483" s="401">
        <f>IF(Q482=0,0,((+$D169/$AZ$17)*AI482)*VLOOKUP('1. SUMMARY'!$C$20,rate,Sheet1!T$21,0))</f>
        <v>0</v>
      </c>
      <c r="AJ483" s="401">
        <f>IF(R482=0,0,((+$D169/$AZ$17)*AJ482)*VLOOKUP('1. SUMMARY'!$C$20,rate,Sheet1!U$21,0))</f>
        <v>0</v>
      </c>
      <c r="AK483" s="401">
        <f>IF(S482=0,0,((+$D169/$AZ$17)*AK482)*VLOOKUP('1. SUMMARY'!$C$20,rate,Sheet1!V$21,0))</f>
        <v>0</v>
      </c>
      <c r="AL483" s="401">
        <f>IF(T482=0,0,((+$D169/$AZ$17)*AL482)*VLOOKUP('1. SUMMARY'!$C$20,rate,Sheet1!W$21,0))</f>
        <v>0</v>
      </c>
      <c r="AM483" s="401">
        <f>IF(U482=0,0,((+$D169/$AZ$17)*AM482)*VLOOKUP('1. SUMMARY'!$C$20,rate,Sheet1!X$21,0))</f>
        <v>0</v>
      </c>
      <c r="AN483" s="401">
        <f>IF(V482=0,0,((+$D169/$AZ$17)*AN482)*VLOOKUP('1. SUMMARY'!$C$20,rate,Sheet1!Y$21,0))</f>
        <v>0</v>
      </c>
      <c r="AO483" s="401">
        <f>IF(W482=0,0,((+$D169/$AZ$17)*AO482)*VLOOKUP('1. SUMMARY'!$C$20,rate,Sheet1!Z$21,0))</f>
        <v>0</v>
      </c>
      <c r="AP483" s="401">
        <f>IF(X482=0,0,((+$D169/$AZ$17)*AP482)*VLOOKUP('1. SUMMARY'!$C$20,rate,Sheet1!AA$21,0))</f>
        <v>0</v>
      </c>
      <c r="AQ483" s="401">
        <f>IF(Y482=0,0,((+$D169/$AZ$17)*AQ482)*VLOOKUP('1. SUMMARY'!$C$20,rate,Sheet1!AB$21,0))</f>
        <v>0</v>
      </c>
      <c r="AR483" s="401">
        <f>IF(Z482=0,0,((+$D169/$AZ$17)*AR482)*VLOOKUP('1. SUMMARY'!$C$20,rate,Sheet1!AC$21,0))</f>
        <v>0</v>
      </c>
      <c r="AS483" s="401">
        <f>IF(AA482=0,0,((+$D169/$AZ$17)*AS482)*VLOOKUP('1. SUMMARY'!$C$20,rate,Sheet1!AD$21,0))</f>
        <v>0</v>
      </c>
      <c r="AT483" s="401">
        <f>IF(AB482=0,0,((+$D169/$AZ$17)*AT482)*VLOOKUP('1. SUMMARY'!$C$20,rate,Sheet1!AE$21,0))</f>
        <v>0</v>
      </c>
      <c r="AU483" s="401">
        <f>IF(AC482=0,0,((+$D169/$AZ$17)*AU482)*VLOOKUP('1. SUMMARY'!$C$20,rate,Sheet1!AF$21,0))</f>
        <v>0</v>
      </c>
      <c r="AV483" s="401">
        <f>IF(AD482=0,0,((+$D169/$AZ$17)*AV482)*VLOOKUP('1. SUMMARY'!$C$20,rate,Sheet1!AG$21,0))</f>
        <v>0</v>
      </c>
      <c r="AW483" s="401">
        <f>IF(AE482=0,0,((+$D169/$AZ$17)*AW482)*VLOOKUP('1. SUMMARY'!$C$20,rate,Sheet1!AH$21,0))</f>
        <v>0</v>
      </c>
      <c r="AX483" s="401">
        <f>IF(AF482=0,0,((+$D169/$AZ$17)*AX482)*VLOOKUP('1. SUMMARY'!$C$20,rate,Sheet1!AI$21,0))</f>
        <v>0</v>
      </c>
      <c r="AY483" s="401">
        <f>IF(AG482=0,0,((+$D169/$AZ$17)*AY482)*VLOOKUP('1. SUMMARY'!$C$20,rate,Sheet1!AJ$21,0))</f>
        <v>0</v>
      </c>
      <c r="AZ483" s="401">
        <f>SUM(AI483:AY483)</f>
        <v>0</v>
      </c>
    </row>
    <row r="484" spans="16:52" hidden="1">
      <c r="P484" s="207">
        <f t="shared" si="216"/>
        <v>1</v>
      </c>
      <c r="Q484" s="401">
        <f>+Q483/VLOOKUP('1. SUMMARY'!$C$20,rate,Sheet1!T$21,0)</f>
        <v>0</v>
      </c>
      <c r="R484" s="401">
        <f>+R483/VLOOKUP('1. SUMMARY'!$C$20,rate,Sheet1!U$21,0)</f>
        <v>0</v>
      </c>
      <c r="S484" s="401">
        <f>+S483/VLOOKUP('1. SUMMARY'!$C$20,rate,Sheet1!V$21,0)</f>
        <v>0</v>
      </c>
      <c r="T484" s="401">
        <f>+T483/VLOOKUP('1. SUMMARY'!$C$20,rate,Sheet1!W$21,0)</f>
        <v>0</v>
      </c>
      <c r="U484" s="401">
        <f>+U483/VLOOKUP('1. SUMMARY'!$C$20,rate,Sheet1!X$21,0)</f>
        <v>0</v>
      </c>
      <c r="V484" s="401">
        <f>+V483/VLOOKUP('1. SUMMARY'!$C$20,rate,Sheet1!Y$21,0)</f>
        <v>0</v>
      </c>
      <c r="W484" s="401">
        <f>+W483/VLOOKUP('1. SUMMARY'!$C$20,rate,Sheet1!Z$21,0)</f>
        <v>0</v>
      </c>
      <c r="X484" s="401">
        <f>+X483/VLOOKUP('1. SUMMARY'!$C$20,rate,Sheet1!AA$21,0)</f>
        <v>0</v>
      </c>
      <c r="Y484" s="401">
        <f>+Y483/VLOOKUP('1. SUMMARY'!$C$20,rate,Sheet1!AB$21,0)</f>
        <v>0</v>
      </c>
      <c r="Z484" s="401">
        <f>+Z483/VLOOKUP('1. SUMMARY'!$C$20,rate,Sheet1!AC$21,0)</f>
        <v>0</v>
      </c>
      <c r="AA484" s="401">
        <f>+AA483/VLOOKUP('1. SUMMARY'!$C$20,rate,Sheet1!AD$21,0)</f>
        <v>0</v>
      </c>
      <c r="AB484" s="401">
        <f>+AB483/VLOOKUP('1. SUMMARY'!$C$20,rate,Sheet1!AE$21,0)</f>
        <v>0</v>
      </c>
      <c r="AC484" s="401">
        <f>+AC483/VLOOKUP('1. SUMMARY'!$C$20,rate,Sheet1!AF$21,0)</f>
        <v>0</v>
      </c>
      <c r="AD484" s="401">
        <f>+AD483/VLOOKUP('1. SUMMARY'!$C$20,rate,Sheet1!AG$21,0)</f>
        <v>0</v>
      </c>
      <c r="AE484" s="401">
        <f>+AE483/VLOOKUP('1. SUMMARY'!$C$20,rate,Sheet1!AH$21,0)</f>
        <v>0</v>
      </c>
      <c r="AF484" s="401">
        <f>+AF483/VLOOKUP('1. SUMMARY'!$C$20,rate,Sheet1!AI$21,0)</f>
        <v>0</v>
      </c>
      <c r="AG484" s="401">
        <f>+AG483/VLOOKUP('1. SUMMARY'!$C$20,rate,Sheet1!AJ$21,0)</f>
        <v>0</v>
      </c>
      <c r="AH484" s="219"/>
      <c r="AI484" s="401">
        <v>0</v>
      </c>
      <c r="AJ484" s="401">
        <v>0</v>
      </c>
      <c r="AK484" s="401">
        <v>0</v>
      </c>
      <c r="AL484" s="401">
        <v>0</v>
      </c>
      <c r="AM484" s="401">
        <v>0</v>
      </c>
      <c r="AN484" s="401">
        <v>0</v>
      </c>
      <c r="AO484" s="401">
        <v>0</v>
      </c>
      <c r="AP484" s="401">
        <v>0</v>
      </c>
      <c r="AQ484" s="401"/>
      <c r="AR484" s="401"/>
      <c r="AS484" s="401"/>
      <c r="AT484" s="401"/>
      <c r="AU484" s="401"/>
      <c r="AV484" s="401"/>
      <c r="AW484" s="401"/>
      <c r="AX484" s="401"/>
      <c r="AY484" s="401"/>
      <c r="AZ484" s="401"/>
    </row>
    <row r="485" spans="16:52" hidden="1">
      <c r="P485" s="207">
        <f t="shared" si="216"/>
        <v>1</v>
      </c>
      <c r="Q485" s="405">
        <f>Sheet1!$T$8</f>
        <v>44105</v>
      </c>
      <c r="R485" s="405">
        <f>Sheet1!$U$8</f>
        <v>44470</v>
      </c>
      <c r="S485" s="405">
        <f>Sheet1!$V$8</f>
        <v>44835</v>
      </c>
      <c r="T485" s="405">
        <f>Sheet1!$W$8</f>
        <v>45200</v>
      </c>
      <c r="U485" s="405">
        <f>Sheet1!$X$8</f>
        <v>45566</v>
      </c>
      <c r="V485" s="405">
        <f>Sheet1!$Y$8</f>
        <v>45931</v>
      </c>
      <c r="W485" s="405">
        <f>Sheet1!$Z$8</f>
        <v>46296</v>
      </c>
      <c r="X485" s="405">
        <f>Sheet1!$AA$8</f>
        <v>46661</v>
      </c>
      <c r="Y485" s="405">
        <f>Sheet1!$AB$8</f>
        <v>47027</v>
      </c>
      <c r="Z485" s="405">
        <f>Sheet1!$AC$8</f>
        <v>47392</v>
      </c>
      <c r="AA485" s="405">
        <f>$AA$5</f>
        <v>47757</v>
      </c>
      <c r="AB485" s="405">
        <f>$AB$5</f>
        <v>48122</v>
      </c>
      <c r="AC485" s="405">
        <f>$AC$5</f>
        <v>48488</v>
      </c>
      <c r="AD485" s="405">
        <f>$AD$5</f>
        <v>48853</v>
      </c>
      <c r="AE485" s="405">
        <f>$AE$5</f>
        <v>49218</v>
      </c>
      <c r="AF485" s="405">
        <f>$AF$5</f>
        <v>49583</v>
      </c>
      <c r="AG485" s="405">
        <f>$AG$5</f>
        <v>49949</v>
      </c>
      <c r="AH485" s="211"/>
      <c r="AI485" s="405">
        <f t="shared" ref="AI485:AR487" si="221">+Q485</f>
        <v>44105</v>
      </c>
      <c r="AJ485" s="405">
        <f t="shared" si="221"/>
        <v>44470</v>
      </c>
      <c r="AK485" s="405">
        <f t="shared" si="221"/>
        <v>44835</v>
      </c>
      <c r="AL485" s="405">
        <f t="shared" si="221"/>
        <v>45200</v>
      </c>
      <c r="AM485" s="405">
        <f t="shared" si="221"/>
        <v>45566</v>
      </c>
      <c r="AN485" s="405">
        <f t="shared" si="221"/>
        <v>45931</v>
      </c>
      <c r="AO485" s="405">
        <f t="shared" si="221"/>
        <v>46296</v>
      </c>
      <c r="AP485" s="405">
        <f t="shared" si="221"/>
        <v>46661</v>
      </c>
      <c r="AQ485" s="405">
        <f t="shared" si="221"/>
        <v>47027</v>
      </c>
      <c r="AR485" s="405">
        <f t="shared" si="221"/>
        <v>47392</v>
      </c>
      <c r="AS485" s="405">
        <f t="shared" ref="AS485:AY487" si="222">+AA485</f>
        <v>47757</v>
      </c>
      <c r="AT485" s="405">
        <f t="shared" si="222"/>
        <v>48122</v>
      </c>
      <c r="AU485" s="405">
        <f t="shared" si="222"/>
        <v>48488</v>
      </c>
      <c r="AV485" s="405">
        <f t="shared" si="222"/>
        <v>48853</v>
      </c>
      <c r="AW485" s="405">
        <f t="shared" si="222"/>
        <v>49218</v>
      </c>
      <c r="AX485" s="405">
        <f t="shared" si="222"/>
        <v>49583</v>
      </c>
      <c r="AY485" s="405">
        <f t="shared" si="222"/>
        <v>49949</v>
      </c>
      <c r="AZ485" s="405"/>
    </row>
    <row r="486" spans="16:52" hidden="1">
      <c r="P486" s="207">
        <f t="shared" si="216"/>
        <v>1</v>
      </c>
      <c r="Q486" s="405">
        <f>Sheet1!$T$9</f>
        <v>44469</v>
      </c>
      <c r="R486" s="405">
        <f>Sheet1!$U$9</f>
        <v>44834</v>
      </c>
      <c r="S486" s="405">
        <f>Sheet1!$V$9</f>
        <v>45199</v>
      </c>
      <c r="T486" s="405">
        <f>Sheet1!$W$9</f>
        <v>45565</v>
      </c>
      <c r="U486" s="405">
        <f>Sheet1!$X$9</f>
        <v>45930</v>
      </c>
      <c r="V486" s="405">
        <f>Sheet1!$Y$9</f>
        <v>46295</v>
      </c>
      <c r="W486" s="405">
        <f>Sheet1!$Z$9</f>
        <v>46660</v>
      </c>
      <c r="X486" s="405">
        <f>Sheet1!$AA$9</f>
        <v>47026</v>
      </c>
      <c r="Y486" s="405">
        <f>Sheet1!$AB$9</f>
        <v>47391</v>
      </c>
      <c r="Z486" s="405">
        <f>Sheet1!$AC$9</f>
        <v>47756</v>
      </c>
      <c r="AA486" s="405">
        <f>$AA$6</f>
        <v>48121</v>
      </c>
      <c r="AB486" s="405">
        <f>$AB$6</f>
        <v>48487</v>
      </c>
      <c r="AC486" s="405">
        <f>$AC$6</f>
        <v>48852</v>
      </c>
      <c r="AD486" s="405">
        <f>$AD$6</f>
        <v>49217</v>
      </c>
      <c r="AE486" s="405">
        <f>$AE$6</f>
        <v>49582</v>
      </c>
      <c r="AF486" s="405">
        <f>$AF$6</f>
        <v>49948</v>
      </c>
      <c r="AG486" s="405">
        <f>$AG$6</f>
        <v>50313</v>
      </c>
      <c r="AH486" s="211"/>
      <c r="AI486" s="405">
        <f t="shared" si="221"/>
        <v>44469</v>
      </c>
      <c r="AJ486" s="405">
        <f t="shared" si="221"/>
        <v>44834</v>
      </c>
      <c r="AK486" s="405">
        <f t="shared" si="221"/>
        <v>45199</v>
      </c>
      <c r="AL486" s="405">
        <f t="shared" si="221"/>
        <v>45565</v>
      </c>
      <c r="AM486" s="405">
        <f t="shared" si="221"/>
        <v>45930</v>
      </c>
      <c r="AN486" s="405">
        <f t="shared" si="221"/>
        <v>46295</v>
      </c>
      <c r="AO486" s="405">
        <f t="shared" si="221"/>
        <v>46660</v>
      </c>
      <c r="AP486" s="405">
        <f t="shared" si="221"/>
        <v>47026</v>
      </c>
      <c r="AQ486" s="405">
        <f t="shared" si="221"/>
        <v>47391</v>
      </c>
      <c r="AR486" s="405">
        <f t="shared" si="221"/>
        <v>47756</v>
      </c>
      <c r="AS486" s="405">
        <f t="shared" si="222"/>
        <v>48121</v>
      </c>
      <c r="AT486" s="405">
        <f t="shared" si="222"/>
        <v>48487</v>
      </c>
      <c r="AU486" s="405">
        <f t="shared" si="222"/>
        <v>48852</v>
      </c>
      <c r="AV486" s="405">
        <f t="shared" si="222"/>
        <v>49217</v>
      </c>
      <c r="AW486" s="405">
        <f t="shared" si="222"/>
        <v>49582</v>
      </c>
      <c r="AX486" s="405">
        <f t="shared" si="222"/>
        <v>49948</v>
      </c>
      <c r="AY486" s="405">
        <f t="shared" si="222"/>
        <v>50313</v>
      </c>
      <c r="AZ486" s="405"/>
    </row>
    <row r="487" spans="16:52" hidden="1">
      <c r="P487" s="207">
        <f t="shared" si="216"/>
        <v>1</v>
      </c>
      <c r="Q487" s="406">
        <f>IF(IF(Q486&lt;$E$27,0,DATEDIF($E$27,Q486+1,"m"))&lt;0,0,IF(Q486&lt;$E$27,0,DATEDIF($E$27,Q486+1,"m")))</f>
        <v>0</v>
      </c>
      <c r="R487" s="406">
        <f>IF(IF(Q487=12,0,IF(R486&gt;$E$28,12-DATEDIF($E$28,R486+1,"m"),IF(R486&lt;$E$27,0,DATEDIF($E$27,R486+1,"m"))))&lt;0,0,IF(Q487=12,0,IF(R486&gt;$E$28,12-DATEDIF($E$28,R486+1,"m"),IF(R486&lt;$E$27,0,DATEDIF($E$27,R486+1,"m")))))</f>
        <v>0</v>
      </c>
      <c r="S487" s="406">
        <f>IF(IF(Q487+R487=12,0,IF(S486&gt;$E$28,12-DATEDIF($E$28,S486+1,"m"),IF(S486&lt;$E$27,0,DATEDIF($E$27,S486+1,"m"))))&lt;0,0,IF(Q487+R487=12,0,IF(S486&gt;$E$28,12-DATEDIF($E$28,S486+1,"m"),IF(S486&lt;$E$27,0,DATEDIF($E$27,S486+1,"m")))))</f>
        <v>0</v>
      </c>
      <c r="T487" s="406">
        <f>IF(IF(R487+S487+Q487=12,0,IF(T486&gt;$E$28,12-DATEDIF($E$28,T486+1,"m"),IF(T486&lt;$E$27,0,DATEDIF($E$27,T486+1,"m"))))&lt;0,0,IF(R487+S487+Q487=12,0,IF(T486&gt;$E$28,12-DATEDIF($E$28,T486+1,"m"),IF(T486&lt;$E$27,0,DATEDIF($E$27,T486+1,"m")))))</f>
        <v>0</v>
      </c>
      <c r="U487" s="406">
        <f>IF(IF(S487+T487+R487+Q487=12,0,IF(U486&gt;$E$28,12-DATEDIF($E$28,U486+1,"m"),IF(U486&lt;$E$27,0,DATEDIF($E$27,U486+1,"m"))))&lt;0,0,IF(S487+T487+R487+Q487=12,0,IF(U486&gt;$E$28,12-DATEDIF($E$28,U486+1,"m"),IF(U486&lt;$E$27,0,DATEDIF($E$27,U486+1,"m")))))</f>
        <v>0</v>
      </c>
      <c r="V487" s="406">
        <f>IF(IF(T487+U487+S487+R487+Q487=12,0,IF(V486&gt;$E$28,12-DATEDIF($E$28,V486+1,"m"),IF(V486&lt;$E$27,0,DATEDIF($E$27,V486+1,"m"))))&lt;0,0,IF(T487+U487+S487+R487+Q487=12,0,IF(V486&gt;$E$28,12-DATEDIF($E$28,V486+1,"m"),IF(V486&lt;$E$27,0,DATEDIF($E$27,V486+1,"m")))))</f>
        <v>0</v>
      </c>
      <c r="W487" s="406">
        <f>IF(IF(U487+V487+T487+S487+R487+Q487=12,0,IF(W486&gt;$E$28,12-DATEDIF($E$28,W486+1,"m"),IF(W486&lt;$E$27,0,DATEDIF($E$27,W486+1,"m"))))&lt;0,0,IF(U487+V487+T487+S487+R487+Q487=12,0,IF(W486&gt;$E$28,12-DATEDIF($E$28,W486+1,"m"),IF(W486&lt;$E$27,0,DATEDIF($E$27,W486+1,"m")))))</f>
        <v>0</v>
      </c>
      <c r="X487" s="406">
        <f>IF(IF(V487+W487+U487+T487+S487+R487+Q487=12,0,IF(X486&gt;$E$28,12-DATEDIF($E$28,X486+1,"m"),IF(X486&lt;$E$27,0,DATEDIF($E$27,X486+1,"m"))))&lt;0,0,IF(V487+W487+U487+T487+S487+R487+Q487=12,0,IF(X486&gt;$E$28,12-DATEDIF($E$28,X486+1,"m"),IF(X486&lt;$E$27,0,DATEDIF($E$27,X486+1,"m")))))</f>
        <v>0</v>
      </c>
      <c r="Y487" s="406">
        <f>IF(IF(Q487+W487+X487+V487+U487+T487+S487+R487=12,0,IF(Y486&gt;F306,12-DATEDIF(F306,Y486+1,"m"),IF(Y486&lt;F305,0,DATEDIF(F305,Y486+1,"m"))))&lt;0,0,IF(Q487+W487+X487+V487+U487+T487+S487+R487=12,0,IF(Y486&gt;F306,12-DATEDIF(F306,Y486+1,"m"),IF(Y486&lt;F305,0,DATEDIF(F305,Y486+1,"m")))))</f>
        <v>0</v>
      </c>
      <c r="Z487" s="406">
        <f>IF(IF(Q487+R487+X487+Y487+W487+V487+U487+T487+S487=12,0,IF(Z486&gt;G306,12-DATEDIF(G306,Z486+1,"m"),IF(Z486&lt;G305,0,DATEDIF(G305,Z486+1,"m"))))&lt;0,0,IF(Q487+R487+X487+Y487+W487+V487+U487+T487+S487=12,0,IF(Z486&gt;G306,12-DATEDIF(G306,Z486+1,"m"),IF(Z486&lt;G305,0,DATEDIF(G305,Z486+1,"m")))))</f>
        <v>0</v>
      </c>
      <c r="AA487" s="406"/>
      <c r="AB487" s="406"/>
      <c r="AC487" s="406"/>
      <c r="AD487" s="406"/>
      <c r="AE487" s="406"/>
      <c r="AF487" s="406"/>
      <c r="AG487" s="406"/>
      <c r="AH487" s="423">
        <f>SUM(Q487:AG487)</f>
        <v>0</v>
      </c>
      <c r="AI487" s="406">
        <f t="shared" si="221"/>
        <v>0</v>
      </c>
      <c r="AJ487" s="406">
        <f t="shared" si="221"/>
        <v>0</v>
      </c>
      <c r="AK487" s="406">
        <f t="shared" si="221"/>
        <v>0</v>
      </c>
      <c r="AL487" s="406">
        <f t="shared" si="221"/>
        <v>0</v>
      </c>
      <c r="AM487" s="406">
        <f t="shared" si="221"/>
        <v>0</v>
      </c>
      <c r="AN487" s="406">
        <f t="shared" si="221"/>
        <v>0</v>
      </c>
      <c r="AO487" s="406">
        <f t="shared" si="221"/>
        <v>0</v>
      </c>
      <c r="AP487" s="406">
        <f t="shared" si="221"/>
        <v>0</v>
      </c>
      <c r="AQ487" s="406">
        <f t="shared" si="221"/>
        <v>0</v>
      </c>
      <c r="AR487" s="406">
        <f t="shared" si="221"/>
        <v>0</v>
      </c>
      <c r="AS487" s="406">
        <f t="shared" si="222"/>
        <v>0</v>
      </c>
      <c r="AT487" s="406">
        <f t="shared" si="222"/>
        <v>0</v>
      </c>
      <c r="AU487" s="406">
        <f t="shared" si="222"/>
        <v>0</v>
      </c>
      <c r="AV487" s="406">
        <f t="shared" si="222"/>
        <v>0</v>
      </c>
      <c r="AW487" s="406">
        <f t="shared" si="222"/>
        <v>0</v>
      </c>
      <c r="AX487" s="406">
        <f t="shared" si="222"/>
        <v>0</v>
      </c>
      <c r="AY487" s="406">
        <f t="shared" si="222"/>
        <v>0</v>
      </c>
      <c r="AZ487" s="406">
        <f>SUM(AI487:AY487)</f>
        <v>0</v>
      </c>
    </row>
    <row r="488" spans="16:52" hidden="1">
      <c r="P488" s="207">
        <f t="shared" si="216"/>
        <v>1</v>
      </c>
      <c r="Q488" s="407">
        <f>IF(Q487=0,0,(IF(($C$169+$B$169+$D$169+$E$169)&lt;=25000,(($E$169/+$AH487)*Q487)*VLOOKUP('1. SUMMARY'!$C$20,rate,Sheet1!T$21,0),((IF(($B$169+$C$169+$D$169)&gt;=25000,0,(((25000-($B$169+$C$169+$D$169))/+$AH487)*Q487)*(VLOOKUP('1. SUMMARY'!$C$20,rate,Sheet1!T$21,0))))))))</f>
        <v>0</v>
      </c>
      <c r="R488" s="407">
        <f>IF(R487=0,0,(IF(($C$169+$B$169+$D$169+$E$169)&lt;=25000,(($E$169/+$AH487)*R487)*VLOOKUP('1. SUMMARY'!$C$20,rate,Sheet1!U$21,0),((IF(($B$169+$C$169+$D$169)&gt;=25000,0,(((25000-($B$169+$C$169+$D$169))/+$AH487)*R487)*(VLOOKUP('1. SUMMARY'!$C$20,rate,Sheet1!U$21,0))))))))</f>
        <v>0</v>
      </c>
      <c r="S488" s="407">
        <f>IF(S487=0,0,(IF(($C$169+$B$169+$D$169+$E$169)&lt;=25000,(($E$169/+$AH487)*S487)*VLOOKUP('1. SUMMARY'!$C$20,rate,Sheet1!V$21,0),((IF(($B$169+$C$169+$D$169)&gt;=25000,0,(((25000-($B$169+$C$169+$D$169))/+$AH487)*S487)*(VLOOKUP('1. SUMMARY'!$C$20,rate,Sheet1!V$21,0))))))))</f>
        <v>0</v>
      </c>
      <c r="T488" s="407">
        <f>IF(T487=0,0,(IF(($C$169+$B$169+$D$169+$E$169)&lt;=25000,(($E$169/+$AH487)*T487)*VLOOKUP('1. SUMMARY'!$C$20,rate,Sheet1!W$21,0),((IF(($B$169+$C$169+$D$169)&gt;=25000,0,(((25000-($B$169+$C$169+$D$169))/+$AH487)*T487)*(VLOOKUP('1. SUMMARY'!$C$20,rate,Sheet1!W$21,0))))))))</f>
        <v>0</v>
      </c>
      <c r="U488" s="407">
        <f>IF(U487=0,0,(IF(($C$169+$B$169+$D$169+$E$169)&lt;=25000,(($E$169/+$AH487)*U487)*VLOOKUP('1. SUMMARY'!$C$20,rate,Sheet1!X$21,0),((IF(($B$169+$C$169+$D$169)&gt;=25000,0,(((25000-($B$169+$C$169+$D$169))/+$AH487)*U487)*(VLOOKUP('1. SUMMARY'!$C$20,rate,Sheet1!X$21,0))))))))</f>
        <v>0</v>
      </c>
      <c r="V488" s="407">
        <f>IF(V487=0,0,(IF(($C$169+$B$169+$D$169+$E$169)&lt;=25000,(($E$169/+$AH487)*V487)*VLOOKUP('1. SUMMARY'!$C$20,rate,Sheet1!Y$21,0),((IF(($B$169+$C$169+$D$169)&gt;=25000,0,(((25000-($B$169+$C$169+$D$169))/+$AH487)*V487)*(VLOOKUP('1. SUMMARY'!$C$20,rate,Sheet1!Y$21,0))))))))</f>
        <v>0</v>
      </c>
      <c r="W488" s="407">
        <f>IF(W487=0,0,(IF(($C$169+$B$169+$D$169+$E$169)&lt;=25000,(($E$169/+$AH487)*W487)*VLOOKUP('1. SUMMARY'!$C$20,rate,Sheet1!Z$21,0),((IF(($B$169+$C$169+$D$169)&gt;=25000,0,(((25000-($B$169+$C$169+$D$169))/+$AH487)*W487)*(VLOOKUP('1. SUMMARY'!$C$20,rate,Sheet1!Z$21,0))))))))</f>
        <v>0</v>
      </c>
      <c r="X488" s="407">
        <f>IF(X487=0,0,(IF(($C$169+$B$169+$D$169+$E$169)&lt;=25000,(($E$169/+$AH487)*X487)*VLOOKUP('1. SUMMARY'!$C$20,rate,Sheet1!AA$21,0),((IF(($B$169+$C$169+$D$169)&gt;=25000,0,(((25000-($B$169+$C$169+$D$169))/+$AH487)*X487)*(VLOOKUP('1. SUMMARY'!$C$20,rate,Sheet1!AA$21,0))))))))</f>
        <v>0</v>
      </c>
      <c r="Y488" s="407">
        <f>IF(Y487=0,0,(IF(($C$169+$B$169+$D$169+$E$169)&lt;=25000,(($E$169/+$AH487)*Y487)*VLOOKUP('1. SUMMARY'!$C$20,rate,Sheet1!AB$21,0),((IF(($B$169+$C$169+$D$169)&gt;=25000,0,(((25000-($B$169+$C$169+$D$169))/+$AH487)*Y487)*(VLOOKUP('1. SUMMARY'!$C$20,rate,Sheet1!AB$21,0))))))))</f>
        <v>0</v>
      </c>
      <c r="Z488" s="407">
        <f>IF(Z487=0,0,(IF(($C$169+$B$169+$D$169+$E$169)&lt;=25000,(($E$169/+$AH487)*Z487)*VLOOKUP('1. SUMMARY'!$C$20,rate,Sheet1!AC$21,0),((IF(($B$169+$C$169+$D$169)&gt;=25000,0,(((25000-($B$169+$C$169+$D$169))/+$AH487)*Z487)*(VLOOKUP('1. SUMMARY'!$C$20,rate,Sheet1!AC$21,0))))))))</f>
        <v>0</v>
      </c>
      <c r="AA488" s="407">
        <f>IF(AA487=0,0,(IF(($C$169+$B$169+$D$169+$E$169)&lt;=25000,(($E$169/+$AH487)*AA487)*VLOOKUP('1. SUMMARY'!$C$20,rate,Sheet1!AD$21,0),((IF(($B$169+$C$169+$D$169)&gt;=25000,0,(((25000-($B$169+$C$169+$D$169))/+$AH487)*AA487)*(VLOOKUP('1. SUMMARY'!$C$20,rate,Sheet1!AD$21,0))))))))</f>
        <v>0</v>
      </c>
      <c r="AB488" s="407">
        <f>IF(AB487=0,0,(IF(($C$169+$B$169+$D$169+$E$169)&lt;=25000,(($E$169/+$AH487)*AB487)*VLOOKUP('1. SUMMARY'!$C$20,rate,Sheet1!AE$21,0),((IF(($B$169+$C$169+$D$169)&gt;=25000,0,(((25000-($B$169+$C$169+$D$169))/+$AH487)*AB487)*(VLOOKUP('1. SUMMARY'!$C$20,rate,Sheet1!AE$21,0))))))))</f>
        <v>0</v>
      </c>
      <c r="AC488" s="407">
        <f>IF(AC487=0,0,(IF(($C$169+$B$169+$D$169+$E$169)&lt;=25000,(($E$169/+$AH487)*AC487)*VLOOKUP('1. SUMMARY'!$C$20,rate,Sheet1!AF$21,0),((IF(($B$169+$C$169+$D$169)&gt;=25000,0,(((25000-($B$169+$C$169+$D$169))/+$AH487)*AC487)*(VLOOKUP('1. SUMMARY'!$C$20,rate,Sheet1!AF$21,0))))))))</f>
        <v>0</v>
      </c>
      <c r="AD488" s="407">
        <f>IF(AD487=0,0,(IF(($C$169+$B$169+$D$169+$E$169)&lt;=25000,(($E$169/+$AH487)*AD487)*VLOOKUP('1. SUMMARY'!$C$20,rate,Sheet1!AG$21,0),((IF(($B$169+$C$169+$D$169)&gt;=25000,0,(((25000-($B$169+$C$169+$D$169))/+$AH487)*AD487)*(VLOOKUP('1. SUMMARY'!$C$20,rate,Sheet1!AG$21,0))))))))</f>
        <v>0</v>
      </c>
      <c r="AE488" s="407">
        <f>IF(AE487=0,0,(IF(($C$169+$B$169+$D$169+$E$169)&lt;=25000,(($E$169/+$AH487)*AE487)*VLOOKUP('1. SUMMARY'!$C$20,rate,Sheet1!AH$21,0),((IF(($B$169+$C$169+$D$169)&gt;=25000,0,(((25000-($B$169+$C$169+$D$169))/+$AH487)*AE487)*(VLOOKUP('1. SUMMARY'!$C$20,rate,Sheet1!AH$21,0))))))))</f>
        <v>0</v>
      </c>
      <c r="AF488" s="407">
        <f>IF(AF487=0,0,(IF(($C$169+$B$169+$D$169+$E$169)&lt;=25000,(($E$169/+$AH487)*AF487)*VLOOKUP('1. SUMMARY'!$C$20,rate,Sheet1!AI$21,0),((IF(($B$169+$C$169+$D$169)&gt;=25000,0,(((25000-($B$169+$C$169+$D$169))/+$AH487)*AF487)*(VLOOKUP('1. SUMMARY'!$C$20,rate,Sheet1!AI$21,0))))))))</f>
        <v>0</v>
      </c>
      <c r="AG488" s="407">
        <f>IF(AG487=0,0,(IF(($C$169+$B$169+$D$169+$E$169)&lt;=25000,(($E$169/+$AH487)*AG487)*VLOOKUP('1. SUMMARY'!$C$20,rate,Sheet1!AJ$21,0),((IF(($B$169+$C$169+$D$169)&gt;=25000,0,(((25000-($B$169+$C$169+$D$169))/+$AH487)*AG487)*(VLOOKUP('1. SUMMARY'!$C$20,rate,Sheet1!AJ$21,0))))))))</f>
        <v>0</v>
      </c>
      <c r="AH488" s="219">
        <f>SUM(Q488:AG488)</f>
        <v>0</v>
      </c>
      <c r="AI488" s="407">
        <f>IF(AI487=0,0,((+$E169/$AZ$22)*AI487)*VLOOKUP('1. SUMMARY'!$C$20,rate,Sheet1!T$21,0))</f>
        <v>0</v>
      </c>
      <c r="AJ488" s="407">
        <f>IF(AJ487=0,0,((+$E169/$AZ$22)*AJ487)*VLOOKUP('1. SUMMARY'!$C$20,rate,Sheet1!U$21,0))</f>
        <v>0</v>
      </c>
      <c r="AK488" s="407">
        <f>IF(AK487=0,0,((+$E169/$AZ$22)*AK487)*VLOOKUP('1. SUMMARY'!$C$20,rate,Sheet1!V$21,0))</f>
        <v>0</v>
      </c>
      <c r="AL488" s="407">
        <f>IF(AL487=0,0,((+$E169/$AZ$22)*AL487)*VLOOKUP('1. SUMMARY'!$C$20,rate,Sheet1!W$21,0))</f>
        <v>0</v>
      </c>
      <c r="AM488" s="407">
        <f>IF(AM487=0,0,((+$E169/$AZ$22)*AM487)*VLOOKUP('1. SUMMARY'!$C$20,rate,Sheet1!X$21,0))</f>
        <v>0</v>
      </c>
      <c r="AN488" s="407">
        <f>IF(AN487=0,0,((+$E169/$AZ$22)*AN487)*VLOOKUP('1. SUMMARY'!$C$20,rate,Sheet1!Y$21,0))</f>
        <v>0</v>
      </c>
      <c r="AO488" s="407">
        <f>IF(AO487=0,0,((+$E169/$AZ$22)*AO487)*VLOOKUP('1. SUMMARY'!$C$20,rate,Sheet1!Z$21,0))</f>
        <v>0</v>
      </c>
      <c r="AP488" s="407">
        <f>IF(AP487=0,0,((+$E169/$AZ$22)*AP487)*VLOOKUP('1. SUMMARY'!$C$20,rate,Sheet1!AA$21,0))</f>
        <v>0</v>
      </c>
      <c r="AQ488" s="407">
        <f>IF(AQ487=0,0,((+$E169/$AZ$22)*AQ487)*VLOOKUP('1. SUMMARY'!$C$20,rate,Sheet1!AB$21,0))</f>
        <v>0</v>
      </c>
      <c r="AR488" s="407">
        <f>IF(AR487=0,0,((+$E169/$AZ$22)*AR487)*VLOOKUP('1. SUMMARY'!$C$20,rate,Sheet1!AC$21,0))</f>
        <v>0</v>
      </c>
      <c r="AS488" s="407">
        <f>IF(AS487=0,0,((+$E169/$AZ$22)*AS487)*VLOOKUP('1. SUMMARY'!$C$20,rate,Sheet1!AD$21,0))</f>
        <v>0</v>
      </c>
      <c r="AT488" s="407">
        <f>IF(AT487=0,0,((+$E169/$AZ$22)*AT487)*VLOOKUP('1. SUMMARY'!$C$20,rate,Sheet1!AE$21,0))</f>
        <v>0</v>
      </c>
      <c r="AU488" s="407">
        <f>IF(AU487=0,0,((+$E169/$AZ$22)*AU487)*VLOOKUP('1. SUMMARY'!$C$20,rate,Sheet1!AF$21,0))</f>
        <v>0</v>
      </c>
      <c r="AV488" s="407">
        <f>IF(AV487=0,0,((+$E169/$AZ$22)*AV487)*VLOOKUP('1. SUMMARY'!$C$20,rate,Sheet1!AG$21,0))</f>
        <v>0</v>
      </c>
      <c r="AW488" s="407">
        <f>IF(AW487=0,0,((+$E169/$AZ$22)*AW487)*VLOOKUP('1. SUMMARY'!$C$20,rate,Sheet1!AH$21,0))</f>
        <v>0</v>
      </c>
      <c r="AX488" s="407">
        <f>IF(AX487=0,0,((+$E169/$AZ$22)*AX487)*VLOOKUP('1. SUMMARY'!$C$20,rate,Sheet1!AI$21,0))</f>
        <v>0</v>
      </c>
      <c r="AY488" s="407">
        <f>IF(AY487=0,0,((+$E169/$AZ$22)*AY487)*VLOOKUP('1. SUMMARY'!$C$20,rate,Sheet1!AJ$21,0))</f>
        <v>0</v>
      </c>
      <c r="AZ488" s="407">
        <f>SUM(AI488:AY488)</f>
        <v>0</v>
      </c>
    </row>
    <row r="489" spans="16:52" hidden="1">
      <c r="P489" s="207">
        <f t="shared" si="216"/>
        <v>1</v>
      </c>
      <c r="Q489" s="407">
        <f>+Q488/VLOOKUP('1. SUMMARY'!$C$20,rate,Sheet1!T$21,0)</f>
        <v>0</v>
      </c>
      <c r="R489" s="407">
        <f>+R488/VLOOKUP('1. SUMMARY'!$C$20,rate,Sheet1!U$21,0)</f>
        <v>0</v>
      </c>
      <c r="S489" s="407">
        <f>+S488/VLOOKUP('1. SUMMARY'!$C$20,rate,Sheet1!V$21,0)</f>
        <v>0</v>
      </c>
      <c r="T489" s="407">
        <f>+T488/VLOOKUP('1. SUMMARY'!$C$20,rate,Sheet1!W$21,0)</f>
        <v>0</v>
      </c>
      <c r="U489" s="407">
        <f>+U488/VLOOKUP('1. SUMMARY'!$C$20,rate,Sheet1!X$21,0)</f>
        <v>0</v>
      </c>
      <c r="V489" s="407">
        <f>+V488/VLOOKUP('1. SUMMARY'!$C$20,rate,Sheet1!Y$21,0)</f>
        <v>0</v>
      </c>
      <c r="W489" s="407">
        <f>+W488/VLOOKUP('1. SUMMARY'!$C$20,rate,Sheet1!Z$21,0)</f>
        <v>0</v>
      </c>
      <c r="X489" s="407">
        <f>+X488/VLOOKUP('1. SUMMARY'!$C$20,rate,Sheet1!AA$21,0)</f>
        <v>0</v>
      </c>
      <c r="Y489" s="407">
        <f>+Y488/VLOOKUP('1. SUMMARY'!$C$20,rate,Sheet1!AB$21,0)</f>
        <v>0</v>
      </c>
      <c r="Z489" s="407">
        <f>+Z488/VLOOKUP('1. SUMMARY'!$C$20,rate,Sheet1!AC$21,0)</f>
        <v>0</v>
      </c>
      <c r="AA489" s="407">
        <f>+AA488/VLOOKUP('1. SUMMARY'!$C$20,rate,Sheet1!AD$21,0)</f>
        <v>0</v>
      </c>
      <c r="AB489" s="407">
        <f>+AB488/VLOOKUP('1. SUMMARY'!$C$20,rate,Sheet1!AE$21,0)</f>
        <v>0</v>
      </c>
      <c r="AC489" s="407">
        <f>+AC488/VLOOKUP('1. SUMMARY'!$C$20,rate,Sheet1!AF$21,0)</f>
        <v>0</v>
      </c>
      <c r="AD489" s="407">
        <f>+AD488/VLOOKUP('1. SUMMARY'!$C$20,rate,Sheet1!AG$21,0)</f>
        <v>0</v>
      </c>
      <c r="AE489" s="407">
        <f>+AE488/VLOOKUP('1. SUMMARY'!$C$20,rate,Sheet1!AH$21,0)</f>
        <v>0</v>
      </c>
      <c r="AF489" s="407">
        <f>+AF488/VLOOKUP('1. SUMMARY'!$C$20,rate,Sheet1!AI$21,0)</f>
        <v>0</v>
      </c>
      <c r="AG489" s="407">
        <f>+AG488/VLOOKUP('1. SUMMARY'!$C$20,rate,Sheet1!AJ$21,0)</f>
        <v>0</v>
      </c>
      <c r="AH489" s="219"/>
      <c r="AI489" s="407">
        <v>0</v>
      </c>
      <c r="AJ489" s="407">
        <v>0</v>
      </c>
      <c r="AK489" s="407">
        <v>0</v>
      </c>
      <c r="AL489" s="407">
        <v>0</v>
      </c>
      <c r="AM489" s="407">
        <v>0</v>
      </c>
      <c r="AN489" s="407">
        <v>0</v>
      </c>
      <c r="AO489" s="407">
        <v>0</v>
      </c>
      <c r="AP489" s="407">
        <v>0</v>
      </c>
      <c r="AQ489" s="407"/>
      <c r="AR489" s="407"/>
      <c r="AS489" s="407"/>
      <c r="AT489" s="407"/>
      <c r="AU489" s="407"/>
      <c r="AV489" s="407"/>
      <c r="AW489" s="407"/>
      <c r="AX489" s="407"/>
      <c r="AY489" s="407"/>
      <c r="AZ489" s="407"/>
    </row>
    <row r="490" spans="16:52" hidden="1">
      <c r="P490" s="207">
        <f t="shared" si="216"/>
        <v>1</v>
      </c>
      <c r="Q490" s="408">
        <f>Sheet1!$T$8</f>
        <v>44105</v>
      </c>
      <c r="R490" s="408">
        <f>Sheet1!$U$8</f>
        <v>44470</v>
      </c>
      <c r="S490" s="408">
        <f>Sheet1!$V$8</f>
        <v>44835</v>
      </c>
      <c r="T490" s="408">
        <f>Sheet1!$W$8</f>
        <v>45200</v>
      </c>
      <c r="U490" s="408">
        <f>Sheet1!$X$8</f>
        <v>45566</v>
      </c>
      <c r="V490" s="408">
        <f>Sheet1!$Y$8</f>
        <v>45931</v>
      </c>
      <c r="W490" s="408">
        <f>Sheet1!$Z$8</f>
        <v>46296</v>
      </c>
      <c r="X490" s="408">
        <f>Sheet1!$AA$8</f>
        <v>46661</v>
      </c>
      <c r="Y490" s="408">
        <f>Sheet1!$AB$8</f>
        <v>47027</v>
      </c>
      <c r="Z490" s="408">
        <f>Sheet1!$AC$8</f>
        <v>47392</v>
      </c>
      <c r="AA490" s="408">
        <f>$AA$5</f>
        <v>47757</v>
      </c>
      <c r="AB490" s="408">
        <f>$AB$5</f>
        <v>48122</v>
      </c>
      <c r="AC490" s="408">
        <f>$AC$5</f>
        <v>48488</v>
      </c>
      <c r="AD490" s="408">
        <f>$AD$5</f>
        <v>48853</v>
      </c>
      <c r="AE490" s="408">
        <f>$AE$5</f>
        <v>49218</v>
      </c>
      <c r="AF490" s="408">
        <f>$AF$5</f>
        <v>49583</v>
      </c>
      <c r="AG490" s="408">
        <f>$AG$5</f>
        <v>49949</v>
      </c>
      <c r="AH490" s="211"/>
      <c r="AI490" s="408">
        <f t="shared" ref="AI490:AR492" si="223">+Q490</f>
        <v>44105</v>
      </c>
      <c r="AJ490" s="408">
        <f t="shared" si="223"/>
        <v>44470</v>
      </c>
      <c r="AK490" s="408">
        <f t="shared" si="223"/>
        <v>44835</v>
      </c>
      <c r="AL490" s="408">
        <f t="shared" si="223"/>
        <v>45200</v>
      </c>
      <c r="AM490" s="408">
        <f t="shared" si="223"/>
        <v>45566</v>
      </c>
      <c r="AN490" s="408">
        <f t="shared" si="223"/>
        <v>45931</v>
      </c>
      <c r="AO490" s="408">
        <f t="shared" si="223"/>
        <v>46296</v>
      </c>
      <c r="AP490" s="408">
        <f t="shared" si="223"/>
        <v>46661</v>
      </c>
      <c r="AQ490" s="408">
        <f t="shared" si="223"/>
        <v>47027</v>
      </c>
      <c r="AR490" s="408">
        <f t="shared" si="223"/>
        <v>47392</v>
      </c>
      <c r="AS490" s="408">
        <f t="shared" ref="AS490:AY492" si="224">+AA490</f>
        <v>47757</v>
      </c>
      <c r="AT490" s="408">
        <f t="shared" si="224"/>
        <v>48122</v>
      </c>
      <c r="AU490" s="408">
        <f t="shared" si="224"/>
        <v>48488</v>
      </c>
      <c r="AV490" s="408">
        <f t="shared" si="224"/>
        <v>48853</v>
      </c>
      <c r="AW490" s="408">
        <f t="shared" si="224"/>
        <v>49218</v>
      </c>
      <c r="AX490" s="408">
        <f t="shared" si="224"/>
        <v>49583</v>
      </c>
      <c r="AY490" s="408">
        <f t="shared" si="224"/>
        <v>49949</v>
      </c>
      <c r="AZ490" s="408"/>
    </row>
    <row r="491" spans="16:52" hidden="1">
      <c r="P491" s="207">
        <f t="shared" si="216"/>
        <v>1</v>
      </c>
      <c r="Q491" s="408">
        <f>Sheet1!$T$9</f>
        <v>44469</v>
      </c>
      <c r="R491" s="408">
        <f>Sheet1!$U$9</f>
        <v>44834</v>
      </c>
      <c r="S491" s="408">
        <f>Sheet1!$V$9</f>
        <v>45199</v>
      </c>
      <c r="T491" s="408">
        <f>Sheet1!$W$9</f>
        <v>45565</v>
      </c>
      <c r="U491" s="408">
        <f>Sheet1!$X$9</f>
        <v>45930</v>
      </c>
      <c r="V491" s="408">
        <f>Sheet1!$Y$9</f>
        <v>46295</v>
      </c>
      <c r="W491" s="408">
        <f>Sheet1!$Z$9</f>
        <v>46660</v>
      </c>
      <c r="X491" s="408">
        <f>Sheet1!$AA$9</f>
        <v>47026</v>
      </c>
      <c r="Y491" s="408">
        <f>Sheet1!$AB$9</f>
        <v>47391</v>
      </c>
      <c r="Z491" s="408">
        <f>Sheet1!$AC$9</f>
        <v>47756</v>
      </c>
      <c r="AA491" s="408">
        <f>$AA$6</f>
        <v>48121</v>
      </c>
      <c r="AB491" s="408">
        <f>$AB$6</f>
        <v>48487</v>
      </c>
      <c r="AC491" s="408">
        <f>$AC$6</f>
        <v>48852</v>
      </c>
      <c r="AD491" s="408">
        <f>$AD$6</f>
        <v>49217</v>
      </c>
      <c r="AE491" s="408">
        <f>$AE$6</f>
        <v>49582</v>
      </c>
      <c r="AF491" s="408">
        <f>$AF$6</f>
        <v>49948</v>
      </c>
      <c r="AG491" s="408">
        <f>$AG$6</f>
        <v>50313</v>
      </c>
      <c r="AH491" s="211"/>
      <c r="AI491" s="408">
        <f t="shared" si="223"/>
        <v>44469</v>
      </c>
      <c r="AJ491" s="408">
        <f t="shared" si="223"/>
        <v>44834</v>
      </c>
      <c r="AK491" s="408">
        <f t="shared" si="223"/>
        <v>45199</v>
      </c>
      <c r="AL491" s="408">
        <f t="shared" si="223"/>
        <v>45565</v>
      </c>
      <c r="AM491" s="408">
        <f t="shared" si="223"/>
        <v>45930</v>
      </c>
      <c r="AN491" s="408">
        <f t="shared" si="223"/>
        <v>46295</v>
      </c>
      <c r="AO491" s="408">
        <f t="shared" si="223"/>
        <v>46660</v>
      </c>
      <c r="AP491" s="408">
        <f t="shared" si="223"/>
        <v>47026</v>
      </c>
      <c r="AQ491" s="408">
        <f t="shared" si="223"/>
        <v>47391</v>
      </c>
      <c r="AR491" s="408">
        <f t="shared" si="223"/>
        <v>47756</v>
      </c>
      <c r="AS491" s="408">
        <f t="shared" si="224"/>
        <v>48121</v>
      </c>
      <c r="AT491" s="408">
        <f t="shared" si="224"/>
        <v>48487</v>
      </c>
      <c r="AU491" s="408">
        <f t="shared" si="224"/>
        <v>48852</v>
      </c>
      <c r="AV491" s="408">
        <f t="shared" si="224"/>
        <v>49217</v>
      </c>
      <c r="AW491" s="408">
        <f t="shared" si="224"/>
        <v>49582</v>
      </c>
      <c r="AX491" s="408">
        <f t="shared" si="224"/>
        <v>49948</v>
      </c>
      <c r="AY491" s="408">
        <f t="shared" si="224"/>
        <v>50313</v>
      </c>
      <c r="AZ491" s="408"/>
    </row>
    <row r="492" spans="16:52" hidden="1">
      <c r="P492" s="207">
        <f t="shared" si="216"/>
        <v>1</v>
      </c>
      <c r="Q492" s="409">
        <f>IF(IF(Q491&lt;$F$27,0,DATEDIF($F$27,Q491+1,"m"))&lt;0,0,IF(Q491&lt;$F$27,0,DATEDIF($F$27,Q491+1,"m")))</f>
        <v>0</v>
      </c>
      <c r="R492" s="409">
        <f>IF(IF(Q492=12,0,IF(R491&gt;$F$28,12-DATEDIF($F$28,R491+1,"m"),IF(R491&lt;$F$27,0,DATEDIF($F$27,R491+1,"m"))))&lt;0,0,IF(Q492=12,0,IF(R491&gt;$F$28,12-DATEDIF($F$28,R491+1,"m"),IF(R491&lt;$F$27,0,DATEDIF($F$27,R491+1,"m")))))</f>
        <v>0</v>
      </c>
      <c r="S492" s="409">
        <f>IF(IF(Q492+R492=12,0,IF(S491&gt;$F$28,12-DATEDIF($F$28,S491+1,"m"),IF(S491&lt;$F$27,0,DATEDIF($F$27,S491+1,"m"))))&lt;0,0,IF(Q492+R492=12,0,IF(S491&gt;$F$28,12-DATEDIF($F$28,S491+1,"m"),IF(S491&lt;$F$27,0,DATEDIF($F$27,S491+1,"m")))))</f>
        <v>0</v>
      </c>
      <c r="T492" s="409">
        <f>IF(IF(R492+S492+Q492=12,0,IF(T491&gt;$F$28,12-DATEDIF($F$28,T491+1,"m"),IF(T491&lt;$F$27,0,DATEDIF($F$27,T491+1,"m"))))&lt;0,0,IF(R492+S492+Q492=12,0,IF(T491&gt;$F$28,12-DATEDIF($F$28,T491+1,"m"),IF(T491&lt;$F$27,0,DATEDIF($F$27,T491+1,"m")))))</f>
        <v>0</v>
      </c>
      <c r="U492" s="409">
        <f>IF(IF(S492+T492+R492+Q492=12,0,IF(U491&gt;$F$28,12-DATEDIF($F$28,U491+1,"m"),IF(U491&lt;$F$27,0,DATEDIF($F$27,U491+1,"m"))))&lt;0,0,IF(S492+T492+R492+Q492=12,0,IF(U491&gt;$F$28,12-DATEDIF($F$28,U491+1,"m"),IF(U491&lt;$F$27,0,DATEDIF($F$27,U491+1,"m")))))</f>
        <v>0</v>
      </c>
      <c r="V492" s="409">
        <f>IF(IF(T492+U492+S492+R492+Q492=12,0,IF(V491&gt;$F$28,12-DATEDIF($F$28,V491+1,"m"),IF(V491&lt;$F$27,0,DATEDIF($F$27,V491+1,"m"))))&lt;0,0,IF(T492+U492+S492+R492+Q492=12,0,IF(V491&gt;$F$28,12-DATEDIF($F$28,V491+1,"m"),IF(V491&lt;$F$27,0,DATEDIF($F$27,V491+1,"m")))))</f>
        <v>0</v>
      </c>
      <c r="W492" s="409">
        <f>IF(IF(U492+V492+T492+S492+R492+Q492=12,0,IF(W491&gt;$F$28,12-DATEDIF($F$28,W491+1,"m"),IF(W491&lt;$F$27,0,DATEDIF($F$27,W491+1,"m"))))&lt;0,0,IF(U492+V492+T492+S492+R492+Q492=12,0,IF(W491&gt;$F$28,12-DATEDIF($F$28,W491+1,"m"),IF(W491&lt;$F$27,0,DATEDIF($F$27,W491+1,"m")))))</f>
        <v>0</v>
      </c>
      <c r="X492" s="409">
        <f>IF(IF(V492+W492+U492+T492+S492+R492+Q492=12,0,IF(X491&gt;$F$28,12-DATEDIF($F$28,X491+1,"m"),IF(X491&lt;$F$27,0,DATEDIF($F$27,X491+1,"m"))))&lt;0,0,IF(V492+W492+U492+T492+S492+R492+Q492=12,0,IF(X491&gt;$F$28,12-DATEDIF($F$28,X491+1,"m"),IF(X491&lt;$F$27,0,DATEDIF($F$27,X491+1,"m")))))</f>
        <v>0</v>
      </c>
      <c r="Y492" s="409">
        <f>IF(IF(Q492+W492+X492+V492+U492+T492+S492+R492=12,0,IF(Y491&gt;$F$28,12-DATEDIF($F$28,Y491+1,"m"),IF(Y491&lt;$F$27,0,DATEDIF($F$27,Y491+1,"m"))))&lt;0,0,IF(Q492+W492+X492+V492+U492+T492+S492+R492=12,0,IF(Y491&gt;$F$28,12-DATEDIF($F$28,Y491+1,"m"),IF(Y491&lt;$F$27,0,DATEDIF($F$27,Y491+1,"m")))))</f>
        <v>0</v>
      </c>
      <c r="Z492" s="409">
        <f>IF(IF(Q492+R492+X492+Y492+W492+V492+U492+T492+S492=12,0,IF(Z491&gt;$F$28,12-DATEDIF($F$28,Z491+1,"m"),IF(Z491&lt;$F$27,0,DATEDIF($F$27,Z491+1,"m"))))&lt;0,0,IF(Q492+R492+X492+Y492+W492+V492+U492+T492+S492=12,0,IF(Z491&gt;$F$28,12-DATEDIF($F$28,Z491+1,"m"),IF(Z491&lt;$F$27,0,DATEDIF($F$27,Z491+1,"m")))))</f>
        <v>0</v>
      </c>
      <c r="AA492" s="409"/>
      <c r="AB492" s="409"/>
      <c r="AC492" s="409"/>
      <c r="AD492" s="409"/>
      <c r="AE492" s="409"/>
      <c r="AF492" s="409"/>
      <c r="AG492" s="409"/>
      <c r="AH492" s="423">
        <f>SUM(Q492:AG492)</f>
        <v>0</v>
      </c>
      <c r="AI492" s="409">
        <f t="shared" si="223"/>
        <v>0</v>
      </c>
      <c r="AJ492" s="409">
        <f t="shared" si="223"/>
        <v>0</v>
      </c>
      <c r="AK492" s="409">
        <f t="shared" si="223"/>
        <v>0</v>
      </c>
      <c r="AL492" s="409">
        <f t="shared" si="223"/>
        <v>0</v>
      </c>
      <c r="AM492" s="409">
        <f t="shared" si="223"/>
        <v>0</v>
      </c>
      <c r="AN492" s="409">
        <f t="shared" si="223"/>
        <v>0</v>
      </c>
      <c r="AO492" s="409">
        <f t="shared" si="223"/>
        <v>0</v>
      </c>
      <c r="AP492" s="409">
        <f t="shared" si="223"/>
        <v>0</v>
      </c>
      <c r="AQ492" s="409">
        <f t="shared" si="223"/>
        <v>0</v>
      </c>
      <c r="AR492" s="409">
        <f t="shared" si="223"/>
        <v>0</v>
      </c>
      <c r="AS492" s="409">
        <f t="shared" si="224"/>
        <v>0</v>
      </c>
      <c r="AT492" s="409">
        <f t="shared" si="224"/>
        <v>0</v>
      </c>
      <c r="AU492" s="409">
        <f t="shared" si="224"/>
        <v>0</v>
      </c>
      <c r="AV492" s="409">
        <f t="shared" si="224"/>
        <v>0</v>
      </c>
      <c r="AW492" s="409">
        <f t="shared" si="224"/>
        <v>0</v>
      </c>
      <c r="AX492" s="409">
        <f t="shared" si="224"/>
        <v>0</v>
      </c>
      <c r="AY492" s="409">
        <f t="shared" si="224"/>
        <v>0</v>
      </c>
      <c r="AZ492" s="409">
        <f>SUM(AI492:AY492)</f>
        <v>0</v>
      </c>
    </row>
    <row r="493" spans="16:52" hidden="1">
      <c r="P493" s="207">
        <f t="shared" si="216"/>
        <v>1</v>
      </c>
      <c r="Q493" s="410">
        <f>IF(Q492=0,0,(IF(($C$169+$B$169+$D$169+$E$169+$F$169)&lt;=25000,(($F$169/+$AH492)*Q492)*VLOOKUP('1. SUMMARY'!$C$20,rate,Sheet1!T$21,0),((IF(($B$169+$C$169+$D$169+$E$169)&gt;=25000,0,(((25000-($B$169+$C$169+$D$169+$E$169))/+$AH492)*Q492)*(VLOOKUP('1. SUMMARY'!$C$20,rate,Sheet1!T$21,0))))))))</f>
        <v>0</v>
      </c>
      <c r="R493" s="410">
        <f>IF(R492=0,0,(IF(($C$169+$B$169+$D$169+$E$169+$F$169)&lt;=25000,(($F$169/+$AH492)*R492)*VLOOKUP('1. SUMMARY'!$C$20,rate,Sheet1!U$21,0),((IF(($B$169+$C$169+$D$169+$E$169)&gt;=25000,0,(((25000-($B$169+$C$169+$D$169+$E$169))/+$AH492)*R492)*(VLOOKUP('1. SUMMARY'!$C$20,rate,Sheet1!U$21,0))))))))</f>
        <v>0</v>
      </c>
      <c r="S493" s="410">
        <f>IF(S492=0,0,(IF(($C$169+$B$169+$D$169+$E$169+$F$169)&lt;=25000,(($F$169/+$AH492)*S492)*VLOOKUP('1. SUMMARY'!$C$20,rate,Sheet1!V$21,0),((IF(($B$169+$C$169+$D$169+$E$169)&gt;=25000,0,(((25000-($B$169+$C$169+$D$169+$E$169))/+$AH492)*S492)*(VLOOKUP('1. SUMMARY'!$C$20,rate,Sheet1!V$21,0))))))))</f>
        <v>0</v>
      </c>
      <c r="T493" s="410">
        <f>IF(T492=0,0,(IF(($C$169+$B$169+$D$169+$E$169+$F$169)&lt;=25000,(($F$169/+$AH492)*T492)*VLOOKUP('1. SUMMARY'!$C$20,rate,Sheet1!W$21,0),((IF(($B$169+$C$169+$D$169+$E$169)&gt;=25000,0,(((25000-($B$169+$C$169+$D$169+$E$169))/+$AH492)*T492)*(VLOOKUP('1. SUMMARY'!$C$20,rate,Sheet1!W$21,0))))))))</f>
        <v>0</v>
      </c>
      <c r="U493" s="410">
        <f>IF(U492=0,0,(IF(($C$169+$B$169+$D$169+$E$169+$F$169)&lt;=25000,(($F$169/+$AH492)*U492)*VLOOKUP('1. SUMMARY'!$C$20,rate,Sheet1!X$21,0),((IF(($B$169+$C$169+$D$169+$E$169)&gt;=25000,0,(((25000-($B$169+$C$169+$D$169+$E$169))/+$AH492)*U492)*(VLOOKUP('1. SUMMARY'!$C$20,rate,Sheet1!X$21,0))))))))</f>
        <v>0</v>
      </c>
      <c r="V493" s="410">
        <f>IF(V492=0,0,(IF(($C$169+$B$169+$D$169+$E$169+$F$169)&lt;=25000,(($F$169/+$AH492)*V492)*VLOOKUP('1. SUMMARY'!$C$20,rate,Sheet1!Y$21,0),((IF(($B$169+$C$169+$D$169+$E$169)&gt;=25000,0,(((25000-($B$169+$C$169+$D$169+$E$169))/+$AH492)*V492)*(VLOOKUP('1. SUMMARY'!$C$20,rate,Sheet1!Y$21,0))))))))</f>
        <v>0</v>
      </c>
      <c r="W493" s="410">
        <f>IF(W492=0,0,(IF(($C$169+$B$169+$D$169+$E$169+$F$169)&lt;=25000,(($F$169/+$AH492)*W492)*VLOOKUP('1. SUMMARY'!$C$20,rate,Sheet1!Z$21,0),((IF(($B$169+$C$169+$D$169+$E$169)&gt;=25000,0,(((25000-($B$169+$C$169+$D$169+$E$169))/+$AH492)*W492)*(VLOOKUP('1. SUMMARY'!$C$20,rate,Sheet1!Z$21,0))))))))</f>
        <v>0</v>
      </c>
      <c r="X493" s="410">
        <f>IF(X492=0,0,(IF(($C$169+$B$169+$D$169+$E$169+$F$169)&lt;=25000,(($F$169/+$AH492)*X492)*VLOOKUP('1. SUMMARY'!$C$20,rate,Sheet1!AA$21,0),((IF(($B$169+$C$169+$D$169+$E$169)&gt;=25000,0,(((25000-($B$169+$C$169+$D$169+$E$169))/+$AH492)*X492)*(VLOOKUP('1. SUMMARY'!$C$20,rate,Sheet1!AA$21,0))))))))</f>
        <v>0</v>
      </c>
      <c r="Y493" s="410">
        <f>IF(Y492=0,0,(IF(($C$169+$B$169+$D$169+$E$169+$F$169)&lt;=25000,(($F$169/+$AH492)*Y492)*VLOOKUP('1. SUMMARY'!$C$20,rate,Sheet1!AB$21,0),((IF(($B$169+$C$169+$D$169+$E$169)&gt;=25000,0,(((25000-($B$169+$C$169+$D$169+$E$169))/+$AH492)*Y492)*(VLOOKUP('1. SUMMARY'!$C$20,rate,Sheet1!AB$21,0))))))))</f>
        <v>0</v>
      </c>
      <c r="Z493" s="410">
        <f>IF(Z492=0,0,(IF(($C$169+$B$169+$D$169+$E$169+$F$169)&lt;=25000,(($F$169/+$AH492)*Z492)*VLOOKUP('1. SUMMARY'!$C$20,rate,Sheet1!AC$21,0),((IF(($B$169+$C$169+$D$169+$E$169)&gt;=25000,0,(((25000-($B$169+$C$169+$D$169+$E$169))/+$AH492)*Z492)*(VLOOKUP('1. SUMMARY'!$C$20,rate,Sheet1!AC$21,0))))))))</f>
        <v>0</v>
      </c>
      <c r="AA493" s="410">
        <f>IF(AA492=0,0,(IF(($C$169+$B$169+$D$169+$E$169+$F$169)&lt;=25000,(($F$169/+$AH492)*AA492)*VLOOKUP('1. SUMMARY'!$C$20,rate,Sheet1!AD$21,0),((IF(($B$169+$C$169+$D$169+$E$169)&gt;=25000,0,(((25000-($B$169+$C$169+$D$169+$E$169))/+$AH492)*AA492)*(VLOOKUP('1. SUMMARY'!$C$20,rate,Sheet1!AD$21,0))))))))</f>
        <v>0</v>
      </c>
      <c r="AB493" s="410">
        <f>IF(AB492=0,0,(IF(($C$169+$B$169+$D$169+$E$169+$F$169)&lt;=25000,(($F$169/+$AH492)*AB492)*VLOOKUP('1. SUMMARY'!$C$20,rate,Sheet1!AE$21,0),((IF(($B$169+$C$169+$D$169+$E$169)&gt;=25000,0,(((25000-($B$169+$C$169+$D$169+$E$169))/+$AH492)*AB492)*(VLOOKUP('1. SUMMARY'!$C$20,rate,Sheet1!AE$21,0))))))))</f>
        <v>0</v>
      </c>
      <c r="AC493" s="410">
        <f>IF(AC492=0,0,(IF(($C$169+$B$169+$D$169+$E$169+$F$169)&lt;=25000,(($F$169/+$AH492)*AC492)*VLOOKUP('1. SUMMARY'!$C$20,rate,Sheet1!AF$21,0),((IF(($B$169+$C$169+$D$169+$E$169)&gt;=25000,0,(((25000-($B$169+$C$169+$D$169+$E$169))/+$AH492)*AC492)*(VLOOKUP('1. SUMMARY'!$C$20,rate,Sheet1!AF$21,0))))))))</f>
        <v>0</v>
      </c>
      <c r="AD493" s="410">
        <f>IF(AD492=0,0,(IF(($C$169+$B$169+$D$169+$E$169+$F$169)&lt;=25000,(($F$169/+$AH492)*AD492)*VLOOKUP('1. SUMMARY'!$C$20,rate,Sheet1!AG$21,0),((IF(($B$169+$C$169+$D$169+$E$169)&gt;=25000,0,(((25000-($B$169+$C$169+$D$169+$E$169))/+$AH492)*AD492)*(VLOOKUP('1. SUMMARY'!$C$20,rate,Sheet1!AG$21,0))))))))</f>
        <v>0</v>
      </c>
      <c r="AE493" s="410">
        <f>IF(AE492=0,0,(IF(($C$169+$B$169+$D$169+$E$169+$F$169)&lt;=25000,(($F$169/+$AH492)*AE492)*VLOOKUP('1. SUMMARY'!$C$20,rate,Sheet1!AH$21,0),((IF(($B$169+$C$169+$D$169+$E$169)&gt;=25000,0,(((25000-($B$169+$C$169+$D$169+$E$169))/+$AH492)*AE492)*(VLOOKUP('1. SUMMARY'!$C$20,rate,Sheet1!AH$21,0))))))))</f>
        <v>0</v>
      </c>
      <c r="AF493" s="410">
        <f>IF(AF492=0,0,(IF(($C$169+$B$169+$D$169+$E$169+$F$169)&lt;=25000,(($F$169/+$AH492)*AF492)*VLOOKUP('1. SUMMARY'!$C$20,rate,Sheet1!AI$21,0),((IF(($B$169+$C$169+$D$169+$E$169)&gt;=25000,0,(((25000-($B$169+$C$169+$D$169+$E$169))/+$AH492)*AF492)*(VLOOKUP('1. SUMMARY'!$C$20,rate,Sheet1!AI$21,0))))))))</f>
        <v>0</v>
      </c>
      <c r="AG493" s="410">
        <f>IF(AG492=0,0,(IF(($C$169+$B$169+$D$169+$E$169+$F$169)&lt;=25000,(($F$169/+$AH492)*AG492)*VLOOKUP('1. SUMMARY'!$C$20,rate,Sheet1!AJ$21,0),((IF(($B$169+$C$169+$D$169+$E$169)&gt;=25000,0,(((25000-($B$169+$C$169+$D$169+$E$169))/+$AH492)*AG492)*(VLOOKUP('1. SUMMARY'!$C$20,rate,Sheet1!AJ$21,0))))))))</f>
        <v>0</v>
      </c>
      <c r="AH493" s="219">
        <f>SUM(Q493:AG493)</f>
        <v>0</v>
      </c>
      <c r="AI493" s="410">
        <f>IF(AI492=0,0,((+$F169/$AZ492)*AI492)*VLOOKUP('1. SUMMARY'!$C$20,rate,Sheet1!T$21,0))</f>
        <v>0</v>
      </c>
      <c r="AJ493" s="410">
        <f>IF(AJ492=0,0,((+$F169/$AZ492)*AJ492)*VLOOKUP('1. SUMMARY'!$C$20,rate,Sheet1!U$21,0))</f>
        <v>0</v>
      </c>
      <c r="AK493" s="410">
        <f>IF(AK492=0,0,((+$F169/$AZ492)*AK492)*VLOOKUP('1. SUMMARY'!$C$20,rate,Sheet1!V$21,0))</f>
        <v>0</v>
      </c>
      <c r="AL493" s="410">
        <f>IF(AL492=0,0,((+$F169/$AZ492)*AL492)*VLOOKUP('1. SUMMARY'!$C$20,rate,Sheet1!W$21,0))</f>
        <v>0</v>
      </c>
      <c r="AM493" s="410">
        <f>IF(AM492=0,0,((+$F169/$AZ492)*AM492)*VLOOKUP('1. SUMMARY'!$C$20,rate,Sheet1!X$21,0))</f>
        <v>0</v>
      </c>
      <c r="AN493" s="410">
        <f>IF(AN492=0,0,((+$F169/$AZ492)*AN492)*VLOOKUP('1. SUMMARY'!$C$20,rate,Sheet1!Y$21,0))</f>
        <v>0</v>
      </c>
      <c r="AO493" s="410">
        <f>IF(AO492=0,0,((+$F169/$AZ492)*AO492)*VLOOKUP('1. SUMMARY'!$C$20,rate,Sheet1!Z$21,0))</f>
        <v>0</v>
      </c>
      <c r="AP493" s="410">
        <f>IF(AP492=0,0,((+$F169/$AZ492)*AP492)*VLOOKUP('1. SUMMARY'!$C$20,rate,Sheet1!AA$21,0))</f>
        <v>0</v>
      </c>
      <c r="AQ493" s="410">
        <f>IF(AQ492=0,0,((+$F169/$AZ492)*AQ492)*VLOOKUP('1. SUMMARY'!$C$20,rate,Sheet1!AB$21,0))</f>
        <v>0</v>
      </c>
      <c r="AR493" s="410">
        <f>IF(AR492=0,0,((+$F169/$AZ492)*AR492)*VLOOKUP('1. SUMMARY'!$C$20,rate,Sheet1!AC$21,0))</f>
        <v>0</v>
      </c>
      <c r="AS493" s="410">
        <f>IF(AS492=0,0,((+$F169/$AZ492)*AS492)*VLOOKUP('1. SUMMARY'!$C$20,rate,Sheet1!AD$21,0))</f>
        <v>0</v>
      </c>
      <c r="AT493" s="410">
        <f>IF(AT492=0,0,((+$F169/$AZ492)*AT492)*VLOOKUP('1. SUMMARY'!$C$20,rate,Sheet1!AE$21,0))</f>
        <v>0</v>
      </c>
      <c r="AU493" s="410">
        <f>IF(AU492=0,0,((+$F169/$AZ492)*AU492)*VLOOKUP('1. SUMMARY'!$C$20,rate,Sheet1!AF$21,0))</f>
        <v>0</v>
      </c>
      <c r="AV493" s="410">
        <f>IF(AV492=0,0,((+$F169/$AZ492)*AV492)*VLOOKUP('1. SUMMARY'!$C$20,rate,Sheet1!AG$21,0))</f>
        <v>0</v>
      </c>
      <c r="AW493" s="410">
        <f>IF(AW492=0,0,((+$F169/$AZ492)*AW492)*VLOOKUP('1. SUMMARY'!$C$20,rate,Sheet1!AH$21,0))</f>
        <v>0</v>
      </c>
      <c r="AX493" s="410">
        <f>IF(AX492=0,0,((+$F169/$AZ492)*AX492)*VLOOKUP('1. SUMMARY'!$C$20,rate,Sheet1!AI$21,0))</f>
        <v>0</v>
      </c>
      <c r="AY493" s="410">
        <f>IF(AY492=0,0,((+$F169/$AZ492)*AY492)*VLOOKUP('1. SUMMARY'!$C$20,rate,Sheet1!AJ$21,0))</f>
        <v>0</v>
      </c>
      <c r="AZ493" s="410">
        <f>SUM(AI493:AY493)</f>
        <v>0</v>
      </c>
    </row>
    <row r="494" spans="16:52" hidden="1">
      <c r="P494" s="207">
        <f t="shared" ref="P494:P519" si="225">IF(Q644=39356,(+P468+1),P468)</f>
        <v>0</v>
      </c>
      <c r="Q494" s="410">
        <f>+Q493/VLOOKUP('1. SUMMARY'!$C$20,rate,Sheet1!T$21,0)</f>
        <v>0</v>
      </c>
      <c r="R494" s="410">
        <f>+R493/VLOOKUP('1. SUMMARY'!$C$20,rate,Sheet1!U$21,0)</f>
        <v>0</v>
      </c>
      <c r="S494" s="410">
        <f>+S493/VLOOKUP('1. SUMMARY'!$C$20,rate,Sheet1!V$21,0)</f>
        <v>0</v>
      </c>
      <c r="T494" s="410">
        <f>+T493/VLOOKUP('1. SUMMARY'!$C$20,rate,Sheet1!W$21,0)</f>
        <v>0</v>
      </c>
      <c r="U494" s="410">
        <f>+U493/VLOOKUP('1. SUMMARY'!$C$20,rate,Sheet1!X$21,0)</f>
        <v>0</v>
      </c>
      <c r="V494" s="410">
        <f>+V493/VLOOKUP('1. SUMMARY'!$C$20,rate,Sheet1!Y$21,0)</f>
        <v>0</v>
      </c>
      <c r="W494" s="410">
        <f>+W493/VLOOKUP('1. SUMMARY'!$C$20,rate,Sheet1!Z$21,0)</f>
        <v>0</v>
      </c>
      <c r="X494" s="410">
        <f>+X493/VLOOKUP('1. SUMMARY'!$C$20,rate,Sheet1!AA$21,0)</f>
        <v>0</v>
      </c>
      <c r="Y494" s="410">
        <f>+Y493/VLOOKUP('1. SUMMARY'!$C$20,rate,Sheet1!AB$21,0)</f>
        <v>0</v>
      </c>
      <c r="Z494" s="410">
        <f>+Z493/VLOOKUP('1. SUMMARY'!$C$20,rate,Sheet1!AC$21,0)</f>
        <v>0</v>
      </c>
      <c r="AA494" s="410">
        <f>+AA493/VLOOKUP('1. SUMMARY'!$C$20,rate,Sheet1!AD$21,0)</f>
        <v>0</v>
      </c>
      <c r="AB494" s="410">
        <f>+AB493/VLOOKUP('1. SUMMARY'!$C$20,rate,Sheet1!AE$21,0)</f>
        <v>0</v>
      </c>
      <c r="AC494" s="410">
        <f>+AC493/VLOOKUP('1. SUMMARY'!$C$20,rate,Sheet1!AF$21,0)</f>
        <v>0</v>
      </c>
      <c r="AD494" s="410">
        <f>+AD493/VLOOKUP('1. SUMMARY'!$C$20,rate,Sheet1!AG$21,0)</f>
        <v>0</v>
      </c>
      <c r="AE494" s="410">
        <f>+AE493/VLOOKUP('1. SUMMARY'!$C$20,rate,Sheet1!AH$21,0)</f>
        <v>0</v>
      </c>
      <c r="AF494" s="410">
        <f>+AF493/VLOOKUP('1. SUMMARY'!$C$20,rate,Sheet1!AI$21,0)</f>
        <v>0</v>
      </c>
      <c r="AG494" s="410">
        <f>+AG493/VLOOKUP('1. SUMMARY'!$C$20,rate,Sheet1!AJ$21,0)</f>
        <v>0</v>
      </c>
      <c r="AH494" s="219"/>
      <c r="AI494" s="410">
        <v>0</v>
      </c>
      <c r="AJ494" s="410">
        <v>0</v>
      </c>
      <c r="AK494" s="410">
        <v>0</v>
      </c>
      <c r="AL494" s="410">
        <v>0</v>
      </c>
      <c r="AM494" s="410">
        <v>0</v>
      </c>
      <c r="AN494" s="410">
        <v>0</v>
      </c>
      <c r="AO494" s="410">
        <v>0</v>
      </c>
      <c r="AP494" s="410">
        <v>0</v>
      </c>
      <c r="AQ494" s="410"/>
      <c r="AR494" s="410"/>
      <c r="AS494" s="410"/>
      <c r="AT494" s="410"/>
      <c r="AU494" s="410"/>
      <c r="AV494" s="410"/>
      <c r="AW494" s="410"/>
      <c r="AX494" s="410"/>
      <c r="AY494" s="410"/>
      <c r="AZ494" s="410"/>
    </row>
    <row r="495" spans="16:52" hidden="1">
      <c r="P495" s="207">
        <f t="shared" si="225"/>
        <v>0</v>
      </c>
      <c r="Q495" s="413">
        <f>Sheet1!$T$8</f>
        <v>44105</v>
      </c>
      <c r="R495" s="413">
        <f>Sheet1!$U$8</f>
        <v>44470</v>
      </c>
      <c r="S495" s="413">
        <f>Sheet1!$V$8</f>
        <v>44835</v>
      </c>
      <c r="T495" s="413">
        <f>Sheet1!$W$8</f>
        <v>45200</v>
      </c>
      <c r="U495" s="413">
        <f>Sheet1!$X$8</f>
        <v>45566</v>
      </c>
      <c r="V495" s="413">
        <f>Sheet1!$Y$8</f>
        <v>45931</v>
      </c>
      <c r="W495" s="413">
        <f>Sheet1!$Z$8</f>
        <v>46296</v>
      </c>
      <c r="X495" s="413">
        <f>Sheet1!$AA$8</f>
        <v>46661</v>
      </c>
      <c r="Y495" s="413">
        <f>Sheet1!$AB$8</f>
        <v>47027</v>
      </c>
      <c r="Z495" s="413">
        <f>Sheet1!$AC$8</f>
        <v>47392</v>
      </c>
      <c r="AA495" s="413">
        <f>$AA$5</f>
        <v>47757</v>
      </c>
      <c r="AB495" s="413">
        <f>$AB$5</f>
        <v>48122</v>
      </c>
      <c r="AC495" s="413">
        <f>$AC$5</f>
        <v>48488</v>
      </c>
      <c r="AD495" s="413">
        <f>$AD$5</f>
        <v>48853</v>
      </c>
      <c r="AE495" s="413">
        <f>$AE$5</f>
        <v>49218</v>
      </c>
      <c r="AF495" s="413">
        <f>$AF$5</f>
        <v>49583</v>
      </c>
      <c r="AG495" s="413">
        <f>$AG$5</f>
        <v>49949</v>
      </c>
      <c r="AH495" s="219"/>
      <c r="AI495" s="413">
        <f t="shared" ref="AI495:AR497" si="226">+Q495</f>
        <v>44105</v>
      </c>
      <c r="AJ495" s="413">
        <f t="shared" si="226"/>
        <v>44470</v>
      </c>
      <c r="AK495" s="413">
        <f t="shared" si="226"/>
        <v>44835</v>
      </c>
      <c r="AL495" s="413">
        <f t="shared" si="226"/>
        <v>45200</v>
      </c>
      <c r="AM495" s="413">
        <f t="shared" si="226"/>
        <v>45566</v>
      </c>
      <c r="AN495" s="413">
        <f t="shared" si="226"/>
        <v>45931</v>
      </c>
      <c r="AO495" s="413">
        <f t="shared" si="226"/>
        <v>46296</v>
      </c>
      <c r="AP495" s="413">
        <f t="shared" si="226"/>
        <v>46661</v>
      </c>
      <c r="AQ495" s="413">
        <f t="shared" si="226"/>
        <v>47027</v>
      </c>
      <c r="AR495" s="413">
        <f t="shared" si="226"/>
        <v>47392</v>
      </c>
      <c r="AS495" s="413">
        <f t="shared" ref="AS495:AY497" si="227">+AA495</f>
        <v>47757</v>
      </c>
      <c r="AT495" s="413">
        <f t="shared" si="227"/>
        <v>48122</v>
      </c>
      <c r="AU495" s="413">
        <f t="shared" si="227"/>
        <v>48488</v>
      </c>
      <c r="AV495" s="413">
        <f t="shared" si="227"/>
        <v>48853</v>
      </c>
      <c r="AW495" s="413">
        <f t="shared" si="227"/>
        <v>49218</v>
      </c>
      <c r="AX495" s="413">
        <f t="shared" si="227"/>
        <v>49583</v>
      </c>
      <c r="AY495" s="413">
        <f t="shared" si="227"/>
        <v>49949</v>
      </c>
      <c r="AZ495" s="413"/>
    </row>
    <row r="496" spans="16:52" hidden="1">
      <c r="P496" s="207">
        <f t="shared" si="225"/>
        <v>1</v>
      </c>
      <c r="Q496" s="413">
        <f>Sheet1!$T$9</f>
        <v>44469</v>
      </c>
      <c r="R496" s="413">
        <f>Sheet1!$U$9</f>
        <v>44834</v>
      </c>
      <c r="S496" s="413">
        <f>Sheet1!$V$9</f>
        <v>45199</v>
      </c>
      <c r="T496" s="413">
        <f>Sheet1!$W$9</f>
        <v>45565</v>
      </c>
      <c r="U496" s="413">
        <f>Sheet1!$X$9</f>
        <v>45930</v>
      </c>
      <c r="V496" s="413">
        <f>Sheet1!$Y$9</f>
        <v>46295</v>
      </c>
      <c r="W496" s="413">
        <f>Sheet1!$Z$9</f>
        <v>46660</v>
      </c>
      <c r="X496" s="413">
        <f>Sheet1!$AA$9</f>
        <v>47026</v>
      </c>
      <c r="Y496" s="413">
        <f>Sheet1!$AB$9</f>
        <v>47391</v>
      </c>
      <c r="Z496" s="413">
        <f>Sheet1!$AC$9</f>
        <v>47756</v>
      </c>
      <c r="AA496" s="413">
        <f>$AA$6</f>
        <v>48121</v>
      </c>
      <c r="AB496" s="413">
        <f>$AB$6</f>
        <v>48487</v>
      </c>
      <c r="AC496" s="413">
        <f>$AC$6</f>
        <v>48852</v>
      </c>
      <c r="AD496" s="413">
        <f>$AD$6</f>
        <v>49217</v>
      </c>
      <c r="AE496" s="413">
        <f>$AE$6</f>
        <v>49582</v>
      </c>
      <c r="AF496" s="413">
        <f>$AF$6</f>
        <v>49948</v>
      </c>
      <c r="AG496" s="413">
        <f>$AG$6</f>
        <v>50313</v>
      </c>
      <c r="AH496" s="219"/>
      <c r="AI496" s="413">
        <f t="shared" si="226"/>
        <v>44469</v>
      </c>
      <c r="AJ496" s="413">
        <f t="shared" si="226"/>
        <v>44834</v>
      </c>
      <c r="AK496" s="413">
        <f t="shared" si="226"/>
        <v>45199</v>
      </c>
      <c r="AL496" s="413">
        <f t="shared" si="226"/>
        <v>45565</v>
      </c>
      <c r="AM496" s="413">
        <f t="shared" si="226"/>
        <v>45930</v>
      </c>
      <c r="AN496" s="413">
        <f t="shared" si="226"/>
        <v>46295</v>
      </c>
      <c r="AO496" s="413">
        <f t="shared" si="226"/>
        <v>46660</v>
      </c>
      <c r="AP496" s="413">
        <f t="shared" si="226"/>
        <v>47026</v>
      </c>
      <c r="AQ496" s="413">
        <f t="shared" si="226"/>
        <v>47391</v>
      </c>
      <c r="AR496" s="413">
        <f t="shared" si="226"/>
        <v>47756</v>
      </c>
      <c r="AS496" s="413">
        <f t="shared" si="227"/>
        <v>48121</v>
      </c>
      <c r="AT496" s="413">
        <f t="shared" si="227"/>
        <v>48487</v>
      </c>
      <c r="AU496" s="413">
        <f t="shared" si="227"/>
        <v>48852</v>
      </c>
      <c r="AV496" s="413">
        <f t="shared" si="227"/>
        <v>49217</v>
      </c>
      <c r="AW496" s="413">
        <f t="shared" si="227"/>
        <v>49582</v>
      </c>
      <c r="AX496" s="413">
        <f t="shared" si="227"/>
        <v>49948</v>
      </c>
      <c r="AY496" s="413">
        <f t="shared" si="227"/>
        <v>50313</v>
      </c>
      <c r="AZ496" s="413"/>
    </row>
    <row r="497" spans="16:52" hidden="1">
      <c r="P497" s="207">
        <f t="shared" si="225"/>
        <v>1</v>
      </c>
      <c r="Q497" s="424">
        <f>IF(IF(Q496&lt;$G$27,0,DATEDIF($G$27,Q496+1,"m"))&lt;0,0,IF(Q496&lt;$G$27,0,DATEDIF($G$27,Q496+1,"m")))</f>
        <v>0</v>
      </c>
      <c r="R497" s="424">
        <f>IF(IF(Q497=12,0,IF(R496&gt;$G$28,12-DATEDIF($G$28,R496+1,"m"),IF(R496&lt;$G$27,0,DATEDIF($G$27,R496+1,"m"))))&lt;0,0,IF(Q497=12,0,IF(R496&gt;$G$28,12-DATEDIF($G$28,R496+1,"m"),IF(R496&lt;$G$27,0,DATEDIF($G$27,R496+1,"m")))))</f>
        <v>0</v>
      </c>
      <c r="S497" s="424">
        <f>IF(IF(Q497+R497=12,0,IF(S496&gt;$G$28,12-DATEDIF($G$28,S496+1,"m"),IF(S496&lt;$G$27,0,DATEDIF($G$27,S496+1,"m"))))&lt;0,0,IF(Q497+R497=12,0,IF(S496&gt;$G$28,12-DATEDIF($G$28,S496+1,"m"),IF(S496&lt;$G$27,0,DATEDIF($G$27,S496+1,"m")))))</f>
        <v>0</v>
      </c>
      <c r="T497" s="424">
        <f>IF(IF(R497+S497+Q497=12,0,IF(T496&gt;$G$28,12-DATEDIF($G$28,T496+1,"m"),IF(T496&lt;$G$27,0,DATEDIF($G$27,T496+1,"m"))))&lt;0,0,IF(R497+S497+Q497=12,0,IF(T496&gt;$G$28,12-DATEDIF($G$28,T496+1,"m"),IF(T496&lt;$G$27,0,DATEDIF($G$27,T496+1,"m")))))</f>
        <v>0</v>
      </c>
      <c r="U497" s="424">
        <f>IF(IF(S497+T497+R497+Q497=12,0,IF(U496&gt;$G$28,12-DATEDIF($G$28,U496+1,"m"),IF(U496&lt;$G$27,0,DATEDIF($G$27,U496+1,"m"))))&lt;0,0,IF(S497+T497+R497+Q497=12,0,IF(U496&gt;$G$28,12-DATEDIF($G$28,U496+1,"m"),IF(U496&lt;$G$27,0,DATEDIF($G$27,U496+1,"m")))))</f>
        <v>0</v>
      </c>
      <c r="V497" s="424">
        <f>IF(IF(T497+U497+S497+R497+Q497=12,0,IF(V496&gt;$G$28,12-DATEDIF($G$28,V496+1,"m"),IF(V496&lt;$G$27,0,DATEDIF($G$27,V496+1,"m"))))&lt;0,0,IF(T497+U497+S497+R497+Q497=12,0,IF(V496&gt;$G$28,12-DATEDIF($G$28,V496+1,"m"),IF(V496&lt;$G$27,0,DATEDIF($G$27,V496+1,"m")))))</f>
        <v>0</v>
      </c>
      <c r="W497" s="424">
        <f>IF(IF(U497+V497+T497+S497+R497+Q497=12,0,IF(W496&gt;$G$28,12-DATEDIF($G$28,W496+1,"m"),IF(W496&lt;$G$27,0,DATEDIF($G$27,W496+1,"m"))))&lt;0,0,IF(U497+V497+T497+S497+R497+Q497=12,0,IF(W496&gt;$G$28,12-DATEDIF($G$28,W496+1,"m"),IF(W496&lt;$G$27,0,DATEDIF($G$27,W496+1,"m")))))</f>
        <v>0</v>
      </c>
      <c r="X497" s="424">
        <f>IF(IF(V497+W497+U497+T497+S497+R497+Q497=12,0,IF(X496&gt;$G$28,12-DATEDIF($G$28,X496+1,"m"),IF(X496&lt;$G$27,0,DATEDIF($G$27,X496+1,"m"))))&lt;0,0,IF(V497+W497+U497+T497+S497+R497+Q497=12,0,IF(X496&gt;$G$28,12-DATEDIF($G$28,X496+1,"m"),IF(X496&lt;$G$27,0,DATEDIF($G$27,X496+1,"m")))))</f>
        <v>0</v>
      </c>
      <c r="Y497" s="424">
        <f>IF(IF(W497+X497+V497+U497+T497+S497+R497+Q497=12,0,IF(Y496&gt;$G$28,12-DATEDIF($G$28,Y496+1,"m"),IF(Y496&lt;$G$27,0,DATEDIF($G$27,Y496+1,"m"))))&lt;0,0,IF(W497+X497+V497+U497+T497+S497+R497+Q497=12,0,IF(Y496&gt;$G$28,12-DATEDIF($G$28,Y496+1,"m"),IF(Y496&lt;$G$27,0,DATEDIF($G$27,Y496+1,"m")))))</f>
        <v>0</v>
      </c>
      <c r="Z497" s="424">
        <f>IF(IF(X497+Y497+W497+V497+U497+T497+S497+R497+Q497=12,0,IF(Z496&gt;$G$28,12-DATEDIF($G$28,Z496+1,"m"),IF(Z496&lt;$G$27,0,DATEDIF($G$27,Z496+1,"m"))))&lt;0,0,IF(X497+Y497+W497+V497+U497+T497+S497+R497+Q497=12,0,IF(Z496&gt;$G$28,12-DATEDIF($G$28,Z496+1,"m"),IF(Z496&lt;$G$27,0,DATEDIF($G$27,Z496+1,"m")))))</f>
        <v>0</v>
      </c>
      <c r="AA497" s="414">
        <f>IF(IF(Q497+R497+S497+Y497+Z497+X497+W497+V497+U497+T497=12,0,IF(AA496&gt;$G$28,12-DATEDIF($G$28,AA496+1,"m"),IF(AA496&lt;$G$27,0,DATEDIF($G$27,AA496+1,"m"))))&lt;0,0,IF(Q497+R497+S497+Y497+Z497+X497+W497+V497+U497+T497=12,0,IF(AA496&gt;$G$28,12-DATEDIF($G$28,AA496+1,"m"),IF(AA496&lt;$G$27,0,DATEDIF($G$27,AA496+1,"m")))))</f>
        <v>0</v>
      </c>
      <c r="AB497" s="414">
        <f>IF(IF(Q497+R497+S497+T497+Z497+AA497+Y497+X497+W497+V497+U497=12,0,IF(AB496&gt;$G$28,12-DATEDIF($G$28,AB496+1,"m"),IF(AB496&lt;$G$27,0,DATEDIF($G$27,AB496+1,"m"))))&lt;0,0,IF(Q497+R497+S497+T497+Z497+AA497+Y497+X497+W497+V497+U497=12,0,IF(AB496&gt;$G$28,12-DATEDIF($G$28,AB496+1,"m"),IF(AB496&lt;$G$27,0,DATEDIF($G$27,AB496+1,"m")))))</f>
        <v>0</v>
      </c>
      <c r="AC497" s="414">
        <f>IF(IF(Q497+R497+S497+T497+U497+AA497+AB497+Z497+Y497+X497+W497+V497=12,0,IF(AC496&gt;$G$28,12-DATEDIF($G$28,AC496+1,"m"),IF(AC496&lt;$G$27,0,DATEDIF($G$27,AC496+1,"m"))))&lt;0,0,IF(Q497+R497+S497+T497+U497+AA497+AB497+Z497+Y497+X497+W497+V497=12,0,IF(AC496&gt;$G$28,12-DATEDIF($G$28,AC496+1,"m"),IF(AC496&lt;$G$27,0,DATEDIF($G$27,AC496+1,"m")))))</f>
        <v>0</v>
      </c>
      <c r="AD497" s="414">
        <f>IF(IF(Q497+R497+S497+T497+U497+V497+AB497+AC497+AA497+Z497+Y497+X497+W497=12,0,IF(AD496&gt;$G$28,12-DATEDIF($G$28,AD496+1,"m"),IF(AD496&lt;$G$27,0,DATEDIF($G$27,AD496+1,"m"))))&lt;0,0,IF(Q497+R497+S497+T497+U497+V497+AB497+AC497+AA497+Z497+Y497+X497+W497=12,0,IF(AD496&gt;$G$28,12-DATEDIF($G$28,AD496+1,"m"),IF(AD496&lt;$G$27,0,DATEDIF($G$27,AD496+1,"m")))))</f>
        <v>0</v>
      </c>
      <c r="AE497" s="414"/>
      <c r="AF497" s="414"/>
      <c r="AG497" s="414"/>
      <c r="AH497" s="423">
        <f>SUM(Q497:AG497)</f>
        <v>0</v>
      </c>
      <c r="AI497" s="414">
        <f t="shared" si="226"/>
        <v>0</v>
      </c>
      <c r="AJ497" s="414">
        <f t="shared" si="226"/>
        <v>0</v>
      </c>
      <c r="AK497" s="414">
        <f t="shared" si="226"/>
        <v>0</v>
      </c>
      <c r="AL497" s="414">
        <f t="shared" si="226"/>
        <v>0</v>
      </c>
      <c r="AM497" s="414">
        <f t="shared" si="226"/>
        <v>0</v>
      </c>
      <c r="AN497" s="414">
        <f t="shared" si="226"/>
        <v>0</v>
      </c>
      <c r="AO497" s="414">
        <f t="shared" si="226"/>
        <v>0</v>
      </c>
      <c r="AP497" s="414">
        <f t="shared" si="226"/>
        <v>0</v>
      </c>
      <c r="AQ497" s="414">
        <f t="shared" si="226"/>
        <v>0</v>
      </c>
      <c r="AR497" s="414">
        <f t="shared" si="226"/>
        <v>0</v>
      </c>
      <c r="AS497" s="414">
        <f t="shared" si="227"/>
        <v>0</v>
      </c>
      <c r="AT497" s="414">
        <f t="shared" si="227"/>
        <v>0</v>
      </c>
      <c r="AU497" s="414">
        <f t="shared" si="227"/>
        <v>0</v>
      </c>
      <c r="AV497" s="414">
        <f t="shared" si="227"/>
        <v>0</v>
      </c>
      <c r="AW497" s="414">
        <f t="shared" si="227"/>
        <v>0</v>
      </c>
      <c r="AX497" s="414">
        <f t="shared" si="227"/>
        <v>0</v>
      </c>
      <c r="AY497" s="414">
        <f t="shared" si="227"/>
        <v>0</v>
      </c>
      <c r="AZ497" s="414">
        <f>SUM(AI497:AY497)</f>
        <v>0</v>
      </c>
    </row>
    <row r="498" spans="16:52" hidden="1">
      <c r="P498" s="207">
        <f t="shared" si="225"/>
        <v>1</v>
      </c>
      <c r="Q498" s="415">
        <f>IF(Q497=0,0,(IF(($B$169+$C$169+$D$169+$E$169+$F$169+$G$169)&lt;=25000,(($G$169/+$AH497)*Q497)*VLOOKUP('1. SUMMARY'!$C$20,rate,Sheet1!T$21,0),((IF(($F$169+$B$169+$C$169+$D$169+$E$169)&gt;=25000,0,(((25000-($B$169+$C$169+$D$169+$E$169+$F$169))/+$AH497)*Q497)*(VLOOKUP('1. SUMMARY'!$C$20,rate,Sheet1!T$21,0))))))))</f>
        <v>0</v>
      </c>
      <c r="R498" s="415">
        <f>IF(R497=0,0,(IF(($B$169+$C$169+$D$169+$E$169+$F$169+$G$169)&lt;=25000,(($G$169/+$AH497)*R497)*VLOOKUP('1. SUMMARY'!$C$20,rate,Sheet1!U$21,0),((IF(($F$169+$B$169+$C$169+$D$169+$E$169)&gt;=25000,0,(((25000-($B$169+$C$169+$D$169+$E$169+$F$169))/+$AH497)*R497)*(VLOOKUP('1. SUMMARY'!$C$20,rate,Sheet1!U$21,0))))))))</f>
        <v>0</v>
      </c>
      <c r="S498" s="415">
        <f>IF(S497=0,0,(IF(($B$169+$C$169+$D$169+$E$169+$F$169+$G$169)&lt;=25000,(($G$169/+$AH497)*S497)*VLOOKUP('1. SUMMARY'!$C$20,rate,Sheet1!V$21,0),((IF(($F$169+$B$169+$C$169+$D$169+$E$169)&gt;=25000,0,(((25000-($B$169+$C$169+$D$169+$E$169+$F$169))/+$AH497)*S497)*(VLOOKUP('1. SUMMARY'!$C$20,rate,Sheet1!V$21,0))))))))</f>
        <v>0</v>
      </c>
      <c r="T498" s="415">
        <f>IF(T497=0,0,(IF(($B$169+$C$169+$D$169+$E$169+$F$169+$G$169)&lt;=25000,(($G$169/+$AH497)*T497)*VLOOKUP('1. SUMMARY'!$C$20,rate,Sheet1!W$21,0),((IF(($F$169+$B$169+$C$169+$D$169+$E$169)&gt;=25000,0,(((25000-($B$169+$C$169+$D$169+$E$169+$F$169))/+$AH497)*T497)*(VLOOKUP('1. SUMMARY'!$C$20,rate,Sheet1!W$21,0))))))))</f>
        <v>0</v>
      </c>
      <c r="U498" s="415">
        <f>IF(U497=0,0,(IF(($B$169+$C$169+$D$169+$E$169+$F$169+$G$169)&lt;=25000,(($G$169/+$AH497)*U497)*VLOOKUP('1. SUMMARY'!$C$20,rate,Sheet1!X$21,0),((IF(($F$169+$B$169+$C$169+$D$169+$E$169)&gt;=25000,0,(((25000-($B$169+$C$169+$D$169+$E$169+$F$169))/+$AH497)*U497)*(VLOOKUP('1. SUMMARY'!$C$20,rate,Sheet1!X$21,0))))))))</f>
        <v>0</v>
      </c>
      <c r="V498" s="415">
        <f>IF(V497=0,0,(IF(($B$169+$C$169+$D$169+$E$169+$F$169+$G$169)&lt;=25000,(($G$169/+$AH497)*V497)*VLOOKUP('1. SUMMARY'!$C$20,rate,Sheet1!Y$21,0),((IF(($F$169+$B$169+$C$169+$D$169+$E$169)&gt;=25000,0,(((25000-($B$169+$C$169+$D$169+$E$169+$F$169))/+$AH497)*V497)*(VLOOKUP('1. SUMMARY'!$C$20,rate,Sheet1!Y$21,0))))))))</f>
        <v>0</v>
      </c>
      <c r="W498" s="415">
        <f>IF(W497=0,0,(IF(($B$169+$C$169+$D$169+$E$169+$F$169+$G$169)&lt;=25000,(($G$169/+$AH497)*W497)*VLOOKUP('1. SUMMARY'!$C$20,rate,Sheet1!Z$21,0),((IF(($F$169+$B$169+$C$169+$D$169+$E$169)&gt;=25000,0,(((25000-($B$169+$C$169+$D$169+$E$169+$F$169))/+$AH497)*W497)*(VLOOKUP('1. SUMMARY'!$C$20,rate,Sheet1!Z$21,0))))))))</f>
        <v>0</v>
      </c>
      <c r="X498" s="415">
        <f>IF(X497=0,0,(IF(($B$169+$C$169+$D$169+$E$169+$F$169+$G$169)&lt;=25000,(($G$169/+$AH497)*X497)*VLOOKUP('1. SUMMARY'!$C$20,rate,Sheet1!AA$21,0),((IF(($F$169+$B$169+$C$169+$D$169+$E$169)&gt;=25000,0,(((25000-($B$169+$C$169+$D$169+$E$169+$F$169))/+$AH497)*X497)*(VLOOKUP('1. SUMMARY'!$C$20,rate,Sheet1!AA$21,0))))))))</f>
        <v>0</v>
      </c>
      <c r="Y498" s="415">
        <f>IF(Y497=0,0,(IF(($B$169+$C$169+$D$169+$E$169+$F$169+$G$169)&lt;=25000,(($G$169/+$AH497)*Y497)*VLOOKUP('1. SUMMARY'!$C$20,rate,Sheet1!AB$21,0),((IF(($F$169+$B$169+$C$169+$D$169+$E$169)&gt;=25000,0,(((25000-($B$169+$C$169+$D$169+$E$169+$F$169))/+$AH497)*Y497)*(VLOOKUP('1. SUMMARY'!$C$20,rate,Sheet1!AB$21,0))))))))</f>
        <v>0</v>
      </c>
      <c r="Z498" s="415">
        <f>IF(Z497=0,0,(IF(($B$169+$C$169+$D$169+$E$169+$F$169+$G$169)&lt;=25000,(($G$169/+$AH497)*Z497)*VLOOKUP('1. SUMMARY'!$C$20,rate,Sheet1!AC$21,0),((IF(($F$169+$B$169+$C$169+$D$169+$E$169)&gt;=25000,0,(((25000-($B$169+$C$169+$D$169+$E$169+$F$169))/+$AH497)*Z497)*(VLOOKUP('1. SUMMARY'!$C$20,rate,Sheet1!AC$21,0))))))))</f>
        <v>0</v>
      </c>
      <c r="AA498" s="415">
        <f>IF(AA497=0,0,(IF(($B$169+$C$169+$D$169+$E$169+$F$169+$G$169)&lt;=25000,(($G$169/+$AH497)*AA497)*VLOOKUP('1. SUMMARY'!$C$20,rate,Sheet1!AD$21,0),((IF(($F$169+$B$169+$C$169+$D$169+$E$169)&gt;=25000,0,(((25000-($B$169+$C$169+$D$169+$E$169+$F$169))/+$AH497)*AA497)*(VLOOKUP('1. SUMMARY'!$C$20,rate,Sheet1!AD$21,0))))))))</f>
        <v>0</v>
      </c>
      <c r="AB498" s="415">
        <f>IF(AB497=0,0,(IF(($B$169+$C$169+$D$169+$E$169+$F$169+$G$169)&lt;=25000,(($G$169/+$AH497)*AB497)*VLOOKUP('1. SUMMARY'!$C$20,rate,Sheet1!AE$21,0),((IF(($F$169+$B$169+$C$169+$D$169+$E$169)&gt;=25000,0,(((25000-($B$169+$C$169+$D$169+$E$169+$F$169))/+$AH497)*AB497)*(VLOOKUP('1. SUMMARY'!$C$20,rate,Sheet1!AE$21,0))))))))</f>
        <v>0</v>
      </c>
      <c r="AC498" s="415">
        <f>IF(AC497=0,0,(IF(($B$169+$C$169+$D$169+$E$169+$F$169+$G$169)&lt;=25000,(($G$169/+$AH497)*AC497)*VLOOKUP('1. SUMMARY'!$C$20,rate,Sheet1!AF$21,0),((IF(($F$169+$B$169+$C$169+$D$169+$E$169)&gt;=25000,0,(((25000-($B$169+$C$169+$D$169+$E$169+$F$169))/+$AH497)*AC497)*(VLOOKUP('1. SUMMARY'!$C$20,rate,Sheet1!AF$21,0))))))))</f>
        <v>0</v>
      </c>
      <c r="AD498" s="415">
        <f>IF(AD497=0,0,(IF(($B$169+$C$169+$D$169+$E$169+$F$169+$G$169)&lt;=25000,(($G$169/+$AH497)*AD497)*VLOOKUP('1. SUMMARY'!$C$20,rate,Sheet1!AG$21,0),((IF(($F$169+$B$169+$C$169+$D$169+$E$169)&gt;=25000,0,(((25000-($B$169+$C$169+$D$169+$E$169+$F$169))/+$AH497)*AD497)*(VLOOKUP('1. SUMMARY'!$C$20,rate,Sheet1!AG$21,0))))))))</f>
        <v>0</v>
      </c>
      <c r="AE498" s="415">
        <f>IF(AE497=0,0,(IF(($B$169+$C$169+$D$169+$E$169+$F$169+$G$169)&lt;=25000,(($G$169/+$AH497)*AE497)*VLOOKUP('1. SUMMARY'!$C$20,rate,Sheet1!AH$21,0),((IF(($F$169+$B$169+$C$169+$D$169+$E$169)&gt;=25000,0,(((25000-($B$169+$C$169+$D$169+$E$169+$F$169))/+$AH497)*AE497)*(VLOOKUP('1. SUMMARY'!$C$20,rate,Sheet1!AH$21,0))))))))</f>
        <v>0</v>
      </c>
      <c r="AF498" s="415">
        <f>IF(AF497=0,0,(IF(($B$169+$C$169+$D$169+$E$169+$F$169+$G$169)&lt;=25000,(($G$169/+$AH497)*AF497)*VLOOKUP('1. SUMMARY'!$C$20,rate,Sheet1!AI$21,0),((IF(($F$169+$B$169+$C$169+$D$169+$E$169)&gt;=25000,0,(((25000-($B$169+$C$169+$D$169+$E$169+$F$169))/+$AH497)*AF497)*(VLOOKUP('1. SUMMARY'!$C$20,rate,Sheet1!AI$21,0))))))))</f>
        <v>0</v>
      </c>
      <c r="AG498" s="415">
        <f>IF(AG497=0,0,(IF(($B$169+$C$169+$D$169+$E$169+$F$169+$G$169)&lt;=25000,(($G$169/+$AH497)*AG497)*VLOOKUP('1. SUMMARY'!$C$20,rate,Sheet1!AJ$21,0),((IF(($F$169+$B$169+$C$169+$D$169+$E$169)&gt;=25000,0,(((25000-($B$169+$C$169+$D$169+$E$169+$F$169))/+$AH497)*AG497)*(VLOOKUP('1. SUMMARY'!$C$20,rate,Sheet1!AJ$21,0))))))))</f>
        <v>0</v>
      </c>
      <c r="AH498" s="219">
        <f>SUM(Q498:AG498)</f>
        <v>0</v>
      </c>
      <c r="AI498" s="415">
        <f>IF(AI497=0,0,((+$G169/$AZ497)*AI497)*VLOOKUP('1. SUMMARY'!$C$20,rate,Sheet1!T$21,0))</f>
        <v>0</v>
      </c>
      <c r="AJ498" s="415">
        <f>IF(AJ497=0,0,((+$G169/$AZ497)*AJ497)*VLOOKUP('1. SUMMARY'!$C$20,rate,Sheet1!U$21,0))</f>
        <v>0</v>
      </c>
      <c r="AK498" s="415">
        <f>IF(AK497=0,0,((+$G169/$AZ497)*AK497)*VLOOKUP('1. SUMMARY'!$C$20,rate,Sheet1!V$21,0))</f>
        <v>0</v>
      </c>
      <c r="AL498" s="415">
        <f>IF(AL497=0,0,((+$G169/$AZ497)*AL497)*VLOOKUP('1. SUMMARY'!$C$20,rate,Sheet1!W$21,0))</f>
        <v>0</v>
      </c>
      <c r="AM498" s="415">
        <f>IF(AM497=0,0,((+$G169/$AZ497)*AM497)*VLOOKUP('1. SUMMARY'!$C$20,rate,Sheet1!X$21,0))</f>
        <v>0</v>
      </c>
      <c r="AN498" s="415">
        <f>IF(AN497=0,0,((+$G169/$AZ497)*AN497)*VLOOKUP('1. SUMMARY'!$C$20,rate,Sheet1!Y$21,0))</f>
        <v>0</v>
      </c>
      <c r="AO498" s="415">
        <f>IF(AO497=0,0,((+$G169/$AZ497)*AO497)*VLOOKUP('1. SUMMARY'!$C$20,rate,Sheet1!Z$21,0))</f>
        <v>0</v>
      </c>
      <c r="AP498" s="415">
        <f>IF(AP497=0,0,((+$G169/$AZ497)*AP497)*VLOOKUP('1. SUMMARY'!$C$20,rate,Sheet1!AA$21,0))</f>
        <v>0</v>
      </c>
      <c r="AQ498" s="415">
        <f>IF(AQ497=0,0,((+$G169/$AZ497)*AQ497)*VLOOKUP('1. SUMMARY'!$C$20,rate,Sheet1!AB$21,0))</f>
        <v>0</v>
      </c>
      <c r="AR498" s="415">
        <f>IF(AR497=0,0,((+$G169/$AZ497)*AR497)*VLOOKUP('1. SUMMARY'!$C$20,rate,Sheet1!AC$21,0))</f>
        <v>0</v>
      </c>
      <c r="AS498" s="415">
        <f>IF(AS497=0,0,((+$G169/$AZ497)*AS497)*VLOOKUP('1. SUMMARY'!$C$20,rate,Sheet1!AD$21,0))</f>
        <v>0</v>
      </c>
      <c r="AT498" s="415">
        <f>IF(AT497=0,0,((+$G169/$AZ497)*AT497)*VLOOKUP('1. SUMMARY'!$C$20,rate,Sheet1!AE$21,0))</f>
        <v>0</v>
      </c>
      <c r="AU498" s="415">
        <f>IF(AU497=0,0,((+$G169/$AZ497)*AU497)*VLOOKUP('1. SUMMARY'!$C$20,rate,Sheet1!AF$21,0))</f>
        <v>0</v>
      </c>
      <c r="AV498" s="415">
        <f>IF(AV497=0,0,((+$G169/$AZ497)*AV497)*VLOOKUP('1. SUMMARY'!$C$20,rate,Sheet1!AG$21,0))</f>
        <v>0</v>
      </c>
      <c r="AW498" s="415">
        <f>IF(AW497=0,0,((+$G169/$AZ497)*AW497)*VLOOKUP('1. SUMMARY'!$C$20,rate,Sheet1!AH$21,0))</f>
        <v>0</v>
      </c>
      <c r="AX498" s="415">
        <f>IF(AX497=0,0,((+$G169/$AZ497)*AX497)*VLOOKUP('1. SUMMARY'!$C$20,rate,Sheet1!AI$21,0))</f>
        <v>0</v>
      </c>
      <c r="AY498" s="415">
        <f>IF(AY497=0,0,((+$G169/$AZ497)*AY497)*VLOOKUP('1. SUMMARY'!$C$20,rate,Sheet1!AJ$21,0))</f>
        <v>0</v>
      </c>
      <c r="AZ498" s="415">
        <f>SUM(AI498:AY498)</f>
        <v>0</v>
      </c>
    </row>
    <row r="499" spans="16:52" hidden="1">
      <c r="P499" s="207">
        <f t="shared" si="225"/>
        <v>1</v>
      </c>
      <c r="Q499" s="415">
        <f>+Q498/VLOOKUP('1. SUMMARY'!$C$20,rate,Sheet1!T$21,0)</f>
        <v>0</v>
      </c>
      <c r="R499" s="415">
        <f>+R498/VLOOKUP('1. SUMMARY'!$C$20,rate,Sheet1!U$21,0)</f>
        <v>0</v>
      </c>
      <c r="S499" s="415">
        <f>+S498/VLOOKUP('1. SUMMARY'!$C$20,rate,Sheet1!V$21,0)</f>
        <v>0</v>
      </c>
      <c r="T499" s="415">
        <f>+T498/VLOOKUP('1. SUMMARY'!$C$20,rate,Sheet1!W$21,0)</f>
        <v>0</v>
      </c>
      <c r="U499" s="415">
        <f>+U498/VLOOKUP('1. SUMMARY'!$C$20,rate,Sheet1!X$21,0)</f>
        <v>0</v>
      </c>
      <c r="V499" s="415">
        <f>+V498/VLOOKUP('1. SUMMARY'!$C$20,rate,Sheet1!Y$21,0)</f>
        <v>0</v>
      </c>
      <c r="W499" s="415">
        <f>+W498/VLOOKUP('1. SUMMARY'!$C$20,rate,Sheet1!Z$21,0)</f>
        <v>0</v>
      </c>
      <c r="X499" s="415">
        <f>+X498/VLOOKUP('1. SUMMARY'!$C$20,rate,Sheet1!AA$21,0)</f>
        <v>0</v>
      </c>
      <c r="Y499" s="415">
        <f>+Y498/VLOOKUP('1. SUMMARY'!$C$20,rate,Sheet1!AB$21,0)</f>
        <v>0</v>
      </c>
      <c r="Z499" s="415">
        <f>+Z498/VLOOKUP('1. SUMMARY'!$C$20,rate,Sheet1!AC$21,0)</f>
        <v>0</v>
      </c>
      <c r="AA499" s="415">
        <f>+AA498/VLOOKUP('1. SUMMARY'!$C$20,rate,Sheet1!AD$21,0)</f>
        <v>0</v>
      </c>
      <c r="AB499" s="415">
        <f>+AB498/VLOOKUP('1. SUMMARY'!$C$20,rate,Sheet1!AE$21,0)</f>
        <v>0</v>
      </c>
      <c r="AC499" s="415">
        <f>+AC498/VLOOKUP('1. SUMMARY'!$C$20,rate,Sheet1!AF$21,0)</f>
        <v>0</v>
      </c>
      <c r="AD499" s="415">
        <f>+AD498/VLOOKUP('1. SUMMARY'!$C$20,rate,Sheet1!AG$21,0)</f>
        <v>0</v>
      </c>
      <c r="AE499" s="415">
        <f>+AE498/VLOOKUP('1. SUMMARY'!$C$20,rate,Sheet1!AH$21,0)</f>
        <v>0</v>
      </c>
      <c r="AF499" s="415">
        <f>+AF498/VLOOKUP('1. SUMMARY'!$C$20,rate,Sheet1!AI$21,0)</f>
        <v>0</v>
      </c>
      <c r="AG499" s="415">
        <f>+AG498/VLOOKUP('1. SUMMARY'!$C$20,rate,Sheet1!AJ$21,0)</f>
        <v>0</v>
      </c>
      <c r="AH499" s="219"/>
      <c r="AI499" s="415"/>
      <c r="AJ499" s="415"/>
      <c r="AK499" s="415"/>
      <c r="AL499" s="415"/>
      <c r="AM499" s="415"/>
      <c r="AN499" s="415"/>
      <c r="AO499" s="415"/>
      <c r="AP499" s="415"/>
      <c r="AQ499" s="415"/>
      <c r="AR499" s="415"/>
      <c r="AS499" s="415"/>
      <c r="AT499" s="415"/>
      <c r="AU499" s="415"/>
      <c r="AV499" s="415"/>
      <c r="AW499" s="415"/>
      <c r="AX499" s="415"/>
      <c r="AY499" s="415"/>
      <c r="AZ499" s="415"/>
    </row>
    <row r="500" spans="16:52" hidden="1">
      <c r="P500" s="207">
        <f t="shared" si="225"/>
        <v>1</v>
      </c>
      <c r="Q500" s="411">
        <f>Sheet1!$T$8</f>
        <v>44105</v>
      </c>
      <c r="R500" s="411">
        <f>Sheet1!$U$8</f>
        <v>44470</v>
      </c>
      <c r="S500" s="411">
        <f>Sheet1!$V$8</f>
        <v>44835</v>
      </c>
      <c r="T500" s="411">
        <f>Sheet1!$W$8</f>
        <v>45200</v>
      </c>
      <c r="U500" s="411">
        <f>Sheet1!$X$8</f>
        <v>45566</v>
      </c>
      <c r="V500" s="411">
        <f>Sheet1!$Y$8</f>
        <v>45931</v>
      </c>
      <c r="W500" s="411">
        <f>Sheet1!$Z$8</f>
        <v>46296</v>
      </c>
      <c r="X500" s="411">
        <f>Sheet1!$AA$8</f>
        <v>46661</v>
      </c>
      <c r="Y500" s="411">
        <f>Sheet1!$AB$8</f>
        <v>47027</v>
      </c>
      <c r="Z500" s="411">
        <f>Sheet1!$AC$8</f>
        <v>47392</v>
      </c>
      <c r="AA500" s="411">
        <f>$AA$5</f>
        <v>47757</v>
      </c>
      <c r="AB500" s="411">
        <f>$AB$5</f>
        <v>48122</v>
      </c>
      <c r="AC500" s="411">
        <f>$AC$5</f>
        <v>48488</v>
      </c>
      <c r="AD500" s="411">
        <f>$AD$5</f>
        <v>48853</v>
      </c>
      <c r="AE500" s="411">
        <f>$AE$5</f>
        <v>49218</v>
      </c>
      <c r="AF500" s="411">
        <f>$AF$5</f>
        <v>49583</v>
      </c>
      <c r="AG500" s="411">
        <f>$AG$5</f>
        <v>49949</v>
      </c>
      <c r="AH500" s="219"/>
      <c r="AI500" s="411">
        <f t="shared" ref="AI500:AR502" si="228">+Q500</f>
        <v>44105</v>
      </c>
      <c r="AJ500" s="411">
        <f t="shared" si="228"/>
        <v>44470</v>
      </c>
      <c r="AK500" s="411">
        <f t="shared" si="228"/>
        <v>44835</v>
      </c>
      <c r="AL500" s="411">
        <f t="shared" si="228"/>
        <v>45200</v>
      </c>
      <c r="AM500" s="411">
        <f t="shared" si="228"/>
        <v>45566</v>
      </c>
      <c r="AN500" s="411">
        <f t="shared" si="228"/>
        <v>45931</v>
      </c>
      <c r="AO500" s="411">
        <f t="shared" si="228"/>
        <v>46296</v>
      </c>
      <c r="AP500" s="411">
        <f t="shared" si="228"/>
        <v>46661</v>
      </c>
      <c r="AQ500" s="411">
        <f t="shared" si="228"/>
        <v>47027</v>
      </c>
      <c r="AR500" s="411">
        <f t="shared" si="228"/>
        <v>47392</v>
      </c>
      <c r="AS500" s="411">
        <f t="shared" ref="AS500:AY502" si="229">+AA500</f>
        <v>47757</v>
      </c>
      <c r="AT500" s="411">
        <f t="shared" si="229"/>
        <v>48122</v>
      </c>
      <c r="AU500" s="411">
        <f t="shared" si="229"/>
        <v>48488</v>
      </c>
      <c r="AV500" s="411">
        <f t="shared" si="229"/>
        <v>48853</v>
      </c>
      <c r="AW500" s="411">
        <f t="shared" si="229"/>
        <v>49218</v>
      </c>
      <c r="AX500" s="411">
        <f t="shared" si="229"/>
        <v>49583</v>
      </c>
      <c r="AY500" s="411">
        <f t="shared" si="229"/>
        <v>49949</v>
      </c>
      <c r="AZ500" s="411"/>
    </row>
    <row r="501" spans="16:52" hidden="1">
      <c r="P501" s="207">
        <f t="shared" si="225"/>
        <v>1</v>
      </c>
      <c r="Q501" s="411">
        <f>Sheet1!$T$9</f>
        <v>44469</v>
      </c>
      <c r="R501" s="411">
        <f>Sheet1!$U$9</f>
        <v>44834</v>
      </c>
      <c r="S501" s="411">
        <f>Sheet1!$V$9</f>
        <v>45199</v>
      </c>
      <c r="T501" s="411">
        <f>Sheet1!$W$9</f>
        <v>45565</v>
      </c>
      <c r="U501" s="411">
        <f>Sheet1!$X$9</f>
        <v>45930</v>
      </c>
      <c r="V501" s="411">
        <f>Sheet1!$Y$9</f>
        <v>46295</v>
      </c>
      <c r="W501" s="411">
        <f>Sheet1!$Z$9</f>
        <v>46660</v>
      </c>
      <c r="X501" s="411">
        <f>Sheet1!$AA$9</f>
        <v>47026</v>
      </c>
      <c r="Y501" s="411">
        <f>Sheet1!$AB$9</f>
        <v>47391</v>
      </c>
      <c r="Z501" s="411">
        <f>Sheet1!$AC$9</f>
        <v>47756</v>
      </c>
      <c r="AA501" s="411">
        <f>$AA$6</f>
        <v>48121</v>
      </c>
      <c r="AB501" s="411">
        <f>$AB$6</f>
        <v>48487</v>
      </c>
      <c r="AC501" s="411">
        <f>$AC$6</f>
        <v>48852</v>
      </c>
      <c r="AD501" s="411">
        <f>$AD$6</f>
        <v>49217</v>
      </c>
      <c r="AE501" s="411">
        <f>$AE$6</f>
        <v>49582</v>
      </c>
      <c r="AF501" s="411">
        <f>$AF$6</f>
        <v>49948</v>
      </c>
      <c r="AG501" s="411">
        <f>$AG$6</f>
        <v>50313</v>
      </c>
      <c r="AH501" s="219"/>
      <c r="AI501" s="411">
        <f t="shared" si="228"/>
        <v>44469</v>
      </c>
      <c r="AJ501" s="411">
        <f t="shared" si="228"/>
        <v>44834</v>
      </c>
      <c r="AK501" s="411">
        <f t="shared" si="228"/>
        <v>45199</v>
      </c>
      <c r="AL501" s="411">
        <f t="shared" si="228"/>
        <v>45565</v>
      </c>
      <c r="AM501" s="411">
        <f t="shared" si="228"/>
        <v>45930</v>
      </c>
      <c r="AN501" s="411">
        <f t="shared" si="228"/>
        <v>46295</v>
      </c>
      <c r="AO501" s="411">
        <f t="shared" si="228"/>
        <v>46660</v>
      </c>
      <c r="AP501" s="411">
        <f t="shared" si="228"/>
        <v>47026</v>
      </c>
      <c r="AQ501" s="411">
        <f t="shared" si="228"/>
        <v>47391</v>
      </c>
      <c r="AR501" s="411">
        <f t="shared" si="228"/>
        <v>47756</v>
      </c>
      <c r="AS501" s="411">
        <f t="shared" si="229"/>
        <v>48121</v>
      </c>
      <c r="AT501" s="411">
        <f t="shared" si="229"/>
        <v>48487</v>
      </c>
      <c r="AU501" s="411">
        <f t="shared" si="229"/>
        <v>48852</v>
      </c>
      <c r="AV501" s="411">
        <f t="shared" si="229"/>
        <v>49217</v>
      </c>
      <c r="AW501" s="411">
        <f t="shared" si="229"/>
        <v>49582</v>
      </c>
      <c r="AX501" s="411">
        <f t="shared" si="229"/>
        <v>49948</v>
      </c>
      <c r="AY501" s="411">
        <f t="shared" si="229"/>
        <v>50313</v>
      </c>
      <c r="AZ501" s="411"/>
    </row>
    <row r="502" spans="16:52" hidden="1">
      <c r="P502" s="207">
        <f t="shared" si="225"/>
        <v>1</v>
      </c>
      <c r="Q502" s="412">
        <f>IF(IF(Q501&lt;$H$27,0,DATEDIF($H$27,Q501+1,"m"))&lt;0,0,IF(Q501&lt;$H$27,0,DATEDIF($H$27,Q501+1,"m")))</f>
        <v>0</v>
      </c>
      <c r="R502" s="412">
        <f>IF(IF(Q502=12,0,IF(R501&gt;$H$28,12-DATEDIF($H$28,R501+1,"m"),IF(R501&lt;$H$27,0,DATEDIF($H$27,R501+1,"m"))))&lt;0,0,IF(Q502=12,0,IF(R501&gt;$H$28,12-DATEDIF($H$28,R501+1,"m"),IF(R501&lt;$H$27,0,DATEDIF($H$27,R501+1,"m")))))</f>
        <v>0</v>
      </c>
      <c r="S502" s="412">
        <f>IF(IF(Q502+R502=12,0,IF(S501&gt;$H$28,12-DATEDIF($H$28,S501+1,"m"),IF(S501&lt;$H$27,0,DATEDIF($H$27,S501+1,"m"))))&lt;0,0,IF(Q502+R502=12,0,IF(S501&gt;$H$28,12-DATEDIF($H$28,S501+1,"m"),IF(S501&lt;$H$27,0,DATEDIF($H$27,S501+1,"m")))))</f>
        <v>0</v>
      </c>
      <c r="T502" s="412">
        <f>IF(IF(R502+S502+Q502=12,0,IF(T501&gt;$H$28,12-DATEDIF($H$28,T501+1,"m"),IF(T501&lt;$H$27,0,DATEDIF($H$27,T501+1,"m"))))&lt;0,0,IF(R502+S502+Q502=12,0,IF(T501&gt;$H$28,12-DATEDIF($H$28,T501+1,"m"),IF(T501&lt;$H$27,0,DATEDIF($H$27,T501+1,"m")))))</f>
        <v>0</v>
      </c>
      <c r="U502" s="412">
        <f>IF(IF(S502+T502+R502+Q502=12,0,IF(U501&gt;$H$28,12-DATEDIF($H$28,U501+1,"m"),IF(U501&lt;$H$27,0,DATEDIF($H$27,U501+1,"m"))))&lt;0,0,IF(S502+T502+R502+Q502=12,0,IF(U501&gt;$H$28,12-DATEDIF($H$28,U501+1,"m"),IF(U501&lt;$H$27,0,DATEDIF($H$27,U501+1,"m")))))</f>
        <v>0</v>
      </c>
      <c r="V502" s="412">
        <f>IF(IF(T502+U502+S502+R502+Q502=12,0,IF(V501&gt;$H$28,12-DATEDIF($H$28,V501+1,"m"),IF(V501&lt;$H$27,0,DATEDIF($H$27,V501+1,"m"))))&lt;0,0,IF(T502+U502+S502+R502+Q502=12,0,IF(V501&gt;$H$28,12-DATEDIF($H$28,V501+1,"m"),IF(V501&lt;$H$27,0,DATEDIF($H$27,V501+1,"m")))))</f>
        <v>0</v>
      </c>
      <c r="W502" s="412">
        <f>IF(IF(U502+V502+T502+S502+R502+Q502=12,0,IF(W501&gt;$H$28,12-DATEDIF($H$28,W501+1,"m"),IF(W501&lt;$H$27,0,DATEDIF($H$27,W501+1,"m"))))&lt;0,0,IF(U502+V502+T502+S502+R502+Q502=12,0,IF(W501&gt;$H$28,12-DATEDIF($H$28,W501+1,"m"),IF(W501&lt;$H$27,0,DATEDIF($H$27,W501+1,"m")))))</f>
        <v>0</v>
      </c>
      <c r="X502" s="412">
        <f>IF(IF(V502+W502+U502+T502+S502+R502+Q502=12,0,IF(X501&gt;$H$28,12-DATEDIF($H$28,X501+1,"m"),IF(X501&lt;$H$27,0,DATEDIF($H$27,X501+1,"m"))))&lt;0,0,IF(V502+W502+U502+T502+S502+R502+Q502=12,0,IF(X501&gt;$H$28,12-DATEDIF($H$28,X501+1,"m"),IF(X501&lt;$H$27,0,DATEDIF($H$27,X501+1,"m")))))</f>
        <v>0</v>
      </c>
      <c r="Y502" s="412">
        <f>IF(IF(W502+X502+V502+U502+T502+S502+R502+Q502=12,0,IF(Y501&gt;$H$28,12-DATEDIF($H$28,Y501+1,"m"),IF(Y501&lt;$H$27,0,DATEDIF($H$27,Y501+1,"m"))))&lt;0,0,IF(W502+X502+V502+U502+T502+S502+R502+Q502=12,0,IF(Y501&gt;$H$28,12-DATEDIF($H$28,Y501+1,"m"),IF(Y501&lt;$H$27,0,DATEDIF($H$27,Y501+1,"m")))))</f>
        <v>0</v>
      </c>
      <c r="Z502" s="412">
        <f>IF(IF(X502+Y502+W502+V502+U502+T502+S502+R502+Q502=12,0,IF(Z501&gt;$H$28,12-DATEDIF($H$28,Z501+1,"m"),IF(Z501&lt;$H$27,0,DATEDIF($H$27,Z501+1,"m"))))&lt;0,0,IF(X502+Y502+W502+V502+U502+T502+S502+R502+Q502=12,0,IF(Z501&gt;$H$28,12-DATEDIF($H$28,Z501+1,"m"),IF(Z501&lt;$H$27,0,DATEDIF($H$27,Z501+1,"m")))))</f>
        <v>0</v>
      </c>
      <c r="AA502" s="412">
        <f>IF(IF(Q502+R502+S502+Y502+Z502+X502+W502+V502+U502+T502=12,0,IF(AA501&gt;$H$28,12-DATEDIF($H$28,AA501+1,"m"),IF(AA501&lt;$H$27,0,DATEDIF($H$27,AA501+1,"m"))))&lt;0,0,IF(Q502+R502+S502+Y502+Z502+X502+W502+V502+U502+T502=12,0,IF(AA501&gt;$H$28,12-DATEDIF($H$28,AA501+1,"m"),IF(AA501&lt;$H$27,0,DATEDIF($H$27,AA501+1,"m")))))</f>
        <v>0</v>
      </c>
      <c r="AB502" s="412">
        <f>IF(IF(Q502+R502+S502+T502+Z502+AA502+Y502+X502+W502+V502+U502=12,0,IF(AB501&gt;$H$28,12-DATEDIF($H$28,AB501+1,"m"),IF(AB501&lt;$H$27,0,DATEDIF($H$27,AB501+1,"m"))))&lt;0,0,IF(Q502+R502+S502+T502+Z502+AA502+Y502+X502+W502+V502+U502=12,0,IF(AB501&gt;$H$28,12-DATEDIF($H$28,AB501+1,"m"),IF(AB501&lt;$H$27,0,DATEDIF($H$27,AB501+1,"m")))))</f>
        <v>0</v>
      </c>
      <c r="AC502" s="412">
        <f>IF(IF(Q502+R502+S502+T502+U502+AA502+AB502+Z502+Y502+X502+W502+V502=12,0,IF(AC501&gt;$H$28,12-DATEDIF($H$28,AC501+1,"m"),IF(AC501&lt;$H$27,0,DATEDIF($H$27,AC501+1,"m"))))&lt;0,0,IF(Q502+R502+S502+T502+U502+AA502+AB502+Z502+Y502+X502+W502+V502=12,0,IF(AC501&gt;$H$28,12-DATEDIF($H$28,AC501+1,"m"),IF(AC501&lt;$H$27,0,DATEDIF($H$27,AC501+1,"m")))))</f>
        <v>0</v>
      </c>
      <c r="AD502" s="412">
        <f>IF(IF(Q502+R502+S502+T502+U502+V502+AB502+AC502+AA502+Z502+Y502+X502+W502=12,0,IF(AD501&gt;$H$28,12-DATEDIF($H$28,AD501+1,"m"),IF(AD501&lt;$H$27,0,DATEDIF($H$27,AD501+1,"m"))))&lt;0,0,IF(Q502+R502+S502+T502+U502+V502+AB502+AC502+AA502+Z502+Y502+X502+W502=12,0,IF(AD501&gt;$H$28,12-DATEDIF($H$28,AD501+1,"m"),IF(AD501&lt;$H$27,0,DATEDIF($H$27,AD501+1,"m")))))</f>
        <v>0</v>
      </c>
      <c r="AE502" s="412">
        <f>IF(IF(Q502+R502+S502+T502+U502+V502+W502+AC502+AD502+AB502+AA502+Z502+Y502+X502=12,0,IF(AE501&gt;$H$28,12-DATEDIF($H$28,AE501+1,"m"),IF(AE501&lt;$H$27,0,DATEDIF($H$27,AE501+1,"m"))))&lt;0,0,IF(Q502+R502+S502+T502+U502+V502+W502+AC502+AD502+AB502+AA502+Z502+Y502+X502=12,0,IF(AE501&gt;$H$28,12-DATEDIF($H$28,AE501+1,"m"),IF(AE501&lt;$H$27,0,DATEDIF($H$27,AE501+1,"m")))))</f>
        <v>0</v>
      </c>
      <c r="AF502" s="412">
        <f>IF(IF(Q502+R502+S502+T502+U502+V502+W502+X502+AD502+AE502+AC502+AB502+AA502+Z502+Y502=12,0,IF(AF501&gt;$H$28,12-DATEDIF($H$28,AF501+1,"m"),IF(AF501&lt;$H$27,0,DATEDIF($H$27,AF501+1,"m"))))&lt;0,0,IF(Q502+R502+S502+T502+U502+V502+W502+X502+AD502+AE502+AC502+AB502+AA502+Z502+Y502=12,0,IF(AF501&gt;$H$28,12-DATEDIF($H$28,AF501+1,"m"),IF(AF501&lt;$H$27,0,DATEDIF($H$27,AF501+1,"m")))))</f>
        <v>0</v>
      </c>
      <c r="AG502" s="412">
        <f>IF(IF(Q502+R502+S502+T502+U502+V502+W502+X502+Y502+AE502+AF502+AD502+AC502+AB502+AA502+Z502=12,0,IF(AG501&gt;$H$28,12-DATEDIF($H$28,AG501+1,"m"),IF(AG501&lt;$H$27,0,DATEDIF($H$27,AG501+1,"m"))))&lt;0,0,IF(Q502+R502+S502+T502+U502+V502+W502+X502+Y502+AE502+AF502+AD502+AC502+AB502+AA502+Z502=12,0,IF(AG501&gt;$H$28,12-DATEDIF($H$28,AG501+1,"m"),IF(AG501&lt;$H$27,0,DATEDIF($H$27,AG501+1,"m")))))</f>
        <v>0</v>
      </c>
      <c r="AH502" s="423">
        <f>SUM(Q502:AG502)</f>
        <v>0</v>
      </c>
      <c r="AI502" s="425">
        <f t="shared" si="228"/>
        <v>0</v>
      </c>
      <c r="AJ502" s="425">
        <f t="shared" si="228"/>
        <v>0</v>
      </c>
      <c r="AK502" s="425">
        <f t="shared" si="228"/>
        <v>0</v>
      </c>
      <c r="AL502" s="425">
        <f t="shared" si="228"/>
        <v>0</v>
      </c>
      <c r="AM502" s="425">
        <f t="shared" si="228"/>
        <v>0</v>
      </c>
      <c r="AN502" s="425">
        <f t="shared" si="228"/>
        <v>0</v>
      </c>
      <c r="AO502" s="425">
        <f t="shared" si="228"/>
        <v>0</v>
      </c>
      <c r="AP502" s="425">
        <f t="shared" si="228"/>
        <v>0</v>
      </c>
      <c r="AQ502" s="425">
        <f t="shared" si="228"/>
        <v>0</v>
      </c>
      <c r="AR502" s="425">
        <f t="shared" si="228"/>
        <v>0</v>
      </c>
      <c r="AS502" s="425">
        <f t="shared" si="229"/>
        <v>0</v>
      </c>
      <c r="AT502" s="425">
        <f t="shared" si="229"/>
        <v>0</v>
      </c>
      <c r="AU502" s="425">
        <f t="shared" si="229"/>
        <v>0</v>
      </c>
      <c r="AV502" s="425">
        <f t="shared" si="229"/>
        <v>0</v>
      </c>
      <c r="AW502" s="425">
        <f t="shared" si="229"/>
        <v>0</v>
      </c>
      <c r="AX502" s="425">
        <f t="shared" si="229"/>
        <v>0</v>
      </c>
      <c r="AY502" s="425">
        <f t="shared" si="229"/>
        <v>0</v>
      </c>
      <c r="AZ502" s="425">
        <f>SUM(AI502:AY502)</f>
        <v>0</v>
      </c>
    </row>
    <row r="503" spans="16:52" hidden="1">
      <c r="P503" s="207">
        <f t="shared" si="225"/>
        <v>1</v>
      </c>
      <c r="Q503" s="412">
        <f>IF(Q502=0,0,(IF(($B$169+$C$169+$D$169+$E$169+$F$169+$G$169+$H$169)&lt;=25000,(($H$169/+$AH502)*Q502)*VLOOKUP('1. SUMMARY'!$C$20,rate,Sheet1!T$21,0),((IF(($F$169+$B$169+$C$169+$D$169+$E$169+$G$169)&gt;=25000,0,(((25000-($B$169+$C$169+$D$169+$E$169+$F$169+$G$169))/+$AH502)*Q502)*(VLOOKUP('1. SUMMARY'!$C$20,rate,Sheet1!T$21,0))))))))</f>
        <v>0</v>
      </c>
      <c r="R503" s="412">
        <f>IF(R502=0,0,(IF(($B$169+$C$169+$D$169+$E$169+$F$169+$G$169+$H$169)&lt;=25000,(($H$169/+$AH502)*R502)*VLOOKUP('1. SUMMARY'!$C$20,rate,Sheet1!U$21,0),((IF(($F$169+$B$169+$C$169+$D$169+$E$169+$G$169)&gt;=25000,0,(((25000-($B$169+$C$169+$D$169+$E$169+$F$169+$G$169))/+$AH502)*R502)*(VLOOKUP('1. SUMMARY'!$C$20,rate,Sheet1!U$21,0))))))))</f>
        <v>0</v>
      </c>
      <c r="S503" s="412">
        <f>IF(S502=0,0,(IF(($B$169+$C$169+$D$169+$E$169+$F$169+$G$169+$H$169)&lt;=25000,(($H$169/+$AH502)*S502)*VLOOKUP('1. SUMMARY'!$C$20,rate,Sheet1!V$21,0),((IF(($F$169+$B$169+$C$169+$D$169+$E$169+$G$169)&gt;=25000,0,(((25000-($B$169+$C$169+$D$169+$E$169+$F$169+$G$169))/+$AH502)*S502)*(VLOOKUP('1. SUMMARY'!$C$20,rate,Sheet1!V$21,0))))))))</f>
        <v>0</v>
      </c>
      <c r="T503" s="412">
        <f>IF(T502=0,0,(IF(($B$169+$C$169+$D$169+$E$169+$F$169+$G$169+$H$169)&lt;=25000,(($H$169/+$AH502)*T502)*VLOOKUP('1. SUMMARY'!$C$20,rate,Sheet1!W$21,0),((IF(($F$169+$B$169+$C$169+$D$169+$E$169+$G$169)&gt;=25000,0,(((25000-($B$169+$C$169+$D$169+$E$169+$F$169+$G$169))/+$AH502)*T502)*(VLOOKUP('1. SUMMARY'!$C$20,rate,Sheet1!W$21,0))))))))</f>
        <v>0</v>
      </c>
      <c r="U503" s="412">
        <f>IF(U502=0,0,(IF(($B$169+$C$169+$D$169+$E$169+$F$169+$G$169+$H$169)&lt;=25000,(($H$169/+$AH502)*U502)*VLOOKUP('1. SUMMARY'!$C$20,rate,Sheet1!X$21,0),((IF(($F$169+$B$169+$C$169+$D$169+$E$169+$G$169)&gt;=25000,0,(((25000-($B$169+$C$169+$D$169+$E$169+$F$169+$G$169))/+$AH502)*U502)*(VLOOKUP('1. SUMMARY'!$C$20,rate,Sheet1!X$21,0))))))))</f>
        <v>0</v>
      </c>
      <c r="V503" s="412">
        <f>IF(V502=0,0,(IF(($B$169+$C$169+$D$169+$E$169+$F$169+$G$169+$H$169)&lt;=25000,(($H$169/+$AH502)*V502)*VLOOKUP('1. SUMMARY'!$C$20,rate,Sheet1!Y$21,0),((IF(($F$169+$B$169+$C$169+$D$169+$E$169+$G$169)&gt;=25000,0,(((25000-($B$169+$C$169+$D$169+$E$169+$F$169+$G$169))/+$AH502)*V502)*(VLOOKUP('1. SUMMARY'!$C$20,rate,Sheet1!Y$21,0))))))))</f>
        <v>0</v>
      </c>
      <c r="W503" s="412">
        <f>IF(W502=0,0,(IF(($B$169+$C$169+$D$169+$E$169+$F$169+$G$169+$H$169)&lt;=25000,(($H$169/+$AH502)*W502)*VLOOKUP('1. SUMMARY'!$C$20,rate,Sheet1!Z$21,0),((IF(($F$169+$B$169+$C$169+$D$169+$E$169+$G$169)&gt;=25000,0,(((25000-($B$169+$C$169+$D$169+$E$169+$F$169+$G$169))/+$AH502)*W502)*(VLOOKUP('1. SUMMARY'!$C$20,rate,Sheet1!Z$21,0))))))))</f>
        <v>0</v>
      </c>
      <c r="X503" s="412">
        <f>IF(X502=0,0,(IF(($B$169+$C$169+$D$169+$E$169+$F$169+$G$169+$H$169)&lt;=25000,(($H$169/+$AH502)*X502)*VLOOKUP('1. SUMMARY'!$C$20,rate,Sheet1!AA$21,0),((IF(($F$169+$B$169+$C$169+$D$169+$E$169+$G$169)&gt;=25000,0,(((25000-($B$169+$C$169+$D$169+$E$169+$F$169+$G$169))/+$AH502)*X502)*(VLOOKUP('1. SUMMARY'!$C$20,rate,Sheet1!AA$21,0))))))))</f>
        <v>0</v>
      </c>
      <c r="Y503" s="412">
        <f>IF(Y502=0,0,(IF(($B$169+$C$169+$D$169+$E$169+$F$169+$G$169+$H$169)&lt;=25000,(($H$169/+$AH502)*Y502)*VLOOKUP('1. SUMMARY'!$C$20,rate,Sheet1!AB$21,0),((IF(($F$169+$B$169+$C$169+$D$169+$E$169+$G$169)&gt;=25000,0,(((25000-($B$169+$C$169+$D$169+$E$169+$F$169+$G$169))/+$AH502)*Y502)*(VLOOKUP('1. SUMMARY'!$C$20,rate,Sheet1!AB$21,0))))))))</f>
        <v>0</v>
      </c>
      <c r="Z503" s="412">
        <f>IF(Z502=0,0,(IF(($B$169+$C$169+$D$169+$E$169+$F$169+$G$169+$H$169)&lt;=25000,(($H$169/+$AH502)*Z502)*VLOOKUP('1. SUMMARY'!$C$20,rate,Sheet1!AC$21,0),((IF(($F$169+$B$169+$C$169+$D$169+$E$169+$G$169)&gt;=25000,0,(((25000-($B$169+$C$169+$D$169+$E$169+$F$169+$G$169))/+$AH502)*Z502)*(VLOOKUP('1. SUMMARY'!$C$20,rate,Sheet1!AC$21,0))))))))</f>
        <v>0</v>
      </c>
      <c r="AA503" s="412">
        <f>IF(AA502=0,0,(IF(($B$169+$C$169+$D$169+$E$169+$F$169+$G$169+$H$169)&lt;=25000,(($H$169/+$AH502)*AA502)*VLOOKUP('1. SUMMARY'!$C$20,rate,Sheet1!AD$21,0),((IF(($F$169+$B$169+$C$169+$D$169+$E$169+$G$169)&gt;=25000,0,(((25000-($B$169+$C$169+$D$169+$E$169+$F$169+$G$169))/+$AH502)*AA502)*(VLOOKUP('1. SUMMARY'!$C$20,rate,Sheet1!AD$21,0))))))))</f>
        <v>0</v>
      </c>
      <c r="AB503" s="412">
        <f>IF(AB502=0,0,(IF(($B$169+$C$169+$D$169+$E$169+$F$169+$G$169+$H$169)&lt;=25000,(($H$169/+$AH502)*AB502)*VLOOKUP('1. SUMMARY'!$C$20,rate,Sheet1!AE$21,0),((IF(($F$169+$B$169+$C$169+$D$169+$E$169+$G$169)&gt;=25000,0,(((25000-($B$169+$C$169+$D$169+$E$169+$F$169+$G$169))/+$AH502)*AB502)*(VLOOKUP('1. SUMMARY'!$C$20,rate,Sheet1!AE$21,0))))))))</f>
        <v>0</v>
      </c>
      <c r="AC503" s="412">
        <f>IF(AC502=0,0,(IF(($B$169+$C$169+$D$169+$E$169+$F$169+$G$169+$H$169)&lt;=25000,(($H$169/+$AH502)*AC502)*VLOOKUP('1. SUMMARY'!$C$20,rate,Sheet1!AF$21,0),((IF(($F$169+$B$169+$C$169+$D$169+$E$169+$G$169)&gt;=25000,0,(((25000-($B$169+$C$169+$D$169+$E$169+$F$169+$G$169))/+$AH502)*AC502)*(VLOOKUP('1. SUMMARY'!$C$20,rate,Sheet1!AF$21,0))))))))</f>
        <v>0</v>
      </c>
      <c r="AD503" s="412">
        <f>IF(AD502=0,0,(IF(($B$169+$C$169+$D$169+$E$169+$F$169+$G$169+$H$169)&lt;=25000,(($H$169/+$AH502)*AD502)*VLOOKUP('1. SUMMARY'!$C$20,rate,Sheet1!AG$21,0),((IF(($F$169+$B$169+$C$169+$D$169+$E$169+$G$169)&gt;=25000,0,(((25000-($B$169+$C$169+$D$169+$E$169+$F$169+$G$169))/+$AH502)*AD502)*(VLOOKUP('1. SUMMARY'!$C$20,rate,Sheet1!AG$21,0))))))))</f>
        <v>0</v>
      </c>
      <c r="AE503" s="412">
        <f>IF(AE502=0,0,(IF(($B$169+$C$169+$D$169+$E$169+$F$169+$G$169+$H$169)&lt;=25000,(($H$169/+$AH502)*AE502)*VLOOKUP('1. SUMMARY'!$C$20,rate,Sheet1!AH$21,0),((IF(($F$169+$B$169+$C$169+$D$169+$E$169+$G$169)&gt;=25000,0,(((25000-($B$169+$C$169+$D$169+$E$169+$F$169+$G$169))/+$AH502)*AE502)*(VLOOKUP('1. SUMMARY'!$C$20,rate,Sheet1!AH$21,0))))))))</f>
        <v>0</v>
      </c>
      <c r="AF503" s="412">
        <f>IF(AF502=0,0,(IF(($B$169+$C$169+$D$169+$E$169+$F$169+$G$169+$H$169)&lt;=25000,(($H$169/+$AH502)*AF502)*VLOOKUP('1. SUMMARY'!$C$20,rate,Sheet1!AI$21,0),((IF(($F$169+$B$169+$C$169+$D$169+$E$169+$G$169)&gt;=25000,0,(((25000-($B$169+$C$169+$D$169+$E$169+$F$169+$G$169))/+$AH502)*AF502)*(VLOOKUP('1. SUMMARY'!$C$20,rate,Sheet1!AI$21,0))))))))</f>
        <v>0</v>
      </c>
      <c r="AG503" s="412">
        <f>IF(AG502=0,0,(IF(($B$169+$C$169+$D$169+$E$169+$F$169+$G$169+$H$169)&lt;=25000,(($H$169/+$AH502)*AG502)*VLOOKUP('1. SUMMARY'!$C$20,rate,Sheet1!AJ$21,0),((IF(($F$169+$B$169+$C$169+$D$169+$E$169+$G$169)&gt;=25000,0,(((25000-($B$169+$C$169+$D$169+$E$169+$F$169+$G$169))/+$AH502)*AG502)*(VLOOKUP('1. SUMMARY'!$C$20,rate,Sheet1!AJ$21,0))))))))</f>
        <v>0</v>
      </c>
      <c r="AH503" s="219">
        <f>SUM(Q503:AG503)</f>
        <v>0</v>
      </c>
      <c r="AI503" s="412">
        <f>IF(AI502=0,0,((+$H169/$AZ502)*AI502)*VLOOKUP('1. SUMMARY'!$C$20,rate,Sheet1!T$21,0))</f>
        <v>0</v>
      </c>
      <c r="AJ503" s="412">
        <f>IF(AJ502=0,0,((+$H169/$AZ502)*AJ502)*VLOOKUP('1. SUMMARY'!$C$20,rate,Sheet1!U$21,0))</f>
        <v>0</v>
      </c>
      <c r="AK503" s="412">
        <f>IF(AK502=0,0,((+$H169/$AZ502)*AK502)*VLOOKUP('1. SUMMARY'!$C$20,rate,Sheet1!V$21,0))</f>
        <v>0</v>
      </c>
      <c r="AL503" s="412">
        <f>IF(AL502=0,0,((+$H169/$AZ502)*AL502)*VLOOKUP('1. SUMMARY'!$C$20,rate,Sheet1!W$21,0))</f>
        <v>0</v>
      </c>
      <c r="AM503" s="412">
        <f>IF(AM502=0,0,((+$H169/$AZ502)*AM502)*VLOOKUP('1. SUMMARY'!$C$20,rate,Sheet1!X$21,0))</f>
        <v>0</v>
      </c>
      <c r="AN503" s="412">
        <f>IF(AN502=0,0,((+$H169/$AZ502)*AN502)*VLOOKUP('1. SUMMARY'!$C$20,rate,Sheet1!Y$21,0))</f>
        <v>0</v>
      </c>
      <c r="AO503" s="412">
        <f>IF(AO502=0,0,((+$H169/$AZ502)*AO502)*VLOOKUP('1. SUMMARY'!$C$20,rate,Sheet1!Z$21,0))</f>
        <v>0</v>
      </c>
      <c r="AP503" s="412">
        <f>IF(AP502=0,0,((+$H169/$AZ502)*AP502)*VLOOKUP('1. SUMMARY'!$C$20,rate,Sheet1!AA$21,0))</f>
        <v>0</v>
      </c>
      <c r="AQ503" s="412">
        <f>IF(AQ502=0,0,((+$H169/$AZ502)*AQ502)*VLOOKUP('1. SUMMARY'!$C$20,rate,Sheet1!AB$21,0))</f>
        <v>0</v>
      </c>
      <c r="AR503" s="412">
        <f>IF(AR502=0,0,((+$H169/$AZ502)*AR502)*VLOOKUP('1. SUMMARY'!$C$20,rate,Sheet1!AC$21,0))</f>
        <v>0</v>
      </c>
      <c r="AS503" s="412">
        <f>IF(AS502=0,0,((+$H169/$AZ502)*AS502)*VLOOKUP('1. SUMMARY'!$C$20,rate,Sheet1!AD$21,0))</f>
        <v>0</v>
      </c>
      <c r="AT503" s="412">
        <f>IF(AT502=0,0,((+$H169/$AZ502)*AT502)*VLOOKUP('1. SUMMARY'!$C$20,rate,Sheet1!AE$21,0))</f>
        <v>0</v>
      </c>
      <c r="AU503" s="412">
        <f>IF(AU502=0,0,((+$H169/$AZ502)*AU502)*VLOOKUP('1. SUMMARY'!$C$20,rate,Sheet1!AF$21,0))</f>
        <v>0</v>
      </c>
      <c r="AV503" s="412">
        <f>IF(AV502=0,0,((+$H169/$AZ502)*AV502)*VLOOKUP('1. SUMMARY'!$C$20,rate,Sheet1!AG$21,0))</f>
        <v>0</v>
      </c>
      <c r="AW503" s="412">
        <f>IF(AW502=0,0,((+$H169/$AZ502)*AW502)*VLOOKUP('1. SUMMARY'!$C$20,rate,Sheet1!AH$21,0))</f>
        <v>0</v>
      </c>
      <c r="AX503" s="412">
        <f>IF(AX502=0,0,((+$H169/$AZ502)*AX502)*VLOOKUP('1. SUMMARY'!$C$20,rate,Sheet1!AI$21,0))</f>
        <v>0</v>
      </c>
      <c r="AY503" s="412">
        <f>IF(AY502=0,0,((+$H169/$AZ502)*AY502)*VLOOKUP('1. SUMMARY'!$C$20,rate,Sheet1!AJ$21,0))</f>
        <v>0</v>
      </c>
      <c r="AZ503" s="412">
        <f>SUM(AI503:AY503)</f>
        <v>0</v>
      </c>
    </row>
    <row r="504" spans="16:52" hidden="1">
      <c r="P504" s="207">
        <f t="shared" si="225"/>
        <v>1</v>
      </c>
      <c r="Q504" s="412">
        <f>+Q503/VLOOKUP('1. SUMMARY'!$C$20,rate,Sheet1!T$21,0)</f>
        <v>0</v>
      </c>
      <c r="R504" s="412">
        <f>+R503/VLOOKUP('1. SUMMARY'!$C$20,rate,Sheet1!U$21,0)</f>
        <v>0</v>
      </c>
      <c r="S504" s="412">
        <f>+S503/VLOOKUP('1. SUMMARY'!$C$20,rate,Sheet1!V$21,0)</f>
        <v>0</v>
      </c>
      <c r="T504" s="412">
        <f>+T503/VLOOKUP('1. SUMMARY'!$C$20,rate,Sheet1!W$21,0)</f>
        <v>0</v>
      </c>
      <c r="U504" s="412">
        <f>+U503/VLOOKUP('1. SUMMARY'!$C$20,rate,Sheet1!X$21,0)</f>
        <v>0</v>
      </c>
      <c r="V504" s="412">
        <f>+V503/VLOOKUP('1. SUMMARY'!$C$20,rate,Sheet1!Y$21,0)</f>
        <v>0</v>
      </c>
      <c r="W504" s="412">
        <f>+W503/VLOOKUP('1. SUMMARY'!$C$20,rate,Sheet1!Z$21,0)</f>
        <v>0</v>
      </c>
      <c r="X504" s="412">
        <f>+X503/VLOOKUP('1. SUMMARY'!$C$20,rate,Sheet1!AA$21,0)</f>
        <v>0</v>
      </c>
      <c r="Y504" s="412">
        <f>+Y503/VLOOKUP('1. SUMMARY'!$C$20,rate,Sheet1!AB$21,0)</f>
        <v>0</v>
      </c>
      <c r="Z504" s="412">
        <f>+Z503/VLOOKUP('1. SUMMARY'!$C$20,rate,Sheet1!AC$21,0)</f>
        <v>0</v>
      </c>
      <c r="AA504" s="412">
        <f>+AA503/VLOOKUP('1. SUMMARY'!$C$20,rate,Sheet1!AD$21,0)</f>
        <v>0</v>
      </c>
      <c r="AB504" s="412">
        <f>+AB503/VLOOKUP('1. SUMMARY'!$C$20,rate,Sheet1!AE$21,0)</f>
        <v>0</v>
      </c>
      <c r="AC504" s="412">
        <f>+AC503/VLOOKUP('1. SUMMARY'!$C$20,rate,Sheet1!AF$21,0)</f>
        <v>0</v>
      </c>
      <c r="AD504" s="412">
        <f>+AD503/VLOOKUP('1. SUMMARY'!$C$20,rate,Sheet1!AG$21,0)</f>
        <v>0</v>
      </c>
      <c r="AE504" s="412">
        <f>+AE503/VLOOKUP('1. SUMMARY'!$C$20,rate,Sheet1!AH$21,0)</f>
        <v>0</v>
      </c>
      <c r="AF504" s="412">
        <f>+AF503/VLOOKUP('1. SUMMARY'!$C$20,rate,Sheet1!AI$21,0)</f>
        <v>0</v>
      </c>
      <c r="AG504" s="412">
        <f>+AG503/VLOOKUP('1. SUMMARY'!$C$20,rate,Sheet1!AJ$21,0)</f>
        <v>0</v>
      </c>
      <c r="AH504" s="219"/>
      <c r="AI504" s="412"/>
      <c r="AJ504" s="412"/>
      <c r="AK504" s="412"/>
      <c r="AL504" s="412"/>
      <c r="AM504" s="412"/>
      <c r="AN504" s="412"/>
      <c r="AO504" s="412"/>
      <c r="AP504" s="412"/>
      <c r="AQ504" s="412"/>
      <c r="AR504" s="412"/>
      <c r="AS504" s="412"/>
      <c r="AT504" s="412"/>
      <c r="AU504" s="412"/>
      <c r="AV504" s="412"/>
      <c r="AW504" s="412"/>
      <c r="AX504" s="412"/>
      <c r="AY504" s="412"/>
      <c r="AZ504" s="412"/>
    </row>
    <row r="505" spans="16:52" hidden="1">
      <c r="P505" s="207">
        <f t="shared" si="225"/>
        <v>1</v>
      </c>
      <c r="Q505" s="418">
        <f>Sheet1!$T$8</f>
        <v>44105</v>
      </c>
      <c r="R505" s="418">
        <f>Sheet1!$U$8</f>
        <v>44470</v>
      </c>
      <c r="S505" s="418">
        <f>Sheet1!$V$8</f>
        <v>44835</v>
      </c>
      <c r="T505" s="418">
        <f>Sheet1!$W$8</f>
        <v>45200</v>
      </c>
      <c r="U505" s="418">
        <f>Sheet1!$X$8</f>
        <v>45566</v>
      </c>
      <c r="V505" s="418">
        <f>Sheet1!$Y$8</f>
        <v>45931</v>
      </c>
      <c r="W505" s="418">
        <f>Sheet1!$Z$8</f>
        <v>46296</v>
      </c>
      <c r="X505" s="418">
        <f>Sheet1!$AA$8</f>
        <v>46661</v>
      </c>
      <c r="Y505" s="418">
        <f>Sheet1!$AB$8</f>
        <v>47027</v>
      </c>
      <c r="Z505" s="418">
        <f>Sheet1!$AC$8</f>
        <v>47392</v>
      </c>
      <c r="AA505" s="418">
        <f>$AA$5</f>
        <v>47757</v>
      </c>
      <c r="AB505" s="418">
        <f>$AB$5</f>
        <v>48122</v>
      </c>
      <c r="AC505" s="418">
        <f>$AC$5</f>
        <v>48488</v>
      </c>
      <c r="AD505" s="418">
        <f>$AD$5</f>
        <v>48853</v>
      </c>
      <c r="AE505" s="418">
        <f>$AE$5</f>
        <v>49218</v>
      </c>
      <c r="AF505" s="418">
        <f>$AF$5</f>
        <v>49583</v>
      </c>
      <c r="AG505" s="418">
        <f>$AG$5</f>
        <v>49949</v>
      </c>
      <c r="AH505" s="219"/>
      <c r="AI505" s="418">
        <f t="shared" ref="AI505:AR507" si="230">+Q505</f>
        <v>44105</v>
      </c>
      <c r="AJ505" s="418">
        <f t="shared" si="230"/>
        <v>44470</v>
      </c>
      <c r="AK505" s="418">
        <f t="shared" si="230"/>
        <v>44835</v>
      </c>
      <c r="AL505" s="418">
        <f t="shared" si="230"/>
        <v>45200</v>
      </c>
      <c r="AM505" s="418">
        <f t="shared" si="230"/>
        <v>45566</v>
      </c>
      <c r="AN505" s="418">
        <f t="shared" si="230"/>
        <v>45931</v>
      </c>
      <c r="AO505" s="418">
        <f t="shared" si="230"/>
        <v>46296</v>
      </c>
      <c r="AP505" s="418">
        <f t="shared" si="230"/>
        <v>46661</v>
      </c>
      <c r="AQ505" s="418">
        <f t="shared" si="230"/>
        <v>47027</v>
      </c>
      <c r="AR505" s="418">
        <f t="shared" si="230"/>
        <v>47392</v>
      </c>
      <c r="AS505" s="418">
        <f t="shared" ref="AS505:AY507" si="231">+AA505</f>
        <v>47757</v>
      </c>
      <c r="AT505" s="418">
        <f t="shared" si="231"/>
        <v>48122</v>
      </c>
      <c r="AU505" s="418">
        <f t="shared" si="231"/>
        <v>48488</v>
      </c>
      <c r="AV505" s="418">
        <f t="shared" si="231"/>
        <v>48853</v>
      </c>
      <c r="AW505" s="418">
        <f t="shared" si="231"/>
        <v>49218</v>
      </c>
      <c r="AX505" s="418">
        <f t="shared" si="231"/>
        <v>49583</v>
      </c>
      <c r="AY505" s="418">
        <f t="shared" si="231"/>
        <v>49949</v>
      </c>
      <c r="AZ505" s="418"/>
    </row>
    <row r="506" spans="16:52" hidden="1">
      <c r="P506" s="207">
        <f t="shared" si="225"/>
        <v>1</v>
      </c>
      <c r="Q506" s="418">
        <f>Sheet1!$T$9</f>
        <v>44469</v>
      </c>
      <c r="R506" s="418">
        <f>Sheet1!$U$9</f>
        <v>44834</v>
      </c>
      <c r="S506" s="418">
        <f>Sheet1!$V$9</f>
        <v>45199</v>
      </c>
      <c r="T506" s="418">
        <f>Sheet1!$W$9</f>
        <v>45565</v>
      </c>
      <c r="U506" s="418">
        <f>Sheet1!$X$9</f>
        <v>45930</v>
      </c>
      <c r="V506" s="418">
        <f>Sheet1!$Y$9</f>
        <v>46295</v>
      </c>
      <c r="W506" s="418">
        <f>Sheet1!$Z$9</f>
        <v>46660</v>
      </c>
      <c r="X506" s="418">
        <f>Sheet1!$AA$9</f>
        <v>47026</v>
      </c>
      <c r="Y506" s="418">
        <f>Sheet1!$AB$9</f>
        <v>47391</v>
      </c>
      <c r="Z506" s="418">
        <f>Sheet1!$AC$9</f>
        <v>47756</v>
      </c>
      <c r="AA506" s="418">
        <f>$AA$6</f>
        <v>48121</v>
      </c>
      <c r="AB506" s="418">
        <f>$AB$6</f>
        <v>48487</v>
      </c>
      <c r="AC506" s="418">
        <f>$AC$6</f>
        <v>48852</v>
      </c>
      <c r="AD506" s="418">
        <f>$AD$6</f>
        <v>49217</v>
      </c>
      <c r="AE506" s="418">
        <f>$AE$6</f>
        <v>49582</v>
      </c>
      <c r="AF506" s="418">
        <f>$AF$6</f>
        <v>49948</v>
      </c>
      <c r="AG506" s="418">
        <f>$AG$6</f>
        <v>50313</v>
      </c>
      <c r="AH506" s="219"/>
      <c r="AI506" s="418">
        <f t="shared" si="230"/>
        <v>44469</v>
      </c>
      <c r="AJ506" s="418">
        <f t="shared" si="230"/>
        <v>44834</v>
      </c>
      <c r="AK506" s="418">
        <f t="shared" si="230"/>
        <v>45199</v>
      </c>
      <c r="AL506" s="418">
        <f t="shared" si="230"/>
        <v>45565</v>
      </c>
      <c r="AM506" s="418">
        <f t="shared" si="230"/>
        <v>45930</v>
      </c>
      <c r="AN506" s="418">
        <f t="shared" si="230"/>
        <v>46295</v>
      </c>
      <c r="AO506" s="418">
        <f t="shared" si="230"/>
        <v>46660</v>
      </c>
      <c r="AP506" s="418">
        <f t="shared" si="230"/>
        <v>47026</v>
      </c>
      <c r="AQ506" s="418">
        <f t="shared" si="230"/>
        <v>47391</v>
      </c>
      <c r="AR506" s="418">
        <f t="shared" si="230"/>
        <v>47756</v>
      </c>
      <c r="AS506" s="418">
        <f t="shared" si="231"/>
        <v>48121</v>
      </c>
      <c r="AT506" s="418">
        <f t="shared" si="231"/>
        <v>48487</v>
      </c>
      <c r="AU506" s="418">
        <f t="shared" si="231"/>
        <v>48852</v>
      </c>
      <c r="AV506" s="418">
        <f t="shared" si="231"/>
        <v>49217</v>
      </c>
      <c r="AW506" s="418">
        <f t="shared" si="231"/>
        <v>49582</v>
      </c>
      <c r="AX506" s="418">
        <f t="shared" si="231"/>
        <v>49948</v>
      </c>
      <c r="AY506" s="418">
        <f t="shared" si="231"/>
        <v>50313</v>
      </c>
      <c r="AZ506" s="418"/>
    </row>
    <row r="507" spans="16:52" hidden="1">
      <c r="P507" s="207">
        <f t="shared" si="225"/>
        <v>1</v>
      </c>
      <c r="Q507" s="419">
        <f>IF(IF(Q506&lt;$I$27,0,DATEDIF($I$27,Q506+1,"m"))&lt;0,0,IF(Q506&lt;$I$27,0,DATEDIF($I$27,Q506+1,"m")))</f>
        <v>0</v>
      </c>
      <c r="R507" s="419">
        <f>IF(IF(Q507=12,0,IF(R506&gt;$I$28,12-DATEDIF($I$28,R506+1,"m"),IF(R506&lt;$I$27,0,DATEDIF($I$27,R506+1,"m"))))&lt;0,0,IF(Q507=12,0,IF(R506&gt;$I$28,12-DATEDIF($I$28,R506+1,"m"),IF(R506&lt;$I$27,0,DATEDIF($I$27,R506+1,"m")))))</f>
        <v>0</v>
      </c>
      <c r="S507" s="419">
        <f>IF(IF(Q507+R507=12,0,IF(S506&gt;$I$28,12-DATEDIF($I$28,S506+1,"m"),IF(S506&lt;$I$27,0,DATEDIF($I$27,S506+1,"m"))))&lt;0,0,IF(Q507+R507=12,0,IF(S506&gt;$I$28,12-DATEDIF($I$28,S506+1,"m"),IF(S506&lt;$I$27,0,DATEDIF($I$27,S506+1,"m")))))</f>
        <v>0</v>
      </c>
      <c r="T507" s="419">
        <f>IF(IF(R507+S507+Q507=12,0,IF(T506&gt;$I$28,12-DATEDIF($I$28,T506+1,"m"),IF(T506&lt;$I$27,0,DATEDIF($I$27,T506+1,"m"))))&lt;0,0,IF(R507+S507+Q507=12,0,IF(T506&gt;$I$28,12-DATEDIF($I$28,T506+1,"m"),IF(T506&lt;$I$27,0,DATEDIF($I$27,T506+1,"m")))))</f>
        <v>0</v>
      </c>
      <c r="U507" s="419">
        <f>IF(IF(S507+T507+R507+Q507=12,0,IF(U506&gt;$I$28,12-DATEDIF($I$28,U506+1,"m"),IF(U506&lt;$I$27,0,DATEDIF($I$27,U506+1,"m"))))&lt;0,0,IF(S507+T507+R507+Q507=12,0,IF(U506&gt;$I$28,12-DATEDIF($I$28,U506+1,"m"),IF(U506&lt;$I$27,0,DATEDIF($I$27,U506+1,"m")))))</f>
        <v>0</v>
      </c>
      <c r="V507" s="419">
        <f>IF(IF(T507+U507+S507+R507+Q507=12,0,IF(V506&gt;$I$28,12-DATEDIF($I$28,V506+1,"m"),IF(V506&lt;$I$27,0,DATEDIF($I$27,V506+1,"m"))))&lt;0,0,IF(T507+U507+S507+R507+Q507=12,0,IF(V506&gt;$I$28,12-DATEDIF($I$28,V506+1,"m"),IF(V506&lt;$I$27,0,DATEDIF($I$27,V506+1,"m")))))</f>
        <v>0</v>
      </c>
      <c r="W507" s="419">
        <f>IF(IF(U507+V507+T507+S507+R507+Q507=12,0,IF(W506&gt;$I$28,12-DATEDIF($I$28,W506+1,"m"),IF(W506&lt;$I$27,0,DATEDIF($I$27,W506+1,"m"))))&lt;0,0,IF(U507+V507+T507+S507+R507+Q507=12,0,IF(W506&gt;$I$28,12-DATEDIF($I$28,W506+1,"m"),IF(W506&lt;$I$27,0,DATEDIF($I$27,W506+1,"m")))))</f>
        <v>0</v>
      </c>
      <c r="X507" s="419">
        <f>IF(IF(V507+W507+U507+T507+S507+R507+Q507=12,0,IF(X506&gt;$I$28,12-DATEDIF($I$28,X506+1,"m"),IF(X506&lt;$I$27,0,DATEDIF($I$27,X506+1,"m"))))&lt;0,0,IF(V507+W507+U507+T507+S507+R507+Q507=12,0,IF(X506&gt;$I$28,12-DATEDIF($I$28,X506+1,"m"),IF(X506&lt;$I$27,0,DATEDIF($I$27,X506+1,"m")))))</f>
        <v>0</v>
      </c>
      <c r="Y507" s="419">
        <f>IF(IF(W507+X507+V507+U507+T507+S507+R507+Q507=12,0,IF(Y506&gt;$I$28,12-DATEDIF($I$28,Y506+1,"m"),IF(Y506&lt;$I$27,0,DATEDIF($I$27,Y506+1,"m"))))&lt;0,0,IF(W507+X507+V507+U507+T507+S507+R507+Q507=12,0,IF(Y506&gt;$I$28,12-DATEDIF($I$28,Y506+1,"m"),IF(Y506&lt;$I$27,0,DATEDIF($I$27,Y506+1,"m")))))</f>
        <v>0</v>
      </c>
      <c r="Z507" s="419">
        <f>IF(IF(X507+Y507+W507+V507+U507+T507+S507+R507+Q507=12,0,IF(Z506&gt;$I$28,12-DATEDIF($I$28,Z506+1,"m"),IF(Z506&lt;$I$27,0,DATEDIF($I$27,Z506+1,"m"))))&lt;0,0,IF(X507+Y507+W507+V507+U507+T507+S507+R507+Q507=12,0,IF(Z506&gt;$I$28,12-DATEDIF($I$28,Z506+1,"m"),IF(Z506&lt;$I$27,0,DATEDIF($I$27,Z506+1,"m")))))</f>
        <v>0</v>
      </c>
      <c r="AA507" s="419">
        <f>IF(IF(Q507+R507+S507+Y507+Z507+X507+W507+V507+U507+T507=12,0,IF(AA506&gt;$I$28,12-DATEDIF($I$28,AA506+1,"m"),IF(AA506&lt;$I$27,0,DATEDIF($I$27,AA506+1,"m"))))&lt;0,0,IF(Q507+R507+S507+Y507+Z507+X507+W507+V507+U507+T507=12,0,IF(AA506&gt;$I$28,12-DATEDIF($I$28,AA506+1,"m"),IF(AA506&lt;$I$27,0,DATEDIF($I$27,AA506+1,"m")))))</f>
        <v>0</v>
      </c>
      <c r="AB507" s="419">
        <f>IF(IF(Q507+R507+S507+T507+Z507+AA507+Y507+X507+W507+V507+U507=12,0,IF(AB506&gt;$I$28,12-DATEDIF($I$28,AB506+1,"m"),IF(AB506&lt;$I$27,0,DATEDIF($I$27,AB506+1,"m"))))&lt;0,0,IF(Q507+R507+S507+T507+Z507+AA507+Y507+X507+W507+V507+U507=12,0,IF(AB506&gt;$I$28,12-DATEDIF($I$28,AB506+1,"m"),IF(AB506&lt;$I$27,0,DATEDIF($I$27,AB506+1,"m")))))</f>
        <v>0</v>
      </c>
      <c r="AC507" s="419">
        <f>IF(IF(Q507+R507+S507+T507+U507+AA507+AB507+Z507+Y507+X507+W507+V507=12,0,IF(AC506&gt;$I$28,12-DATEDIF($I$28,AC506+1,"m"),IF(AC506&lt;$I$27,0,DATEDIF($I$27,AC506+1,"m"))))&lt;0,0,IF(Q507+R507+S507+T507+U507+AA507+AB507+Z507+Y507+X507+W507+V507=12,0,IF(AC506&gt;$I$28,12-DATEDIF($I$28,AC506+1,"m"),IF(AC506&lt;$I$27,0,DATEDIF($I$27,AC506+1,"m")))))</f>
        <v>0</v>
      </c>
      <c r="AD507" s="419">
        <f>IF(IF(Q507+R507+S507+T507+U507+V507+AB507+AC507+AA507+Z507+Y507+X507+W507=12,0,IF(AD506&gt;$I$28,12-DATEDIF($I$28,AD506+1,"m"),IF(AD506&lt;$I$27,0,DATEDIF($I$27,AD506+1,"m"))))&lt;0,0,IF(Q507+R507+S507+T507+U507+V507+AB507+AC507+AA507+Z507+Y507+X507+W507=12,0,IF(AD506&gt;$I$28,12-DATEDIF($I$28,AD506+1,"m"),IF(AD506&lt;$I$27,0,DATEDIF($I$27,AD506+1,"m")))))</f>
        <v>0</v>
      </c>
      <c r="AE507" s="419">
        <f>IF(IF(Q507+R507+S507+T507+U507+V507+W507+AC507+AD507+AB507+AA507+Z507+Y507+X507=12,0,IF(AE506&gt;$I$28,12-DATEDIF($I$28,AE506+1,"m"),IF(AE506&lt;$I$27,0,DATEDIF($I$27,AE506+1,"m"))))&lt;0,0,IF(Q507+R507+S507+T507+U507+V507+W507+AC507+AD507+AB507+AA507+Z507+Y507+X507=12,0,IF(AE506&gt;$I$28,12-DATEDIF($I$28,AE506+1,"m"),IF(AE506&lt;$I$27,0,DATEDIF($I$27,AE506+1,"m")))))</f>
        <v>0</v>
      </c>
      <c r="AF507" s="419">
        <f>IF(IF(Q507+R507+S507+T507+U507+V507+W507+X507+AD507+AE507+AC507+AB507+AA507+Z507+Y507=12,0,IF(AF506&gt;$I$28,12-DATEDIF($I$28,AF506+1,"m"),IF(AF506&lt;$I$27,0,DATEDIF($I$27,AF506+1,"m"))))&lt;0,0,IF(Q507+R507+S507+T507+U507+V507+W507+X507+AD507+AE507+AC507+AB507+AA507+Z507+Y507=12,0,IF(AF506&gt;$I$28,12-DATEDIF($I$28,AF506+1,"m"),IF(AF506&lt;$I$27,0,DATEDIF($I$27,AF506+1,"m")))))</f>
        <v>0</v>
      </c>
      <c r="AG507" s="419">
        <f>IF(IF(Q507+R507+S507+T507+U507+V507+W507+X507+Y507+AE507+AF507+AD507+AC507+AB507+AA507+Z507=12,0,IF(AG506&gt;$I$28,12-DATEDIF($I$28,AG506+1,"m"),IF(AG506&lt;$I$27,0,DATEDIF($I$27,AG506+1,"m"))))&lt;0,0,IF(Q507+R507+S507+T507+U507+V507+W507+X507+Y507+AE507+AF507+AD507+AC507+AB507+AA507+Z507=12,0,IF(AG506&gt;$I$28,12-DATEDIF($I$28,AG506+1,"m"),IF(AG506&lt;$I$27,0,DATEDIF($I$27,AG506+1,"m")))))</f>
        <v>0</v>
      </c>
      <c r="AH507" s="423">
        <f>SUM(Q507:AG507)</f>
        <v>0</v>
      </c>
      <c r="AI507" s="426">
        <f t="shared" si="230"/>
        <v>0</v>
      </c>
      <c r="AJ507" s="426">
        <f t="shared" si="230"/>
        <v>0</v>
      </c>
      <c r="AK507" s="426">
        <f t="shared" si="230"/>
        <v>0</v>
      </c>
      <c r="AL507" s="426">
        <f t="shared" si="230"/>
        <v>0</v>
      </c>
      <c r="AM507" s="426">
        <f t="shared" si="230"/>
        <v>0</v>
      </c>
      <c r="AN507" s="426">
        <f t="shared" si="230"/>
        <v>0</v>
      </c>
      <c r="AO507" s="426">
        <f t="shared" si="230"/>
        <v>0</v>
      </c>
      <c r="AP507" s="426">
        <f t="shared" si="230"/>
        <v>0</v>
      </c>
      <c r="AQ507" s="426">
        <f t="shared" si="230"/>
        <v>0</v>
      </c>
      <c r="AR507" s="426">
        <f t="shared" si="230"/>
        <v>0</v>
      </c>
      <c r="AS507" s="426">
        <f t="shared" si="231"/>
        <v>0</v>
      </c>
      <c r="AT507" s="426">
        <f t="shared" si="231"/>
        <v>0</v>
      </c>
      <c r="AU507" s="426">
        <f t="shared" si="231"/>
        <v>0</v>
      </c>
      <c r="AV507" s="426">
        <f t="shared" si="231"/>
        <v>0</v>
      </c>
      <c r="AW507" s="426">
        <f t="shared" si="231"/>
        <v>0</v>
      </c>
      <c r="AX507" s="426">
        <f t="shared" si="231"/>
        <v>0</v>
      </c>
      <c r="AY507" s="426">
        <f t="shared" si="231"/>
        <v>0</v>
      </c>
      <c r="AZ507" s="426">
        <f>SUM(AI507:AY507)</f>
        <v>0</v>
      </c>
    </row>
    <row r="508" spans="16:52" hidden="1">
      <c r="P508" s="207">
        <f t="shared" si="225"/>
        <v>1</v>
      </c>
      <c r="Q508" s="419">
        <f>IF(Q507=0,0,(IF(($B$169+$C$169+$D$169+$E$169+$F$169+$G$169+$H$169+$I$169)&lt;=25000,(($I$169/+$AH507)*Q507)*VLOOKUP('1. SUMMARY'!$C$20,rate,Sheet1!T$21,0),((IF(($F$169+$B$169+$C$169+$D$169+$E$169+$G$169+$H$169)&gt;=25000,0,(((25000-($B$169+$C$169+$D$169+$E$169+$F$169+$G$169+$H$169))/+$AH507)*Q507)*(VLOOKUP('1. SUMMARY'!$C$20,rate,Sheet1!T$21,0))))))))</f>
        <v>0</v>
      </c>
      <c r="R508" s="419">
        <f>IF(R507=0,0,(IF(($B$169+$C$169+$D$169+$E$169+$F$169+$G$169+$H$169+$I$169)&lt;=25000,(($I$169/+$AH507)*R507)*VLOOKUP('1. SUMMARY'!$C$20,rate,Sheet1!U$21,0),((IF(($F$169+$B$169+$C$169+$D$169+$E$169+$G$169+$H$169)&gt;=25000,0,(((25000-($B$169+$C$169+$D$169+$E$169+$F$169+$G$169+$H$169))/+$AH507)*R507)*(VLOOKUP('1. SUMMARY'!$C$20,rate,Sheet1!U$21,0))))))))</f>
        <v>0</v>
      </c>
      <c r="S508" s="419">
        <f>IF(S507=0,0,(IF(($B$169+$C$169+$D$169+$E$169+$F$169+$G$169+$H$169+$I$169)&lt;=25000,(($I$169/+$AH507)*S507)*VLOOKUP('1. SUMMARY'!$C$20,rate,Sheet1!V$21,0),((IF(($F$169+$B$169+$C$169+$D$169+$E$169+$G$169+$H$169)&gt;=25000,0,(((25000-($B$169+$C$169+$D$169+$E$169+$F$169+$G$169+$H$169))/+$AH507)*S507)*(VLOOKUP('1. SUMMARY'!$C$20,rate,Sheet1!V$21,0))))))))</f>
        <v>0</v>
      </c>
      <c r="T508" s="419">
        <f>IF(T507=0,0,(IF(($B$169+$C$169+$D$169+$E$169+$F$169+$G$169+$H$169+$I$169)&lt;=25000,(($I$169/+$AH507)*T507)*VLOOKUP('1. SUMMARY'!$C$20,rate,Sheet1!W$21,0),((IF(($F$169+$B$169+$C$169+$D$169+$E$169+$G$169+$H$169)&gt;=25000,0,(((25000-($B$169+$C$169+$D$169+$E$169+$F$169+$G$169+$H$169))/+$AH507)*T507)*(VLOOKUP('1. SUMMARY'!$C$20,rate,Sheet1!W$21,0))))))))</f>
        <v>0</v>
      </c>
      <c r="U508" s="419">
        <f>IF(U507=0,0,(IF(($B$169+$C$169+$D$169+$E$169+$F$169+$G$169+$H$169+$I$169)&lt;=25000,(($I$169/+$AH507)*U507)*VLOOKUP('1. SUMMARY'!$C$20,rate,Sheet1!X$21,0),((IF(($F$169+$B$169+$C$169+$D$169+$E$169+$G$169+$H$169)&gt;=25000,0,(((25000-($B$169+$C$169+$D$169+$E$169+$F$169+$G$169+$H$169))/+$AH507)*U507)*(VLOOKUP('1. SUMMARY'!$C$20,rate,Sheet1!X$21,0))))))))</f>
        <v>0</v>
      </c>
      <c r="V508" s="419">
        <f>IF(V507=0,0,(IF(($B$169+$C$169+$D$169+$E$169+$F$169+$G$169+$H$169+$I$169)&lt;=25000,(($I$169/+$AH507)*V507)*VLOOKUP('1. SUMMARY'!$C$20,rate,Sheet1!Y$21,0),((IF(($F$169+$B$169+$C$169+$D$169+$E$169+$G$169+$H$169)&gt;=25000,0,(((25000-($B$169+$C$169+$D$169+$E$169+$F$169+$G$169+$H$169))/+$AH507)*V507)*(VLOOKUP('1. SUMMARY'!$C$20,rate,Sheet1!Y$21,0))))))))</f>
        <v>0</v>
      </c>
      <c r="W508" s="419">
        <f>IF(W507=0,0,(IF(($B$169+$C$169+$D$169+$E$169+$F$169+$G$169+$H$169+$I$169)&lt;=25000,(($I$169/+$AH507)*W507)*VLOOKUP('1. SUMMARY'!$C$20,rate,Sheet1!Z$21,0),((IF(($F$169+$B$169+$C$169+$D$169+$E$169+$G$169+$H$169)&gt;=25000,0,(((25000-($B$169+$C$169+$D$169+$E$169+$F$169+$G$169+$H$169))/+$AH507)*W507)*(VLOOKUP('1. SUMMARY'!$C$20,rate,Sheet1!Z$21,0))))))))</f>
        <v>0</v>
      </c>
      <c r="X508" s="419">
        <f>IF(X507=0,0,(IF(($B$169+$C$169+$D$169+$E$169+$F$169+$G$169+$H$169+$I$169)&lt;=25000,(($I$169/+$AH507)*X507)*VLOOKUP('1. SUMMARY'!$C$20,rate,Sheet1!AA$21,0),((IF(($F$169+$B$169+$C$169+$D$169+$E$169+$G$169+$H$169)&gt;=25000,0,(((25000-($B$169+$C$169+$D$169+$E$169+$F$169+$G$169+$H$169))/+$AH507)*X507)*(VLOOKUP('1. SUMMARY'!$C$20,rate,Sheet1!AA$21,0))))))))</f>
        <v>0</v>
      </c>
      <c r="Y508" s="419">
        <f>IF(Y507=0,0,(IF(($B$169+$C$169+$D$169+$E$169+$F$169+$G$169+$H$169+$I$169)&lt;=25000,(($I$169/+$AH507)*Y507)*VLOOKUP('1. SUMMARY'!$C$20,rate,Sheet1!AB$21,0),((IF(($F$169+$B$169+$C$169+$D$169+$E$169+$G$169+$H$169)&gt;=25000,0,(((25000-($B$169+$C$169+$D$169+$E$169+$F$169+$G$169+$H$169))/+$AH507)*Y507)*(VLOOKUP('1. SUMMARY'!$C$20,rate,Sheet1!AB$21,0))))))))</f>
        <v>0</v>
      </c>
      <c r="Z508" s="419">
        <f>IF(Z507=0,0,(IF(($B$169+$C$169+$D$169+$E$169+$F$169+$G$169+$H$169+$I$169)&lt;=25000,(($I$169/+$AH507)*Z507)*VLOOKUP('1. SUMMARY'!$C$20,rate,Sheet1!AC$21,0),((IF(($F$169+$B$169+$C$169+$D$169+$E$169+$G$169+$H$169)&gt;=25000,0,(((25000-($B$169+$C$169+$D$169+$E$169+$F$169+$G$169+$H$169))/+$AH507)*Z507)*(VLOOKUP('1. SUMMARY'!$C$20,rate,Sheet1!AC$21,0))))))))</f>
        <v>0</v>
      </c>
      <c r="AA508" s="419">
        <f>IF(AA507=0,0,(IF(($B$169+$C$169+$D$169+$E$169+$F$169+$G$169+$H$169+$I$169)&lt;=25000,(($I$169/+$AH507)*AA507)*VLOOKUP('1. SUMMARY'!$C$20,rate,Sheet1!AD$21,0),((IF(($F$169+$B$169+$C$169+$D$169+$E$169+$G$169+$H$169)&gt;=25000,0,(((25000-($B$169+$C$169+$D$169+$E$169+$F$169+$G$169+$H$169))/+$AH507)*AA507)*(VLOOKUP('1. SUMMARY'!$C$20,rate,Sheet1!AD$21,0))))))))</f>
        <v>0</v>
      </c>
      <c r="AB508" s="419">
        <f>IF(AB507=0,0,(IF(($B$169+$C$169+$D$169+$E$169+$F$169+$G$169+$H$169+$I$169)&lt;=25000,(($I$169/+$AH507)*AB507)*VLOOKUP('1. SUMMARY'!$C$20,rate,Sheet1!AE$21,0),((IF(($F$169+$B$169+$C$169+$D$169+$E$169+$G$169+$H$169)&gt;=25000,0,(((25000-($B$169+$C$169+$D$169+$E$169+$F$169+$G$169+$H$169))/+$AH507)*AB507)*(VLOOKUP('1. SUMMARY'!$C$20,rate,Sheet1!AE$21,0))))))))</f>
        <v>0</v>
      </c>
      <c r="AC508" s="419">
        <f>IF(AC507=0,0,(IF(($B$169+$C$169+$D$169+$E$169+$F$169+$G$169+$H$169+$I$169)&lt;=25000,(($I$169/+$AH507)*AC507)*VLOOKUP('1. SUMMARY'!$C$20,rate,Sheet1!AF$21,0),((IF(($F$169+$B$169+$C$169+$D$169+$E$169+$G$169+$H$169)&gt;=25000,0,(((25000-($B$169+$C$169+$D$169+$E$169+$F$169+$G$169+$H$169))/+$AH507)*AC507)*(VLOOKUP('1. SUMMARY'!$C$20,rate,Sheet1!AF$21,0))))))))</f>
        <v>0</v>
      </c>
      <c r="AD508" s="419">
        <f>IF(AD507=0,0,(IF(($B$169+$C$169+$D$169+$E$169+$F$169+$G$169+$H$169+$I$169)&lt;=25000,(($I$169/+$AH507)*AD507)*VLOOKUP('1. SUMMARY'!$C$20,rate,Sheet1!AG$21,0),((IF(($F$169+$B$169+$C$169+$D$169+$E$169+$G$169+$H$169)&gt;=25000,0,(((25000-($B$169+$C$169+$D$169+$E$169+$F$169+$G$169+$H$169))/+$AH507)*AD507)*(VLOOKUP('1. SUMMARY'!$C$20,rate,Sheet1!AG$21,0))))))))</f>
        <v>0</v>
      </c>
      <c r="AE508" s="419">
        <f>IF(AE507=0,0,(IF(($B$169+$C$169+$D$169+$E$169+$F$169+$G$169+$H$169+$I$169)&lt;=25000,(($I$169/+$AH507)*AE507)*VLOOKUP('1. SUMMARY'!$C$20,rate,Sheet1!AH$21,0),((IF(($F$169+$B$169+$C$169+$D$169+$E$169+$G$169+$H$169)&gt;=25000,0,(((25000-($B$169+$C$169+$D$169+$E$169+$F$169+$G$169+$H$169))/+$AH507)*AE507)*(VLOOKUP('1. SUMMARY'!$C$20,rate,Sheet1!AH$21,0))))))))</f>
        <v>0</v>
      </c>
      <c r="AF508" s="419">
        <f>IF(AF507=0,0,(IF(($B$169+$C$169+$D$169+$E$169+$F$169+$G$169+$H$169+$I$169)&lt;=25000,(($I$169/+$AH507)*AF507)*VLOOKUP('1. SUMMARY'!$C$20,rate,Sheet1!AI$21,0),((IF(($F$169+$B$169+$C$169+$D$169+$E$169+$G$169+$H$169)&gt;=25000,0,(((25000-($B$169+$C$169+$D$169+$E$169+$F$169+$G$169+$H$169))/+$AH507)*AF507)*(VLOOKUP('1. SUMMARY'!$C$20,rate,Sheet1!AI$21,0))))))))</f>
        <v>0</v>
      </c>
      <c r="AG508" s="419">
        <f>IF(AG507=0,0,(IF(($B$169+$C$169+$D$169+$E$169+$F$169+$G$169+$H$169+$I$169)&lt;=25000,(($I$169/+$AH507)*AG507)*VLOOKUP('1. SUMMARY'!$C$20,rate,Sheet1!AJ$21,0),((IF(($F$169+$B$169+$C$169+$D$169+$E$169+$G$169+$H$169)&gt;=25000,0,(((25000-($B$169+$C$169+$D$169+$E$169+$F$169+$G$169+$H$169))/+$AH507)*AG507)*(VLOOKUP('1. SUMMARY'!$C$20,rate,Sheet1!AJ$21,0))))))))</f>
        <v>0</v>
      </c>
      <c r="AH508" s="219">
        <f>SUM(Q508:AG508)</f>
        <v>0</v>
      </c>
      <c r="AI508" s="419">
        <f>IF(AI507=0,0,((+$I169/$AZ507)*AI507)*VLOOKUP('1. SUMMARY'!$C$20,rate,Sheet1!T$21,0))</f>
        <v>0</v>
      </c>
      <c r="AJ508" s="419">
        <f>IF(AJ507=0,0,((+$I169/$AZ507)*AJ507)*VLOOKUP('1. SUMMARY'!$C$20,rate,Sheet1!U$21,0))</f>
        <v>0</v>
      </c>
      <c r="AK508" s="419">
        <f>IF(AK507=0,0,((+$I169/$AZ507)*AK507)*VLOOKUP('1. SUMMARY'!$C$20,rate,Sheet1!V$21,0))</f>
        <v>0</v>
      </c>
      <c r="AL508" s="419">
        <f>IF(AL507=0,0,((+$I169/$AZ507)*AL507)*VLOOKUP('1. SUMMARY'!$C$20,rate,Sheet1!W$21,0))</f>
        <v>0</v>
      </c>
      <c r="AM508" s="419">
        <f>IF(AM507=0,0,((+$I169/$AZ507)*AM507)*VLOOKUP('1. SUMMARY'!$C$20,rate,Sheet1!X$21,0))</f>
        <v>0</v>
      </c>
      <c r="AN508" s="419">
        <f>IF(AN507=0,0,((+$I169/$AZ507)*AN507)*VLOOKUP('1. SUMMARY'!$C$20,rate,Sheet1!Y$21,0))</f>
        <v>0</v>
      </c>
      <c r="AO508" s="419">
        <f>IF(AO507=0,0,((+$I169/$AZ507)*AO507)*VLOOKUP('1. SUMMARY'!$C$20,rate,Sheet1!Z$21,0))</f>
        <v>0</v>
      </c>
      <c r="AP508" s="419">
        <f>IF(AP507=0,0,((+$I169/$AZ507)*AP507)*VLOOKUP('1. SUMMARY'!$C$20,rate,Sheet1!AA$21,0))</f>
        <v>0</v>
      </c>
      <c r="AQ508" s="419">
        <f>IF(AQ507=0,0,((+$I169/$AZ507)*AQ507)*VLOOKUP('1. SUMMARY'!$C$20,rate,Sheet1!AB$21,0))</f>
        <v>0</v>
      </c>
      <c r="AR508" s="419">
        <f>IF(AR507=0,0,((+$I169/$AZ507)*AR507)*VLOOKUP('1. SUMMARY'!$C$20,rate,Sheet1!AC$21,0))</f>
        <v>0</v>
      </c>
      <c r="AS508" s="419">
        <f>IF(AS507=0,0,((+$I169/$AZ507)*AS507)*VLOOKUP('1. SUMMARY'!$C$20,rate,Sheet1!AD$21,0))</f>
        <v>0</v>
      </c>
      <c r="AT508" s="419">
        <f>IF(AT507=0,0,((+$I169/$AZ507)*AT507)*VLOOKUP('1. SUMMARY'!$C$20,rate,Sheet1!AE$21,0))</f>
        <v>0</v>
      </c>
      <c r="AU508" s="419">
        <f>IF(AU507=0,0,((+$I169/$AZ507)*AU507)*VLOOKUP('1. SUMMARY'!$C$20,rate,Sheet1!AF$21,0))</f>
        <v>0</v>
      </c>
      <c r="AV508" s="419">
        <f>IF(AV507=0,0,((+$I169/$AZ507)*AV507)*VLOOKUP('1. SUMMARY'!$C$20,rate,Sheet1!AG$21,0))</f>
        <v>0</v>
      </c>
      <c r="AW508" s="419">
        <f>IF(AW507=0,0,((+$I169/$AZ507)*AW507)*VLOOKUP('1. SUMMARY'!$C$20,rate,Sheet1!AH$21,0))</f>
        <v>0</v>
      </c>
      <c r="AX508" s="419">
        <f>IF(AX507=0,0,((+$I169/$AZ507)*AX507)*VLOOKUP('1. SUMMARY'!$C$20,rate,Sheet1!AI$21,0))</f>
        <v>0</v>
      </c>
      <c r="AY508" s="419">
        <f>IF(AY507=0,0,((+$I169/$AZ507)*AY507)*VLOOKUP('1. SUMMARY'!$C$20,rate,Sheet1!AJ$21,0))</f>
        <v>0</v>
      </c>
      <c r="AZ508" s="419">
        <f>SUM(AI508:AY508)</f>
        <v>0</v>
      </c>
    </row>
    <row r="509" spans="16:52" hidden="1">
      <c r="P509" s="207">
        <f t="shared" si="225"/>
        <v>1</v>
      </c>
      <c r="Q509" s="419">
        <f>+Q508/VLOOKUP('1. SUMMARY'!$C$20,rate,Sheet1!T$21,0)</f>
        <v>0</v>
      </c>
      <c r="R509" s="419">
        <f>+R508/VLOOKUP('1. SUMMARY'!$C$20,rate,Sheet1!U$21,0)</f>
        <v>0</v>
      </c>
      <c r="S509" s="419">
        <f>+S508/VLOOKUP('1. SUMMARY'!$C$20,rate,Sheet1!V$21,0)</f>
        <v>0</v>
      </c>
      <c r="T509" s="419">
        <f>+T508/VLOOKUP('1. SUMMARY'!$C$20,rate,Sheet1!W$21,0)</f>
        <v>0</v>
      </c>
      <c r="U509" s="419">
        <f>+U508/VLOOKUP('1. SUMMARY'!$C$20,rate,Sheet1!X$21,0)</f>
        <v>0</v>
      </c>
      <c r="V509" s="419">
        <f>+V508/VLOOKUP('1. SUMMARY'!$C$20,rate,Sheet1!Y$21,0)</f>
        <v>0</v>
      </c>
      <c r="W509" s="419">
        <f>+W508/VLOOKUP('1. SUMMARY'!$C$20,rate,Sheet1!Z$21,0)</f>
        <v>0</v>
      </c>
      <c r="X509" s="419">
        <f>+X508/VLOOKUP('1. SUMMARY'!$C$20,rate,Sheet1!AA$21,0)</f>
        <v>0</v>
      </c>
      <c r="Y509" s="419">
        <f>+Y508/VLOOKUP('1. SUMMARY'!$C$20,rate,Sheet1!AB$21,0)</f>
        <v>0</v>
      </c>
      <c r="Z509" s="419">
        <f>+Z508/VLOOKUP('1. SUMMARY'!$C$20,rate,Sheet1!AC$21,0)</f>
        <v>0</v>
      </c>
      <c r="AA509" s="419">
        <f>+AA508/VLOOKUP('1. SUMMARY'!$C$20,rate,Sheet1!AD$21,0)</f>
        <v>0</v>
      </c>
      <c r="AB509" s="419">
        <f>+AB508/VLOOKUP('1. SUMMARY'!$C$20,rate,Sheet1!AE$21,0)</f>
        <v>0</v>
      </c>
      <c r="AC509" s="419">
        <f>+AC508/VLOOKUP('1. SUMMARY'!$C$20,rate,Sheet1!AF$21,0)</f>
        <v>0</v>
      </c>
      <c r="AD509" s="419">
        <f>+AD508/VLOOKUP('1. SUMMARY'!$C$20,rate,Sheet1!AG$21,0)</f>
        <v>0</v>
      </c>
      <c r="AE509" s="419">
        <f>+AE508/VLOOKUP('1. SUMMARY'!$C$20,rate,Sheet1!AH$21,0)</f>
        <v>0</v>
      </c>
      <c r="AF509" s="419">
        <f>+AF508/VLOOKUP('1. SUMMARY'!$C$20,rate,Sheet1!AI$21,0)</f>
        <v>0</v>
      </c>
      <c r="AG509" s="419">
        <f>+AG508/VLOOKUP('1. SUMMARY'!$C$20,rate,Sheet1!AJ$21,0)</f>
        <v>0</v>
      </c>
      <c r="AH509" s="219"/>
      <c r="AI509" s="419"/>
      <c r="AJ509" s="419"/>
      <c r="AK509" s="419"/>
      <c r="AL509" s="419"/>
      <c r="AM509" s="419"/>
      <c r="AN509" s="419"/>
      <c r="AO509" s="419"/>
      <c r="AP509" s="419"/>
      <c r="AQ509" s="419"/>
      <c r="AR509" s="419"/>
      <c r="AS509" s="419"/>
      <c r="AT509" s="419"/>
      <c r="AU509" s="419"/>
      <c r="AV509" s="419"/>
      <c r="AW509" s="419"/>
      <c r="AX509" s="419"/>
      <c r="AY509" s="419"/>
      <c r="AZ509" s="419"/>
    </row>
    <row r="510" spans="16:52" hidden="1">
      <c r="P510" s="207">
        <f t="shared" si="225"/>
        <v>1</v>
      </c>
      <c r="Q510" s="416">
        <f>Sheet1!$T$8</f>
        <v>44105</v>
      </c>
      <c r="R510" s="416">
        <f>Sheet1!$U$8</f>
        <v>44470</v>
      </c>
      <c r="S510" s="416">
        <f>Sheet1!$V$8</f>
        <v>44835</v>
      </c>
      <c r="T510" s="416">
        <f>Sheet1!$W$8</f>
        <v>45200</v>
      </c>
      <c r="U510" s="416">
        <f>Sheet1!$X$8</f>
        <v>45566</v>
      </c>
      <c r="V510" s="416">
        <f>Sheet1!$Y$8</f>
        <v>45931</v>
      </c>
      <c r="W510" s="416">
        <f>Sheet1!$Z$8</f>
        <v>46296</v>
      </c>
      <c r="X510" s="416">
        <f>Sheet1!$AA$8</f>
        <v>46661</v>
      </c>
      <c r="Y510" s="416">
        <f>Sheet1!$AB$8</f>
        <v>47027</v>
      </c>
      <c r="Z510" s="416">
        <f>Sheet1!$AC$8</f>
        <v>47392</v>
      </c>
      <c r="AA510" s="416">
        <f>$AA$5</f>
        <v>47757</v>
      </c>
      <c r="AB510" s="416">
        <f>$AB$5</f>
        <v>48122</v>
      </c>
      <c r="AC510" s="416">
        <f>$AC$5</f>
        <v>48488</v>
      </c>
      <c r="AD510" s="416">
        <f>$AD$5</f>
        <v>48853</v>
      </c>
      <c r="AE510" s="416">
        <f>$AE$5</f>
        <v>49218</v>
      </c>
      <c r="AF510" s="416">
        <f>$AF$5</f>
        <v>49583</v>
      </c>
      <c r="AG510" s="416">
        <f>$AG$5</f>
        <v>49949</v>
      </c>
      <c r="AH510" s="219"/>
      <c r="AI510" s="416">
        <f t="shared" ref="AI510:AR512" si="232">+Q510</f>
        <v>44105</v>
      </c>
      <c r="AJ510" s="416">
        <f t="shared" si="232"/>
        <v>44470</v>
      </c>
      <c r="AK510" s="416">
        <f t="shared" si="232"/>
        <v>44835</v>
      </c>
      <c r="AL510" s="416">
        <f t="shared" si="232"/>
        <v>45200</v>
      </c>
      <c r="AM510" s="416">
        <f t="shared" si="232"/>
        <v>45566</v>
      </c>
      <c r="AN510" s="416">
        <f t="shared" si="232"/>
        <v>45931</v>
      </c>
      <c r="AO510" s="416">
        <f t="shared" si="232"/>
        <v>46296</v>
      </c>
      <c r="AP510" s="416">
        <f t="shared" si="232"/>
        <v>46661</v>
      </c>
      <c r="AQ510" s="416">
        <f t="shared" si="232"/>
        <v>47027</v>
      </c>
      <c r="AR510" s="416">
        <f t="shared" si="232"/>
        <v>47392</v>
      </c>
      <c r="AS510" s="416">
        <f t="shared" ref="AS510:AY512" si="233">+AA510</f>
        <v>47757</v>
      </c>
      <c r="AT510" s="416">
        <f t="shared" si="233"/>
        <v>48122</v>
      </c>
      <c r="AU510" s="416">
        <f t="shared" si="233"/>
        <v>48488</v>
      </c>
      <c r="AV510" s="416">
        <f t="shared" si="233"/>
        <v>48853</v>
      </c>
      <c r="AW510" s="416">
        <f t="shared" si="233"/>
        <v>49218</v>
      </c>
      <c r="AX510" s="416">
        <f t="shared" si="233"/>
        <v>49583</v>
      </c>
      <c r="AY510" s="416">
        <f t="shared" si="233"/>
        <v>49949</v>
      </c>
      <c r="AZ510" s="416"/>
    </row>
    <row r="511" spans="16:52" hidden="1">
      <c r="P511" s="207">
        <f t="shared" si="225"/>
        <v>1</v>
      </c>
      <c r="Q511" s="416">
        <f>Sheet1!$T$9</f>
        <v>44469</v>
      </c>
      <c r="R511" s="416">
        <f>Sheet1!$U$9</f>
        <v>44834</v>
      </c>
      <c r="S511" s="416">
        <f>Sheet1!$V$9</f>
        <v>45199</v>
      </c>
      <c r="T511" s="416">
        <f>Sheet1!$W$9</f>
        <v>45565</v>
      </c>
      <c r="U511" s="416">
        <f>Sheet1!$X$9</f>
        <v>45930</v>
      </c>
      <c r="V511" s="416">
        <f>Sheet1!$Y$9</f>
        <v>46295</v>
      </c>
      <c r="W511" s="416">
        <f>Sheet1!$Z$9</f>
        <v>46660</v>
      </c>
      <c r="X511" s="416">
        <f>Sheet1!$AA$9</f>
        <v>47026</v>
      </c>
      <c r="Y511" s="416">
        <f>Sheet1!$AB$9</f>
        <v>47391</v>
      </c>
      <c r="Z511" s="416">
        <f>Sheet1!$AC$9</f>
        <v>47756</v>
      </c>
      <c r="AA511" s="416">
        <f>$AA$6</f>
        <v>48121</v>
      </c>
      <c r="AB511" s="416">
        <f>$AB$6</f>
        <v>48487</v>
      </c>
      <c r="AC511" s="416">
        <f>$AC$6</f>
        <v>48852</v>
      </c>
      <c r="AD511" s="416">
        <f>$AD$6</f>
        <v>49217</v>
      </c>
      <c r="AE511" s="416">
        <f>$AE$6</f>
        <v>49582</v>
      </c>
      <c r="AF511" s="416">
        <f>$AF$6</f>
        <v>49948</v>
      </c>
      <c r="AG511" s="416">
        <f>$AG$6</f>
        <v>50313</v>
      </c>
      <c r="AH511" s="219"/>
      <c r="AI511" s="416">
        <f t="shared" si="232"/>
        <v>44469</v>
      </c>
      <c r="AJ511" s="416">
        <f t="shared" si="232"/>
        <v>44834</v>
      </c>
      <c r="AK511" s="416">
        <f t="shared" si="232"/>
        <v>45199</v>
      </c>
      <c r="AL511" s="416">
        <f t="shared" si="232"/>
        <v>45565</v>
      </c>
      <c r="AM511" s="416">
        <f t="shared" si="232"/>
        <v>45930</v>
      </c>
      <c r="AN511" s="416">
        <f t="shared" si="232"/>
        <v>46295</v>
      </c>
      <c r="AO511" s="416">
        <f t="shared" si="232"/>
        <v>46660</v>
      </c>
      <c r="AP511" s="416">
        <f t="shared" si="232"/>
        <v>47026</v>
      </c>
      <c r="AQ511" s="416">
        <f t="shared" si="232"/>
        <v>47391</v>
      </c>
      <c r="AR511" s="416">
        <f t="shared" si="232"/>
        <v>47756</v>
      </c>
      <c r="AS511" s="416">
        <f t="shared" si="233"/>
        <v>48121</v>
      </c>
      <c r="AT511" s="416">
        <f t="shared" si="233"/>
        <v>48487</v>
      </c>
      <c r="AU511" s="416">
        <f t="shared" si="233"/>
        <v>48852</v>
      </c>
      <c r="AV511" s="416">
        <f t="shared" si="233"/>
        <v>49217</v>
      </c>
      <c r="AW511" s="416">
        <f t="shared" si="233"/>
        <v>49582</v>
      </c>
      <c r="AX511" s="416">
        <f t="shared" si="233"/>
        <v>49948</v>
      </c>
      <c r="AY511" s="416">
        <f t="shared" si="233"/>
        <v>50313</v>
      </c>
      <c r="AZ511" s="416"/>
    </row>
    <row r="512" spans="16:52" hidden="1">
      <c r="P512" s="207">
        <f t="shared" si="225"/>
        <v>1</v>
      </c>
      <c r="Q512" s="417">
        <f>IF(IF(Q511&lt;$J$27,0,DATEDIF($J$27,Q511+1,"m"))&lt;0,0,IF(Q511&lt;$J$27,0,DATEDIF($J$27,Q511+1,"m")))</f>
        <v>0</v>
      </c>
      <c r="R512" s="417">
        <f>IF(IF(Q512=12,0,IF(R511&gt;$J$28,12-DATEDIF($J$28,R511+1,"m"),IF(R511&lt;$J$27,0,DATEDIF($J$27,R511+1,"m"))))&lt;0,0,IF(Q512=12,0,IF(R511&gt;$J$28,12-DATEDIF($J$28,R511+1,"m"),IF(R511&lt;$J$27,0,DATEDIF($J$27,R511+1,"m")))))</f>
        <v>0</v>
      </c>
      <c r="S512" s="417">
        <f>IF(IF(Q512+R512=12,0,IF(S511&gt;$J$28,12-DATEDIF($J$28,S511+1,"m"),IF(S511&lt;$J$27,0,DATEDIF($J$27,S511+1,"m"))))&lt;0,0,IF(Q512+R512=12,0,IF(S511&gt;$J$28,12-DATEDIF($J$28,S511+1,"m"),IF(S511&lt;$J$27,0,DATEDIF($J$27,S511+1,"m")))))</f>
        <v>0</v>
      </c>
      <c r="T512" s="417">
        <f>IF(IF(R512+S512+Q512=12,0,IF(T511&gt;$J$28,12-DATEDIF($J$28,T511+1,"m"),IF(T511&lt;$J$27,0,DATEDIF($J$27,T511+1,"m"))))&lt;0,0,IF(R512+S512+Q512=12,0,IF(T511&gt;$J$28,12-DATEDIF($J$28,T511+1,"m"),IF(T511&lt;$J$27,0,DATEDIF($J$27,T511+1,"m")))))</f>
        <v>0</v>
      </c>
      <c r="U512" s="417">
        <f>IF(IF(S512+T512+R512+Q512=12,0,IF(U511&gt;$J$28,12-DATEDIF($J$28,U511+1,"m"),IF(U511&lt;$J$27,0,DATEDIF($J$27,U511+1,"m"))))&lt;0,0,IF(S512+T512+R512+Q512=12,0,IF(U511&gt;$J$28,12-DATEDIF($J$28,U511+1,"m"),IF(U511&lt;$J$27,0,DATEDIF($J$27,U511+1,"m")))))</f>
        <v>0</v>
      </c>
      <c r="V512" s="417">
        <f>IF(IF(T512+U512+S512+R512+Q512=12,0,IF(V511&gt;$J$28,12-DATEDIF($J$28,V511+1,"m"),IF(V511&lt;$J$27,0,DATEDIF($J$27,V511+1,"m"))))&lt;0,0,IF(T512+U512+S512+R512+Q512=12,0,IF(V511&gt;$J$28,12-DATEDIF($J$28,V511+1,"m"),IF(V511&lt;$J$27,0,DATEDIF($J$27,V511+1,"m")))))</f>
        <v>0</v>
      </c>
      <c r="W512" s="417">
        <f>IF(IF(U512+V512+T512+S512+R512+Q512=12,0,IF(W511&gt;$J$28,12-DATEDIF($J$28,W511+1,"m"),IF(W511&lt;$J$27,0,DATEDIF($J$27,W511+1,"m"))))&lt;0,0,IF(U512+V512+T512+S512+R512+Q512=12,0,IF(W511&gt;$J$28,12-DATEDIF($J$28,W511+1,"m"),IF(W511&lt;$J$27,0,DATEDIF($J$27,W511+1,"m")))))</f>
        <v>0</v>
      </c>
      <c r="X512" s="417">
        <f>IF(IF(V512+W512+U512+T512+S512+R512+Q512=12,0,IF(X511&gt;$J$28,12-DATEDIF($J$28,X511+1,"m"),IF(X511&lt;$J$27,0,DATEDIF($J$27,X511+1,"m"))))&lt;0,0,IF(V512+W512+U512+T512+S512+R512+Q512=12,0,IF(X511&gt;$J$28,12-DATEDIF($J$28,X511+1,"m"),IF(X511&lt;$J$27,0,DATEDIF($J$27,X511+1,"m")))))</f>
        <v>0</v>
      </c>
      <c r="Y512" s="417">
        <f>IF(IF(W512+X512+V512+U512+T512+S512+R512+Q512=12,0,IF(Y511&gt;$J$28,12-DATEDIF($J$28,Y511+1,"m"),IF(Y511&lt;$J$27,0,DATEDIF($J$27,Y511+1,"m"))))&lt;0,0,IF(W512+X512+V512+U512+T512+S512+R512+Q512=12,0,IF(Y511&gt;$J$28,12-DATEDIF($J$28,Y511+1,"m"),IF(Y511&lt;$J$27,0,DATEDIF($J$27,Y511+1,"m")))))</f>
        <v>0</v>
      </c>
      <c r="Z512" s="417">
        <f>IF(IF(X512+Y512+W512+V512+U512+T512+S512+R512+Q512=12,0,IF(Z511&gt;$J$28,12-DATEDIF($J$28,Z511+1,"m"),IF(Z511&lt;$J$27,0,DATEDIF($J$27,Z511+1,"m"))))&lt;0,0,IF(X512+Y512+W512+V512+U512+T512+S512+R512+Q512=12,0,IF(Z511&gt;$J$28,12-DATEDIF($J$28,Z511+1,"m"),IF(Z511&lt;$J$27,0,DATEDIF($J$27,Z511+1,"m")))))</f>
        <v>0</v>
      </c>
      <c r="AA512" s="417">
        <f>IF(IF(Q512+R512+S512+Y512+Z512+X512+W512+V512+U512+T512=12,0,IF(AA511&gt;$J$28,12-DATEDIF($J$28,AA511+1,"m"),IF(AA511&lt;$J$27,0,DATEDIF($J$27,AA511+1,"m"))))&lt;0,0,IF(Q512+R512+S512+Y512+Z512+X512+W512+V512+U512+T512=12,0,IF(AA511&gt;$J$28,12-DATEDIF($J$28,AA511+1,"m"),IF(AA511&lt;$J$27,0,DATEDIF($J$27,AA511+1,"m")))))</f>
        <v>0</v>
      </c>
      <c r="AB512" s="417">
        <f>IF(IF(Q512+R512+S512+T512+Z512+AA512+Y512+X512+W512+V512+U512=12,0,IF(AB511&gt;$J$28,12-DATEDIF($J$28,AB511+1,"m"),IF(AB511&lt;$J$27,0,DATEDIF($J$27,AB511+1,"m"))))&lt;0,0,IF(Q512+R512+S512+T512+Z512+AA512+Y512+X512+W512+V512+U512=12,0,IF(AB511&gt;$J$28,12-DATEDIF($J$28,AB511+1,"m"),IF(AB511&lt;$J$27,0,DATEDIF($J$27,AB511+1,"m")))))</f>
        <v>0</v>
      </c>
      <c r="AC512" s="417">
        <f>IF(IF(Q512+R512+S512+T512+U512+AA512+AB512+Z512+Y512+X512+W512+V512=12,0,IF(AC511&gt;$J$28,12-DATEDIF($J$28,AC511+1,"m"),IF(AC511&lt;$J$27,0,DATEDIF($J$27,AC511+1,"m"))))&lt;0,0,IF(Q512+R512+S512+T512+U512+AA512+AB512+Z512+Y512+X512+W512+V512=12,0,IF(AC511&gt;$J$28,12-DATEDIF($J$28,AC511+1,"m"),IF(AC511&lt;$J$27,0,DATEDIF($J$27,AC511+1,"m")))))</f>
        <v>0</v>
      </c>
      <c r="AD512" s="417">
        <f>IF(IF(Q512+R512+S512+T512+U512+V512+AB512+AC512+AA512+Z512+Y512+X512+W512=12,0,IF(AD511&gt;$J$28,12-DATEDIF($J$28,AD511+1,"m"),IF(AD511&lt;$J$27,0,DATEDIF($J$27,AD511+1,"m"))))&lt;0,0,IF(Q512+R512+S512+T512+U512+V512+AB512+AC512+AA512+Z512+Y512+X512+W512=12,0,IF(AD511&gt;$J$28,12-DATEDIF($J$28,AD511+1,"m"),IF(AD511&lt;$J$27,0,DATEDIF($J$27,AD511+1,"m")))))</f>
        <v>0</v>
      </c>
      <c r="AE512" s="417">
        <f>IF(IF(Q512+R512+S512+T512+U512+V512+W512+AC512+AD512+AB512+AA512+Z512+Y512+X512=12,0,IF(AE511&gt;$J$28,12-DATEDIF($J$28,AE511+1,"m"),IF(AE511&lt;$J$27,0,DATEDIF($J$27,AE511+1,"m"))))&lt;0,0,IF(Q512+R512+S512+T512+U512+V512+W512+AC512+AD512+AB512+AA512+Z512+Y512+X512=12,0,IF(AE511&gt;$J$28,12-DATEDIF($J$28,AE511+1,"m"),IF(AE511&lt;$J$27,0,DATEDIF($J$27,AE511+1,"m")))))</f>
        <v>0</v>
      </c>
      <c r="AF512" s="417">
        <f>IF(IF(Q512+R512+S512+T512+U512+V512+W512+X512+AD512+AE512+AC512+AB512+AA512+Z512+Y512=12,0,IF(AF511&gt;$J$28,12-DATEDIF($J$28,AF511+1,"m"),IF(AF511&lt;$J$27,0,DATEDIF($J$27,AF511+1,"m"))))&lt;0,0,IF(Q512+R512+S512+T512+U512+V512+W512+X512+AD512+AE512+AC512+AB512+AA512+Z512+Y512=12,0,IF(AF511&gt;$J$28,12-DATEDIF($J$28,AF511+1,"m"),IF(AF511&lt;$J$27,0,DATEDIF($J$27,AF511+1,"m")))))</f>
        <v>0</v>
      </c>
      <c r="AG512" s="417">
        <f>IF(IF(Q512+R512+S512+T512+U512+V512+W512+X512+Y512+AE512+AF512+AD512+AC512+AB512+AA512+Z512=12,0,IF(AG511&gt;$J$28,12-DATEDIF($J$28,AG511+1,"m"),IF(AG511&lt;$J$27,0,DATEDIF($J$27,AG511+1,"m"))))&lt;0,0,IF(Q512+R512+S512+T512+U512+V512+W512+X512+Y512+AE512+AF512+AD512+AC512+AB512+AA512+Z512=12,0,IF(AG511&gt;$J$28,12-DATEDIF($J$28,AG511+1,"m"),IF(AG511&lt;$J$27,0,DATEDIF($J$27,AG511+1,"m")))))</f>
        <v>0</v>
      </c>
      <c r="AH512" s="423">
        <f>SUM(Q512:AG512)</f>
        <v>0</v>
      </c>
      <c r="AI512" s="427">
        <f t="shared" si="232"/>
        <v>0</v>
      </c>
      <c r="AJ512" s="427">
        <f t="shared" si="232"/>
        <v>0</v>
      </c>
      <c r="AK512" s="427">
        <f t="shared" si="232"/>
        <v>0</v>
      </c>
      <c r="AL512" s="427">
        <f t="shared" si="232"/>
        <v>0</v>
      </c>
      <c r="AM512" s="427">
        <f t="shared" si="232"/>
        <v>0</v>
      </c>
      <c r="AN512" s="427">
        <f t="shared" si="232"/>
        <v>0</v>
      </c>
      <c r="AO512" s="427">
        <f t="shared" si="232"/>
        <v>0</v>
      </c>
      <c r="AP512" s="427">
        <f t="shared" si="232"/>
        <v>0</v>
      </c>
      <c r="AQ512" s="427">
        <f t="shared" si="232"/>
        <v>0</v>
      </c>
      <c r="AR512" s="427">
        <f t="shared" si="232"/>
        <v>0</v>
      </c>
      <c r="AS512" s="427">
        <f t="shared" si="233"/>
        <v>0</v>
      </c>
      <c r="AT512" s="427">
        <f t="shared" si="233"/>
        <v>0</v>
      </c>
      <c r="AU512" s="427">
        <f t="shared" si="233"/>
        <v>0</v>
      </c>
      <c r="AV512" s="427">
        <f t="shared" si="233"/>
        <v>0</v>
      </c>
      <c r="AW512" s="427">
        <f t="shared" si="233"/>
        <v>0</v>
      </c>
      <c r="AX512" s="427">
        <f t="shared" si="233"/>
        <v>0</v>
      </c>
      <c r="AY512" s="427">
        <f t="shared" si="233"/>
        <v>0</v>
      </c>
      <c r="AZ512" s="427">
        <f>SUM(AI512:AY512)</f>
        <v>0</v>
      </c>
    </row>
    <row r="513" spans="16:52" hidden="1">
      <c r="P513" s="207">
        <f t="shared" si="225"/>
        <v>1</v>
      </c>
      <c r="Q513" s="417">
        <f>IF(Q512=0,0,(IF(($B$169+$C$169+$D$169+$E$169+$F$169+$G$169+$H$169+$I$169+$J$169)&lt;=25000,(($J$169/+$AH512)*Q512)*VLOOKUP('1. SUMMARY'!$C$20,rate,Sheet1!T$21,0),((IF(($F$169+$B$169+$C$169+$D$169+$E$169+$G$169+$H$169+$I$169)&gt;=25000,0,(((25000-($B$169+$C$169+$D$169+$E$169+$F$169+$G$169+$H$169+$I$169))/+$AH512)*Q512)*(VLOOKUP('1. SUMMARY'!$C$20,rate,Sheet1!T$21,0))))))))</f>
        <v>0</v>
      </c>
      <c r="R513" s="417">
        <f>IF(R512=0,0,(IF(($B$169+$C$169+$D$169+$E$169+$F$169+$G$169+$H$169+$I$169+$J$169)&lt;=25000,(($J$169/+$AH512)*R512)*VLOOKUP('1. SUMMARY'!$C$20,rate,Sheet1!U$21,0),((IF(($F$169+$B$169+$C$169+$D$169+$E$169+$G$169+$H$169+$I$169)&gt;=25000,0,(((25000-($B$169+$C$169+$D$169+$E$169+$F$169+$G$169+$H$169+$I$169))/+$AH512)*R512)*(VLOOKUP('1. SUMMARY'!$C$20,rate,Sheet1!U$21,0))))))))</f>
        <v>0</v>
      </c>
      <c r="S513" s="417">
        <f>IF(S512=0,0,(IF(($B$169+$C$169+$D$169+$E$169+$F$169+$G$169+$H$169+$I$169+$J$169)&lt;=25000,(($J$169/+$AH512)*S512)*VLOOKUP('1. SUMMARY'!$C$20,rate,Sheet1!V$21,0),((IF(($F$169+$B$169+$C$169+$D$169+$E$169+$G$169+$H$169+$I$169)&gt;=25000,0,(((25000-($B$169+$C$169+$D$169+$E$169+$F$169+$G$169+$H$169+$I$169))/+$AH512)*S512)*(VLOOKUP('1. SUMMARY'!$C$20,rate,Sheet1!V$21,0))))))))</f>
        <v>0</v>
      </c>
      <c r="T513" s="417">
        <f>IF(T512=0,0,(IF(($B$169+$C$169+$D$169+$E$169+$F$169+$G$169+$H$169+$I$169+$J$169)&lt;=25000,(($J$169/+$AH512)*T512)*VLOOKUP('1. SUMMARY'!$C$20,rate,Sheet1!W$21,0),((IF(($F$169+$B$169+$C$169+$D$169+$E$169+$G$169+$H$169+$I$169)&gt;=25000,0,(((25000-($B$169+$C$169+$D$169+$E$169+$F$169+$G$169+$H$169+$I$169))/+$AH512)*T512)*(VLOOKUP('1. SUMMARY'!$C$20,rate,Sheet1!W$21,0))))))))</f>
        <v>0</v>
      </c>
      <c r="U513" s="417">
        <f>IF(U512=0,0,(IF(($B$169+$C$169+$D$169+$E$169+$F$169+$G$169+$H$169+$I$169+$J$169)&lt;=25000,(($J$169/+$AH512)*U512)*VLOOKUP('1. SUMMARY'!$C$20,rate,Sheet1!X$21,0),((IF(($F$169+$B$169+$C$169+$D$169+$E$169+$G$169+$H$169+$I$169)&gt;=25000,0,(((25000-($B$169+$C$169+$D$169+$E$169+$F$169+$G$169+$H$169+$I$169))/+$AH512)*U512)*(VLOOKUP('1. SUMMARY'!$C$20,rate,Sheet1!X$21,0))))))))</f>
        <v>0</v>
      </c>
      <c r="V513" s="417">
        <f>IF(V512=0,0,(IF(($B$169+$C$169+$D$169+$E$169+$F$169+$G$169+$H$169+$I$169+$J$169)&lt;=25000,(($J$169/+$AH512)*V512)*VLOOKUP('1. SUMMARY'!$C$20,rate,Sheet1!Y$21,0),((IF(($F$169+$B$169+$C$169+$D$169+$E$169+$G$169+$H$169+$I$169)&gt;=25000,0,(((25000-($B$169+$C$169+$D$169+$E$169+$F$169+$G$169+$H$169+$I$169))/+$AH512)*V512)*(VLOOKUP('1. SUMMARY'!$C$20,rate,Sheet1!Y$21,0))))))))</f>
        <v>0</v>
      </c>
      <c r="W513" s="417">
        <f>IF(W512=0,0,(IF(($B$169+$C$169+$D$169+$E$169+$F$169+$G$169+$H$169+$I$169+$J$169)&lt;=25000,(($J$169/+$AH512)*W512)*VLOOKUP('1. SUMMARY'!$C$20,rate,Sheet1!Z$21,0),((IF(($F$169+$B$169+$C$169+$D$169+$E$169+$G$169+$H$169+$I$169)&gt;=25000,0,(((25000-($B$169+$C$169+$D$169+$E$169+$F$169+$G$169+$H$169+$I$169))/+$AH512)*W512)*(VLOOKUP('1. SUMMARY'!$C$20,rate,Sheet1!Z$21,0))))))))</f>
        <v>0</v>
      </c>
      <c r="X513" s="417">
        <f>IF(X512=0,0,(IF(($B$169+$C$169+$D$169+$E$169+$F$169+$G$169+$H$169+$I$169+$J$169)&lt;=25000,(($J$169/+$AH512)*X512)*VLOOKUP('1. SUMMARY'!$C$20,rate,Sheet1!AA$21,0),((IF(($F$169+$B$169+$C$169+$D$169+$E$169+$G$169+$H$169+$I$169)&gt;=25000,0,(((25000-($B$169+$C$169+$D$169+$E$169+$F$169+$G$169+$H$169+$I$169))/+$AH512)*X512)*(VLOOKUP('1. SUMMARY'!$C$20,rate,Sheet1!AA$21,0))))))))</f>
        <v>0</v>
      </c>
      <c r="Y513" s="417">
        <f>IF(Y512=0,0,(IF(($B$169+$C$169+$D$169+$E$169+$F$169+$G$169+$H$169+$I$169+$J$169)&lt;=25000,(($J$169/+$AH512)*Y512)*VLOOKUP('1. SUMMARY'!$C$20,rate,Sheet1!AB$21,0),((IF(($F$169+$B$169+$C$169+$D$169+$E$169+$G$169+$H$169+$I$169)&gt;=25000,0,(((25000-($B$169+$C$169+$D$169+$E$169+$F$169+$G$169+$H$169+$I$169))/+$AH512)*Y512)*(VLOOKUP('1. SUMMARY'!$C$20,rate,Sheet1!AB$21,0))))))))</f>
        <v>0</v>
      </c>
      <c r="Z513" s="417">
        <f>IF(Z512=0,0,(IF(($B$169+$C$169+$D$169+$E$169+$F$169+$G$169+$H$169+$I$169+$J$169)&lt;=25000,(($J$169/+$AH512)*Z512)*VLOOKUP('1. SUMMARY'!$C$20,rate,Sheet1!AC$21,0),((IF(($F$169+$B$169+$C$169+$D$169+$E$169+$G$169+$H$169+$I$169)&gt;=25000,0,(((25000-($B$169+$C$169+$D$169+$E$169+$F$169+$G$169+$H$169+$I$169))/+$AH512)*Z512)*(VLOOKUP('1. SUMMARY'!$C$20,rate,Sheet1!AC$21,0))))))))</f>
        <v>0</v>
      </c>
      <c r="AA513" s="417">
        <f>IF(AA512=0,0,(IF(($B$169+$C$169+$D$169+$E$169+$F$169+$G$169+$H$169+$I$169+$J$169)&lt;=25000,(($J$169/+$AH512)*AA512)*VLOOKUP('1. SUMMARY'!$C$20,rate,Sheet1!AD$21,0),((IF(($F$169+$B$169+$C$169+$D$169+$E$169+$G$169+$H$169+$I$169)&gt;=25000,0,(((25000-($B$169+$C$169+$D$169+$E$169+$F$169+$G$169+$H$169+$I$169))/+$AH512)*AA512)*(VLOOKUP('1. SUMMARY'!$C$20,rate,Sheet1!AD$21,0))))))))</f>
        <v>0</v>
      </c>
      <c r="AB513" s="417">
        <f>IF(AB512=0,0,(IF(($B$169+$C$169+$D$169+$E$169+$F$169+$G$169+$H$169+$I$169+$J$169)&lt;=25000,(($J$169/+$AH512)*AB512)*VLOOKUP('1. SUMMARY'!$C$20,rate,Sheet1!AE$21,0),((IF(($F$169+$B$169+$C$169+$D$169+$E$169+$G$169+$H$169+$I$169)&gt;=25000,0,(((25000-($B$169+$C$169+$D$169+$E$169+$F$169+$G$169+$H$169+$I$169))/+$AH512)*AB512)*(VLOOKUP('1. SUMMARY'!$C$20,rate,Sheet1!AE$21,0))))))))</f>
        <v>0</v>
      </c>
      <c r="AC513" s="417">
        <f>IF(AC512=0,0,(IF(($B$169+$C$169+$D$169+$E$169+$F$169+$G$169+$H$169+$I$169+$J$169)&lt;=25000,(($J$169/+$AH512)*AC512)*VLOOKUP('1. SUMMARY'!$C$20,rate,Sheet1!AF$21,0),((IF(($F$169+$B$169+$C$169+$D$169+$E$169+$G$169+$H$169+$I$169)&gt;=25000,0,(((25000-($B$169+$C$169+$D$169+$E$169+$F$169+$G$169+$H$169+$I$169))/+$AH512)*AC512)*(VLOOKUP('1. SUMMARY'!$C$20,rate,Sheet1!AF$21,0))))))))</f>
        <v>0</v>
      </c>
      <c r="AD513" s="417">
        <f>IF(AD512=0,0,(IF(($B$169+$C$169+$D$169+$E$169+$F$169+$G$169+$H$169+$I$169+$J$169)&lt;=25000,(($J$169/+$AH512)*AD512)*VLOOKUP('1. SUMMARY'!$C$20,rate,Sheet1!AG$21,0),((IF(($F$169+$B$169+$C$169+$D$169+$E$169+$G$169+$H$169+$I$169)&gt;=25000,0,(((25000-($B$169+$C$169+$D$169+$E$169+$F$169+$G$169+$H$169+$I$169))/+$AH512)*AD512)*(VLOOKUP('1. SUMMARY'!$C$20,rate,Sheet1!AG$21,0))))))))</f>
        <v>0</v>
      </c>
      <c r="AE513" s="417">
        <f>IF(AE512=0,0,(IF(($B$169+$C$169+$D$169+$E$169+$F$169+$G$169+$H$169+$I$169+$J$169)&lt;=25000,(($J$169/+$AH512)*AE512)*VLOOKUP('1. SUMMARY'!$C$20,rate,Sheet1!AH$21,0),((IF(($F$169+$B$169+$C$169+$D$169+$E$169+$G$169+$H$169+$I$169)&gt;=25000,0,(((25000-($B$169+$C$169+$D$169+$E$169+$F$169+$G$169+$H$169+$I$169))/+$AH512)*AE512)*(VLOOKUP('1. SUMMARY'!$C$20,rate,Sheet1!AH$21,0))))))))</f>
        <v>0</v>
      </c>
      <c r="AF513" s="417">
        <f>IF(AF512=0,0,(IF(($B$169+$C$169+$D$169+$E$169+$F$169+$G$169+$H$169+$I$169+$J$169)&lt;=25000,(($J$169/+$AH512)*AF512)*VLOOKUP('1. SUMMARY'!$C$20,rate,Sheet1!AI$21,0),((IF(($F$169+$B$169+$C$169+$D$169+$E$169+$G$169+$H$169+$I$169)&gt;=25000,0,(((25000-($B$169+$C$169+$D$169+$E$169+$F$169+$G$169+$H$169+$I$169))/+$AH512)*AF512)*(VLOOKUP('1. SUMMARY'!$C$20,rate,Sheet1!AI$21,0))))))))</f>
        <v>0</v>
      </c>
      <c r="AG513" s="417">
        <f>IF(AG512=0,0,(IF(($B$169+$C$169+$D$169+$E$169+$F$169+$G$169+$H$169+$I$169+$J$169)&lt;=25000,(($J$169/+$AH512)*AG512)*VLOOKUP('1. SUMMARY'!$C$20,rate,Sheet1!AJ$21,0),((IF(($F$169+$B$169+$C$169+$D$169+$E$169+$G$169+$H$169+$I$169)&gt;=25000,0,(((25000-($B$169+$C$169+$D$169+$E$169+$F$169+$G$169+$H$169+$I$169))/+$AH512)*AG512)*(VLOOKUP('1. SUMMARY'!$C$20,rate,Sheet1!AJ$21,0))))))))</f>
        <v>0</v>
      </c>
      <c r="AH513" s="219">
        <f>SUM(Q513:AG513)</f>
        <v>0</v>
      </c>
      <c r="AI513" s="417">
        <f>IF(AI512=0,0,((+$J169/$AZ512)*AI512)*VLOOKUP('1. SUMMARY'!$C$20,rate,Sheet1!T$21,0))</f>
        <v>0</v>
      </c>
      <c r="AJ513" s="417">
        <f>IF(AJ512=0,0,((+$J169/$AZ512)*AJ512)*VLOOKUP('1. SUMMARY'!$C$20,rate,Sheet1!U$21,0))</f>
        <v>0</v>
      </c>
      <c r="AK513" s="417">
        <f>IF(AK512=0,0,((+$J169/$AZ512)*AK512)*VLOOKUP('1. SUMMARY'!$C$20,rate,Sheet1!V$21,0))</f>
        <v>0</v>
      </c>
      <c r="AL513" s="417">
        <f>IF(AL512=0,0,((+$J169/$AZ512)*AL512)*VLOOKUP('1. SUMMARY'!$C$20,rate,Sheet1!W$21,0))</f>
        <v>0</v>
      </c>
      <c r="AM513" s="417">
        <f>IF(AM512=0,0,((+$J169/$AZ512)*AM512)*VLOOKUP('1. SUMMARY'!$C$20,rate,Sheet1!X$21,0))</f>
        <v>0</v>
      </c>
      <c r="AN513" s="417">
        <f>IF(AN512=0,0,((+$J169/$AZ512)*AN512)*VLOOKUP('1. SUMMARY'!$C$20,rate,Sheet1!Y$21,0))</f>
        <v>0</v>
      </c>
      <c r="AO513" s="417">
        <f>IF(AO512=0,0,((+$J169/$AZ512)*AO512)*VLOOKUP('1. SUMMARY'!$C$20,rate,Sheet1!Z$21,0))</f>
        <v>0</v>
      </c>
      <c r="AP513" s="417">
        <f>IF(AP512=0,0,((+$J169/$AZ512)*AP512)*VLOOKUP('1. SUMMARY'!$C$20,rate,Sheet1!AA$21,0))</f>
        <v>0</v>
      </c>
      <c r="AQ513" s="417">
        <f>IF(AQ512=0,0,((+$J169/$AZ512)*AQ512)*VLOOKUP('1. SUMMARY'!$C$20,rate,Sheet1!AB$21,0))</f>
        <v>0</v>
      </c>
      <c r="AR513" s="417">
        <f>IF(AR512=0,0,((+$J169/$AZ512)*AR512)*VLOOKUP('1. SUMMARY'!$C$20,rate,Sheet1!AC$21,0))</f>
        <v>0</v>
      </c>
      <c r="AS513" s="417">
        <f>IF(AS512=0,0,((+$J169/$AZ512)*AS512)*VLOOKUP('1. SUMMARY'!$C$20,rate,Sheet1!AD$21,0))</f>
        <v>0</v>
      </c>
      <c r="AT513" s="417">
        <f>IF(AT512=0,0,((+$J169/$AZ512)*AT512)*VLOOKUP('1. SUMMARY'!$C$20,rate,Sheet1!AE$21,0))</f>
        <v>0</v>
      </c>
      <c r="AU513" s="417">
        <f>IF(AU512=0,0,((+$J169/$AZ512)*AU512)*VLOOKUP('1. SUMMARY'!$C$20,rate,Sheet1!AF$21,0))</f>
        <v>0</v>
      </c>
      <c r="AV513" s="417">
        <f>IF(AV512=0,0,((+$J169/$AZ512)*AV512)*VLOOKUP('1. SUMMARY'!$C$20,rate,Sheet1!AG$21,0))</f>
        <v>0</v>
      </c>
      <c r="AW513" s="417">
        <f>IF(AW512=0,0,((+$J169/$AZ512)*AW512)*VLOOKUP('1. SUMMARY'!$C$20,rate,Sheet1!AH$21,0))</f>
        <v>0</v>
      </c>
      <c r="AX513" s="417">
        <f>IF(AX512=0,0,((+$J169/$AZ512)*AX512)*VLOOKUP('1. SUMMARY'!$C$20,rate,Sheet1!AI$21,0))</f>
        <v>0</v>
      </c>
      <c r="AY513" s="417">
        <f>IF(AY512=0,0,((+$J169/$AZ512)*AY512)*VLOOKUP('1. SUMMARY'!$C$20,rate,Sheet1!AJ$21,0))</f>
        <v>0</v>
      </c>
      <c r="AZ513" s="417">
        <f>SUM(AI513:AY513)</f>
        <v>0</v>
      </c>
    </row>
    <row r="514" spans="16:52" hidden="1">
      <c r="P514" s="207">
        <f t="shared" si="225"/>
        <v>1</v>
      </c>
      <c r="Q514" s="417">
        <f>+Q513/VLOOKUP('1. SUMMARY'!$C$20,rate,Sheet1!T$21,0)</f>
        <v>0</v>
      </c>
      <c r="R514" s="417">
        <f>+R513/VLOOKUP('1. SUMMARY'!$C$20,rate,Sheet1!U$21,0)</f>
        <v>0</v>
      </c>
      <c r="S514" s="417">
        <f>+S513/VLOOKUP('1. SUMMARY'!$C$20,rate,Sheet1!V$21,0)</f>
        <v>0</v>
      </c>
      <c r="T514" s="417">
        <f>+T513/VLOOKUP('1. SUMMARY'!$C$20,rate,Sheet1!W$21,0)</f>
        <v>0</v>
      </c>
      <c r="U514" s="417">
        <f>+U513/VLOOKUP('1. SUMMARY'!$C$20,rate,Sheet1!X$21,0)</f>
        <v>0</v>
      </c>
      <c r="V514" s="417">
        <f>+V513/VLOOKUP('1. SUMMARY'!$C$20,rate,Sheet1!Y$21,0)</f>
        <v>0</v>
      </c>
      <c r="W514" s="417">
        <f>+W513/VLOOKUP('1. SUMMARY'!$C$20,rate,Sheet1!Z$21,0)</f>
        <v>0</v>
      </c>
      <c r="X514" s="417">
        <f>+X513/VLOOKUP('1. SUMMARY'!$C$20,rate,Sheet1!AA$21,0)</f>
        <v>0</v>
      </c>
      <c r="Y514" s="417">
        <f>+Y513/VLOOKUP('1. SUMMARY'!$C$20,rate,Sheet1!AB$21,0)</f>
        <v>0</v>
      </c>
      <c r="Z514" s="417">
        <f>+Z513/VLOOKUP('1. SUMMARY'!$C$20,rate,Sheet1!AC$21,0)</f>
        <v>0</v>
      </c>
      <c r="AA514" s="417">
        <f>+AA513/VLOOKUP('1. SUMMARY'!$C$20,rate,Sheet1!AD$21,0)</f>
        <v>0</v>
      </c>
      <c r="AB514" s="417">
        <f>+AB513/VLOOKUP('1. SUMMARY'!$C$20,rate,Sheet1!AE$21,0)</f>
        <v>0</v>
      </c>
      <c r="AC514" s="417">
        <f>+AC513/VLOOKUP('1. SUMMARY'!$C$20,rate,Sheet1!AF$21,0)</f>
        <v>0</v>
      </c>
      <c r="AD514" s="417">
        <f>+AD513/VLOOKUP('1. SUMMARY'!$C$20,rate,Sheet1!AG$21,0)</f>
        <v>0</v>
      </c>
      <c r="AE514" s="417">
        <f>+AE513/VLOOKUP('1. SUMMARY'!$C$20,rate,Sheet1!AH$21,0)</f>
        <v>0</v>
      </c>
      <c r="AF514" s="417">
        <f>+AF513/VLOOKUP('1. SUMMARY'!$C$20,rate,Sheet1!AI$21,0)</f>
        <v>0</v>
      </c>
      <c r="AG514" s="417">
        <f>+AG513/VLOOKUP('1. SUMMARY'!$C$20,rate,Sheet1!AJ$21,0)</f>
        <v>0</v>
      </c>
      <c r="AH514" s="219"/>
      <c r="AI514" s="417"/>
      <c r="AJ514" s="417"/>
      <c r="AK514" s="417"/>
      <c r="AL514" s="417"/>
      <c r="AM514" s="417"/>
      <c r="AN514" s="417"/>
      <c r="AO514" s="417"/>
      <c r="AP514" s="417"/>
      <c r="AQ514" s="417"/>
      <c r="AR514" s="417"/>
      <c r="AS514" s="417"/>
      <c r="AT514" s="417"/>
      <c r="AU514" s="417"/>
      <c r="AV514" s="417"/>
      <c r="AW514" s="417"/>
      <c r="AX514" s="417"/>
      <c r="AY514" s="417"/>
      <c r="AZ514" s="417"/>
    </row>
    <row r="515" spans="16:52" hidden="1">
      <c r="P515" s="207">
        <f t="shared" si="225"/>
        <v>1</v>
      </c>
      <c r="Q515" s="420">
        <f>Sheet1!$T$8</f>
        <v>44105</v>
      </c>
      <c r="R515" s="420">
        <f>Sheet1!$U$8</f>
        <v>44470</v>
      </c>
      <c r="S515" s="420">
        <f>Sheet1!$V$8</f>
        <v>44835</v>
      </c>
      <c r="T515" s="420">
        <f>Sheet1!$W$8</f>
        <v>45200</v>
      </c>
      <c r="U515" s="420">
        <f>Sheet1!$X$8</f>
        <v>45566</v>
      </c>
      <c r="V515" s="420">
        <f>Sheet1!$Y$8</f>
        <v>45931</v>
      </c>
      <c r="W515" s="420">
        <f>Sheet1!$Z$8</f>
        <v>46296</v>
      </c>
      <c r="X515" s="420">
        <f>Sheet1!$AA$8</f>
        <v>46661</v>
      </c>
      <c r="Y515" s="420">
        <f>Sheet1!$AB$8</f>
        <v>47027</v>
      </c>
      <c r="Z515" s="420">
        <f>Sheet1!$AC$8</f>
        <v>47392</v>
      </c>
      <c r="AA515" s="420">
        <f>$AA$5</f>
        <v>47757</v>
      </c>
      <c r="AB515" s="420">
        <f>$AB$5</f>
        <v>48122</v>
      </c>
      <c r="AC515" s="420">
        <f>$AC$5</f>
        <v>48488</v>
      </c>
      <c r="AD515" s="420">
        <f>$AD$5</f>
        <v>48853</v>
      </c>
      <c r="AE515" s="420">
        <f>$AE$5</f>
        <v>49218</v>
      </c>
      <c r="AF515" s="420">
        <f>$AF$5</f>
        <v>49583</v>
      </c>
      <c r="AG515" s="420">
        <f>$AG$5</f>
        <v>49949</v>
      </c>
      <c r="AH515" s="219"/>
      <c r="AI515" s="420">
        <f t="shared" ref="AI515:AR517" si="234">+Q515</f>
        <v>44105</v>
      </c>
      <c r="AJ515" s="420">
        <f t="shared" si="234"/>
        <v>44470</v>
      </c>
      <c r="AK515" s="420">
        <f t="shared" si="234"/>
        <v>44835</v>
      </c>
      <c r="AL515" s="420">
        <f t="shared" si="234"/>
        <v>45200</v>
      </c>
      <c r="AM515" s="420">
        <f t="shared" si="234"/>
        <v>45566</v>
      </c>
      <c r="AN515" s="420">
        <f t="shared" si="234"/>
        <v>45931</v>
      </c>
      <c r="AO515" s="420">
        <f t="shared" si="234"/>
        <v>46296</v>
      </c>
      <c r="AP515" s="420">
        <f t="shared" si="234"/>
        <v>46661</v>
      </c>
      <c r="AQ515" s="420">
        <f t="shared" si="234"/>
        <v>47027</v>
      </c>
      <c r="AR515" s="420">
        <f t="shared" si="234"/>
        <v>47392</v>
      </c>
      <c r="AS515" s="420">
        <f t="shared" ref="AS515:AY517" si="235">+AA515</f>
        <v>47757</v>
      </c>
      <c r="AT515" s="420">
        <f t="shared" si="235"/>
        <v>48122</v>
      </c>
      <c r="AU515" s="420">
        <f t="shared" si="235"/>
        <v>48488</v>
      </c>
      <c r="AV515" s="420">
        <f t="shared" si="235"/>
        <v>48853</v>
      </c>
      <c r="AW515" s="420">
        <f t="shared" si="235"/>
        <v>49218</v>
      </c>
      <c r="AX515" s="420">
        <f t="shared" si="235"/>
        <v>49583</v>
      </c>
      <c r="AY515" s="420">
        <f t="shared" si="235"/>
        <v>49949</v>
      </c>
      <c r="AZ515" s="420"/>
    </row>
    <row r="516" spans="16:52" hidden="1">
      <c r="P516" s="207">
        <f t="shared" si="225"/>
        <v>1</v>
      </c>
      <c r="Q516" s="420">
        <f>Sheet1!$T$9</f>
        <v>44469</v>
      </c>
      <c r="R516" s="420">
        <f>Sheet1!$U$9</f>
        <v>44834</v>
      </c>
      <c r="S516" s="420">
        <f>Sheet1!$V$9</f>
        <v>45199</v>
      </c>
      <c r="T516" s="420">
        <f>Sheet1!$W$9</f>
        <v>45565</v>
      </c>
      <c r="U516" s="420">
        <f>Sheet1!$X$9</f>
        <v>45930</v>
      </c>
      <c r="V516" s="420">
        <f>Sheet1!$Y$9</f>
        <v>46295</v>
      </c>
      <c r="W516" s="420">
        <f>Sheet1!$Z$9</f>
        <v>46660</v>
      </c>
      <c r="X516" s="420">
        <f>Sheet1!$AA$9</f>
        <v>47026</v>
      </c>
      <c r="Y516" s="420">
        <f>Sheet1!$AB$9</f>
        <v>47391</v>
      </c>
      <c r="Z516" s="420">
        <f>Sheet1!$AC$9</f>
        <v>47756</v>
      </c>
      <c r="AA516" s="420">
        <f>$AA$6</f>
        <v>48121</v>
      </c>
      <c r="AB516" s="420">
        <f>$AB$6</f>
        <v>48487</v>
      </c>
      <c r="AC516" s="420">
        <f>$AC$6</f>
        <v>48852</v>
      </c>
      <c r="AD516" s="420">
        <f>$AD$6</f>
        <v>49217</v>
      </c>
      <c r="AE516" s="420">
        <f>$AE$6</f>
        <v>49582</v>
      </c>
      <c r="AF516" s="420">
        <f>$AF$6</f>
        <v>49948</v>
      </c>
      <c r="AG516" s="420">
        <f>$AG$6</f>
        <v>50313</v>
      </c>
      <c r="AH516" s="219"/>
      <c r="AI516" s="420">
        <f t="shared" si="234"/>
        <v>44469</v>
      </c>
      <c r="AJ516" s="420">
        <f t="shared" si="234"/>
        <v>44834</v>
      </c>
      <c r="AK516" s="420">
        <f t="shared" si="234"/>
        <v>45199</v>
      </c>
      <c r="AL516" s="420">
        <f t="shared" si="234"/>
        <v>45565</v>
      </c>
      <c r="AM516" s="420">
        <f t="shared" si="234"/>
        <v>45930</v>
      </c>
      <c r="AN516" s="420">
        <f t="shared" si="234"/>
        <v>46295</v>
      </c>
      <c r="AO516" s="420">
        <f t="shared" si="234"/>
        <v>46660</v>
      </c>
      <c r="AP516" s="420">
        <f t="shared" si="234"/>
        <v>47026</v>
      </c>
      <c r="AQ516" s="420">
        <f t="shared" si="234"/>
        <v>47391</v>
      </c>
      <c r="AR516" s="420">
        <f t="shared" si="234"/>
        <v>47756</v>
      </c>
      <c r="AS516" s="420">
        <f t="shared" si="235"/>
        <v>48121</v>
      </c>
      <c r="AT516" s="420">
        <f t="shared" si="235"/>
        <v>48487</v>
      </c>
      <c r="AU516" s="420">
        <f t="shared" si="235"/>
        <v>48852</v>
      </c>
      <c r="AV516" s="420">
        <f t="shared" si="235"/>
        <v>49217</v>
      </c>
      <c r="AW516" s="420">
        <f t="shared" si="235"/>
        <v>49582</v>
      </c>
      <c r="AX516" s="420">
        <f t="shared" si="235"/>
        <v>49948</v>
      </c>
      <c r="AY516" s="420">
        <f t="shared" si="235"/>
        <v>50313</v>
      </c>
      <c r="AZ516" s="420"/>
    </row>
    <row r="517" spans="16:52" hidden="1">
      <c r="P517" s="207">
        <f t="shared" si="225"/>
        <v>1</v>
      </c>
      <c r="Q517" s="421">
        <f>IF(IF(Q516&lt;$K$27,0,DATEDIF($K$27,Q516+1,"m"))&lt;0,0,IF(Q516&lt;$K$27,0,DATEDIF($K$27,Q516+1,"m")))</f>
        <v>0</v>
      </c>
      <c r="R517" s="421">
        <f>IF(IF(Q517=12,0,IF(R516&gt;$K$28,12-DATEDIF($K$28,R516+1,"m"),IF(R516&lt;$K$27,0,DATEDIF($K$27,R516+1,"m"))))&lt;0,0,IF(Q517=12,0,IF(R516&gt;$K$28,12-DATEDIF($K$28,R516+1,"m"),IF(R516&lt;$K$27,0,DATEDIF($K$27,R516+1,"m")))))</f>
        <v>0</v>
      </c>
      <c r="S517" s="421">
        <f>IF(IF(Q517+R517=12,0,IF(S516&gt;$K$28,12-DATEDIF($K$28,S516+1,"m"),IF(S516&lt;$K$27,0,DATEDIF($K$27,S516+1,"m"))))&lt;0,0,IF(Q517+R517=12,0,IF(S516&gt;$K$28,12-DATEDIF($K$28,S516+1,"m"),IF(S516&lt;$K$27,0,DATEDIF($K$27,S516+1,"m")))))</f>
        <v>0</v>
      </c>
      <c r="T517" s="421">
        <f>IF(IF(R517+S517+Q517=12,0,IF(T516&gt;$K$28,12-DATEDIF($K$28,T516+1,"m"),IF(T516&lt;$K$27,0,DATEDIF($K$27,T516+1,"m"))))&lt;0,0,IF(R517+S517+Q517=12,0,IF(T516&gt;$K$28,12-DATEDIF($K$28,T516+1,"m"),IF(T516&lt;$K$27,0,DATEDIF($K$27,T516+1,"m")))))</f>
        <v>0</v>
      </c>
      <c r="U517" s="421">
        <f>IF(IF(S517+T517+R517+Q517=12,0,IF(U516&gt;$K$28,12-DATEDIF($K$28,U516+1,"m"),IF(U516&lt;$K$27,0,DATEDIF($K$27,U516+1,"m"))))&lt;0,0,IF(S517+T517+R517+Q517=12,0,IF(U516&gt;$K$28,12-DATEDIF($K$28,U516+1,"m"),IF(U516&lt;$K$27,0,DATEDIF($K$27,U516+1,"m")))))</f>
        <v>0</v>
      </c>
      <c r="V517" s="421">
        <f>IF(IF(T517+U517+S517+R517+Q517=12,0,IF(V516&gt;$K$28,12-DATEDIF($K$28,V516+1,"m"),IF(V516&lt;$K$27,0,DATEDIF($K$27,V516+1,"m"))))&lt;0,0,IF(T517+U517+S517+R517+Q517=12,0,IF(V516&gt;$K$28,12-DATEDIF($K$28,V516+1,"m"),IF(V516&lt;$K$27,0,DATEDIF($K$27,V516+1,"m")))))</f>
        <v>0</v>
      </c>
      <c r="W517" s="421">
        <f>IF(IF(U517+V517+T517+S517+R517+Q517=12,0,IF(W516&gt;$K$28,12-DATEDIF($K$28,W516+1,"m"),IF(W516&lt;$K$27,0,DATEDIF($K$27,W516+1,"m"))))&lt;0,0,IF(U517+V517+T517+S517+R517+Q517=12,0,IF(W516&gt;$K$28,12-DATEDIF($K$28,W516+1,"m"),IF(W516&lt;$K$27,0,DATEDIF($K$27,W516+1,"m")))))</f>
        <v>0</v>
      </c>
      <c r="X517" s="421">
        <f>IF(IF(V517+W517+U517+T517+S517+R517+Q517=12,0,IF(X516&gt;$K$28,12-DATEDIF($K$28,X516+1,"m"),IF(X516&lt;$K$27,0,DATEDIF($K$27,X516+1,"m"))))&lt;0,0,IF(V517+W517+U517+T517+S517+R517+Q517=12,0,IF(X516&gt;$K$28,12-DATEDIF($K$28,X516+1,"m"),IF(X516&lt;$K$27,0,DATEDIF($K$27,X516+1,"m")))))</f>
        <v>0</v>
      </c>
      <c r="Y517" s="421">
        <f>IF(IF(W517+X517+V517+U517+T517+S517+R517+Q517=12,0,IF(Y516&gt;$K$28,12-DATEDIF($K$28,Y516+1,"m"),IF(Y516&lt;$K$27,0,DATEDIF($K$27,Y516+1,"m"))))&lt;0,0,IF(W517+X517+V517+U517+T517+S517+R517+Q517=12,0,IF(Y516&gt;$K$28,12-DATEDIF($K$28,Y516+1,"m"),IF(Y516&lt;$K$27,0,DATEDIF($K$27,Y516+1,"m")))))</f>
        <v>0</v>
      </c>
      <c r="Z517" s="421">
        <f>IF(IF(X517+Y517+W517+V517+U517+T517+S517+R517+Q517=12,0,IF(Z516&gt;$K$28,12-DATEDIF($K$28,Z516+1,"m"),IF(Z516&lt;$K$27,0,DATEDIF($K$27,Z516+1,"m"))))&lt;0,0,IF(X517+Y517+W517+V517+U517+T517+S517+R517+Q517=12,0,IF(Z516&gt;$K$28,12-DATEDIF($K$28,Z516+1,"m"),IF(Z516&lt;$K$27,0,DATEDIF($K$27,Z516+1,"m")))))</f>
        <v>0</v>
      </c>
      <c r="AA517" s="421">
        <f>IF(IF(Q517+R517+S517+Y517+Z517+X517+W517+V517+U517+T517=12,0,IF(AA516&gt;$K$28,12-DATEDIF($K$28,AA516+1,"m"),IF(AA516&lt;$K$27,0,DATEDIF($K$27,AA516+1,"m"))))&lt;0,0,IF(Q517+R517+S517+Y517+Z517+X517+W517+V517+U517+T517=12,0,IF(AA516&gt;$K$28,12-DATEDIF($K$28,AA516+1,"m"),IF(AA516&lt;$K$27,0,DATEDIF($K$27,AA516+1,"m")))))</f>
        <v>0</v>
      </c>
      <c r="AB517" s="421">
        <f>IF(IF(Q517+R517+S517+T517+Z517+AA517+Y517+X517+W517+V517+U517=12,0,IF(AB516&gt;$K$28,12-DATEDIF($K$28,AB516+1,"m"),IF(AB516&lt;$K$27,0,DATEDIF($K$27,AB516+1,"m"))))&lt;0,0,IF(Q517+R517+S517+T517+Z517+AA517+Y517+X517+W517+V517+U517=12,0,IF(AB516&gt;$K$28,12-DATEDIF($K$28,AB516+1,"m"),IF(AB516&lt;$K$27,0,DATEDIF($K$27,AB516+1,"m")))))</f>
        <v>0</v>
      </c>
      <c r="AC517" s="421">
        <f>IF(IF(Q517+R517+S517+T517+U517+AA517+AB517+Z517+Y517+X517+W517+V517=12,0,IF(AC516&gt;$K$28,12-DATEDIF($K$28,AC516+1,"m"),IF(AC516&lt;$K$27,0,DATEDIF($K$27,AC516+1,"m"))))&lt;0,0,IF(Q517+R517+S517+T517+U517+AA517+AB517+Z517+Y517+X517+W517+V517=12,0,IF(AC516&gt;$K$28,12-DATEDIF($K$28,AC516+1,"m"),IF(AC516&lt;$K$27,0,DATEDIF($K$27,AC516+1,"m")))))</f>
        <v>0</v>
      </c>
      <c r="AD517" s="421">
        <f>IF(IF(Q517+R517+S517+T517+U517+V517+AB517+AC517+AA517+Z517+Y517+X517+W517=12,0,IF(AD516&gt;$K$28,12-DATEDIF($K$28,AD516+1,"m"),IF(AD516&lt;$K$27,0,DATEDIF($K$27,AD516+1,"m"))))&lt;0,0,IF(Q517+R517+S517+T517+U517+V517+AB517+AC517+AA517+Z517+Y517+X517+W517=12,0,IF(AD516&gt;$K$28,12-DATEDIF($K$28,AD516+1,"m"),IF(AD516&lt;$K$27,0,DATEDIF($K$27,AD516+1,"m")))))</f>
        <v>0</v>
      </c>
      <c r="AE517" s="421">
        <f>IF(IF(Q517+R517+S517+T517+U517+V517+W517+AC517+AD517+AB517+AA517+Z517+Y517+X517=12,0,IF(AE516&gt;$K$28,12-DATEDIF($K$28,AE516+1,"m"),IF(AE516&lt;$K$27,0,DATEDIF($K$27,AE516+1,"m"))))&lt;0,0,IF(Q517+R517+S517+T517+U517+V517+W517+AC517+AD517+AB517+AA517+Z517+Y517+X517=12,0,IF(AE516&gt;$K$28,12-DATEDIF($K$28,AE516+1,"m"),IF(AE516&lt;$K$27,0,DATEDIF($K$27,AE516+1,"m")))))</f>
        <v>0</v>
      </c>
      <c r="AF517" s="421">
        <f>IF(IF(Q517+R517+S517+T517+U517+V517+W517+X517+AD517+AE517+AC517+AB517+AA517+Z517+Y517=12,0,IF(AF516&gt;$K$28,12-DATEDIF($K$28,AF516+1,"m"),IF(AF516&lt;$K$27,0,DATEDIF($K$27,AF516+1,"m"))))&lt;0,0,IF(Q517+R517+S517+T517+U517+V517+W517+X517+AD517+AE517+AC517+AB517+AA517+Z517+Y517=12,0,IF(AF516&gt;$K$28,12-DATEDIF($K$28,AF516+1,"m"),IF(AF516&lt;$K$27,0,DATEDIF($K$27,AF516+1,"m")))))</f>
        <v>0</v>
      </c>
      <c r="AG517" s="421">
        <f>IF(IF(Q517+R517+S517+T517+U517+V517+W517+X517+Y517+AE517+AF517+AD517+AC517+AB517+AA517+Z517=12,0,IF(AG516&gt;$K$28,12-DATEDIF($K$28,AG516+1,"m"),IF(AG516&lt;$K$27,0,DATEDIF($K$27,AG516+1,"m"))))&lt;0,0,IF(Q517+R517+S517+T517+U517+V517+W517+X517+Y517+AE517+AF517+AD517+AC517+AB517+AA517+Z517=12,0,IF(AG516&gt;$K$28,12-DATEDIF($K$28,AG516+1,"m"),IF(AG516&lt;$K$27,0,DATEDIF($K$27,AG516+1,"m")))))</f>
        <v>0</v>
      </c>
      <c r="AH517" s="423">
        <f>SUM(Q517:AG517)</f>
        <v>0</v>
      </c>
      <c r="AI517" s="428">
        <f t="shared" si="234"/>
        <v>0</v>
      </c>
      <c r="AJ517" s="428">
        <f t="shared" si="234"/>
        <v>0</v>
      </c>
      <c r="AK517" s="428">
        <f t="shared" si="234"/>
        <v>0</v>
      </c>
      <c r="AL517" s="428">
        <f t="shared" si="234"/>
        <v>0</v>
      </c>
      <c r="AM517" s="428">
        <f t="shared" si="234"/>
        <v>0</v>
      </c>
      <c r="AN517" s="428">
        <f t="shared" si="234"/>
        <v>0</v>
      </c>
      <c r="AO517" s="428">
        <f t="shared" si="234"/>
        <v>0</v>
      </c>
      <c r="AP517" s="428">
        <f t="shared" si="234"/>
        <v>0</v>
      </c>
      <c r="AQ517" s="428">
        <f t="shared" si="234"/>
        <v>0</v>
      </c>
      <c r="AR517" s="428">
        <f t="shared" si="234"/>
        <v>0</v>
      </c>
      <c r="AS517" s="428">
        <f t="shared" si="235"/>
        <v>0</v>
      </c>
      <c r="AT517" s="428">
        <f t="shared" si="235"/>
        <v>0</v>
      </c>
      <c r="AU517" s="428">
        <f t="shared" si="235"/>
        <v>0</v>
      </c>
      <c r="AV517" s="428">
        <f t="shared" si="235"/>
        <v>0</v>
      </c>
      <c r="AW517" s="428">
        <f t="shared" si="235"/>
        <v>0</v>
      </c>
      <c r="AX517" s="428">
        <f t="shared" si="235"/>
        <v>0</v>
      </c>
      <c r="AY517" s="428">
        <f t="shared" si="235"/>
        <v>0</v>
      </c>
      <c r="AZ517" s="428">
        <f>SUM(AI517:AY517)</f>
        <v>0</v>
      </c>
    </row>
    <row r="518" spans="16:52" hidden="1">
      <c r="P518" s="207">
        <f t="shared" si="225"/>
        <v>1</v>
      </c>
      <c r="Q518" s="421">
        <f>IF(Q517=0,0,(IF(($B$169+$C$169+$D$169+$E$169+$F$169+$G$169+$H$169+$I$169+$J$169+$H339)&lt;=25000,(($H339/+$AH517)*Q517)*VLOOKUP('1. SUMMARY'!$C$20,rate,Sheet1!T$21,0),((IF(($F$169+$B$169+$C$169+$D$169+$E$169+$G$169+$H$169+$I$169+$J$169)&gt;=25000,0,(((25000-($B$169+$C$169+$D$169+$E$169+$F$169+$G$169+$H$169+$I$169+$J$169))/+$AH517)*Q517)*(VLOOKUP('1. SUMMARY'!$C$20,rate,Sheet1!T$21,0))))))))</f>
        <v>0</v>
      </c>
      <c r="R518" s="421">
        <f>IF(R517=0,0,(IF(($B$169+$C$169+$D$169+$E$169+$F$169+$G$169+$H$169+$I$169+$J$169+$H339)&lt;=25000,(($H339/+$AH517)*R517)*VLOOKUP('1. SUMMARY'!$C$20,rate,Sheet1!U$21,0),((IF(($F$169+$B$169+$C$169+$D$169+$E$169+$G$169+$H$169+$I$169+$J$169)&gt;=25000,0,(((25000-($B$169+$C$169+$D$169+$E$169+$F$169+$G$169+$H$169+$I$169+$J$169))/+$AH517)*R517)*(VLOOKUP('1. SUMMARY'!$C$20,rate,Sheet1!U$21,0))))))))</f>
        <v>0</v>
      </c>
      <c r="S518" s="421">
        <f>IF(S517=0,0,(IF(($B$169+$C$169+$D$169+$E$169+$F$169+$G$169+$H$169+$I$169+$J$169+$H339)&lt;=25000,(($H339/+$AH517)*S517)*VLOOKUP('1. SUMMARY'!$C$20,rate,Sheet1!V$21,0),((IF(($F$169+$B$169+$C$169+$D$169+$E$169+$G$169+$H$169+$I$169+$J$169)&gt;=25000,0,(((25000-($B$169+$C$169+$D$169+$E$169+$F$169+$G$169+$H$169+$I$169+$J$169))/+$AH517)*S517)*(VLOOKUP('1. SUMMARY'!$C$20,rate,Sheet1!V$21,0))))))))</f>
        <v>0</v>
      </c>
      <c r="T518" s="421">
        <f>IF(T517=0,0,(IF(($B$169+$C$169+$D$169+$E$169+$F$169+$G$169+$H$169+$I$169+$J$169+$H339)&lt;=25000,(($H339/+$AH517)*T517)*VLOOKUP('1. SUMMARY'!$C$20,rate,Sheet1!W$21,0),((IF(($F$169+$B$169+$C$169+$D$169+$E$169+$G$169+$H$169+$I$169+$J$169)&gt;=25000,0,(((25000-($B$169+$C$169+$D$169+$E$169+$F$169+$G$169+$H$169+$I$169+$J$169))/+$AH517)*T517)*(VLOOKUP('1. SUMMARY'!$C$20,rate,Sheet1!W$21,0))))))))</f>
        <v>0</v>
      </c>
      <c r="U518" s="421">
        <f>IF(U517=0,0,(IF(($B$169+$C$169+$D$169+$E$169+$F$169+$G$169+$H$169+$I$169+$J$169+$H339)&lt;=25000,(($H339/+$AH517)*U517)*VLOOKUP('1. SUMMARY'!$C$20,rate,Sheet1!X$21,0),((IF(($F$169+$B$169+$C$169+$D$169+$E$169+$G$169+$H$169+$I$169+$J$169)&gt;=25000,0,(((25000-($B$169+$C$169+$D$169+$E$169+$F$169+$G$169+$H$169+$I$169+$J$169))/+$AH517)*U517)*(VLOOKUP('1. SUMMARY'!$C$20,rate,Sheet1!X$21,0))))))))</f>
        <v>0</v>
      </c>
      <c r="V518" s="421">
        <f>IF(V517=0,0,(IF(($B$169+$C$169+$D$169+$E$169+$F$169+$G$169+$H$169+$I$169+$J$169+$H339)&lt;=25000,(($H339/+$AH517)*V517)*VLOOKUP('1. SUMMARY'!$C$20,rate,Sheet1!Y$21,0),((IF(($F$169+$B$169+$C$169+$D$169+$E$169+$G$169+$H$169+$I$169+$J$169)&gt;=25000,0,(((25000-($B$169+$C$169+$D$169+$E$169+$F$169+$G$169+$H$169+$I$169+$J$169))/+$AH517)*V517)*(VLOOKUP('1. SUMMARY'!$C$20,rate,Sheet1!Y$21,0))))))))</f>
        <v>0</v>
      </c>
      <c r="W518" s="421">
        <f>IF(W517=0,0,(IF(($B$169+$C$169+$D$169+$E$169+$F$169+$G$169+$H$169+$I$169+$J$169+$H339)&lt;=25000,(($H339/+$AH517)*W517)*VLOOKUP('1. SUMMARY'!$C$20,rate,Sheet1!Z$21,0),((IF(($F$169+$B$169+$C$169+$D$169+$E$169+$G$169+$H$169+$I$169+$J$169)&gt;=25000,0,(((25000-($B$169+$C$169+$D$169+$E$169+$F$169+$G$169+$H$169+$I$169+$J$169))/+$AH517)*W517)*(VLOOKUP('1. SUMMARY'!$C$20,rate,Sheet1!Z$21,0))))))))</f>
        <v>0</v>
      </c>
      <c r="X518" s="421">
        <f>IF(X517=0,0,(IF(($B$169+$C$169+$D$169+$E$169+$F$169+$G$169+$H$169+$I$169+$J$169+$H339)&lt;=25000,(($H339/+$AH517)*X517)*VLOOKUP('1. SUMMARY'!$C$20,rate,Sheet1!AA$21,0),((IF(($F$169+$B$169+$C$169+$D$169+$E$169+$G$169+$H$169+$I$169+$J$169)&gt;=25000,0,(((25000-($B$169+$C$169+$D$169+$E$169+$F$169+$G$169+$H$169+$I$169+$J$169))/+$AH517)*X517)*(VLOOKUP('1. SUMMARY'!$C$20,rate,Sheet1!AA$21,0))))))))</f>
        <v>0</v>
      </c>
      <c r="Y518" s="421">
        <f>IF(Y517=0,0,(IF(($B$169+$C$169+$D$169+$E$169+$F$169+$G$169+$H$169+$I$169+$J$169+$H339)&lt;=25000,(($H339/+$AH517)*Y517)*VLOOKUP('1. SUMMARY'!$C$20,rate,Sheet1!AB$21,0),((IF(($F$169+$B$169+$C$169+$D$169+$E$169+$G$169+$H$169+$I$169+$J$169)&gt;=25000,0,(((25000-($B$169+$C$169+$D$169+$E$169+$F$169+$G$169+$H$169+$I$169+$J$169))/+$AH517)*Y517)*(VLOOKUP('1. SUMMARY'!$C$20,rate,Sheet1!AB$21,0))))))))</f>
        <v>0</v>
      </c>
      <c r="Z518" s="421">
        <f>IF(Z517=0,0,(IF(($B$169+$C$169+$D$169+$E$169+$F$169+$G$169+$H$169+$I$169+$J$169+$H339)&lt;=25000,(($H339/+$AH517)*Z517)*VLOOKUP('1. SUMMARY'!$C$20,rate,Sheet1!AC$21,0),((IF(($F$169+$B$169+$C$169+$D$169+$E$169+$G$169+$H$169+$I$169+$J$169)&gt;=25000,0,(((25000-($B$169+$C$169+$D$169+$E$169+$F$169+$G$169+$H$169+$I$169+$J$169))/+$AH517)*Z517)*(VLOOKUP('1. SUMMARY'!$C$20,rate,Sheet1!AC$21,0))))))))</f>
        <v>0</v>
      </c>
      <c r="AA518" s="421">
        <f>IF(AA517=0,0,(IF(($B$169+$C$169+$D$169+$E$169+$F$169+$G$169+$H$169+$I$169+$J$169+$H339)&lt;=25000,(($H339/+$AH517)*AA517)*VLOOKUP('1. SUMMARY'!$C$20,rate,Sheet1!AD$21,0),((IF(($F$169+$B$169+$C$169+$D$169+$E$169+$G$169+$H$169+$I$169+$J$169)&gt;=25000,0,(((25000-($B$169+$C$169+$D$169+$E$169+$F$169+$G$169+$H$169+$I$169+$J$169))/+$AH517)*AA517)*(VLOOKUP('1. SUMMARY'!$C$20,rate,Sheet1!AD$21,0))))))))</f>
        <v>0</v>
      </c>
      <c r="AB518" s="421">
        <f>IF(AB517=0,0,(IF(($B$169+$C$169+$D$169+$E$169+$F$169+$G$169+$H$169+$I$169+$J$169+$H339)&lt;=25000,(($H339/+$AH517)*AB517)*VLOOKUP('1. SUMMARY'!$C$20,rate,Sheet1!AE$21,0),((IF(($F$169+$B$169+$C$169+$D$169+$E$169+$G$169+$H$169+$I$169+$J$169)&gt;=25000,0,(((25000-($B$169+$C$169+$D$169+$E$169+$F$169+$G$169+$H$169+$I$169+$J$169))/+$AH517)*AB517)*(VLOOKUP('1. SUMMARY'!$C$20,rate,Sheet1!AE$21,0))))))))</f>
        <v>0</v>
      </c>
      <c r="AC518" s="421">
        <f>IF(AC517=0,0,(IF(($B$169+$C$169+$D$169+$E$169+$F$169+$G$169+$H$169+$I$169+$J$169+$H339)&lt;=25000,(($H339/+$AH517)*AC517)*VLOOKUP('1. SUMMARY'!$C$20,rate,Sheet1!AF$21,0),((IF(($F$169+$B$169+$C$169+$D$169+$E$169+$G$169+$H$169+$I$169+$J$169)&gt;=25000,0,(((25000-($B$169+$C$169+$D$169+$E$169+$F$169+$G$169+$H$169+$I$169+$J$169))/+$AH517)*AC517)*(VLOOKUP('1. SUMMARY'!$C$20,rate,Sheet1!AF$21,0))))))))</f>
        <v>0</v>
      </c>
      <c r="AD518" s="421">
        <f>IF(AD517=0,0,(IF(($B$169+$C$169+$D$169+$E$169+$F$169+$G$169+$H$169+$I$169+$J$169+$H339)&lt;=25000,(($H339/+$AH517)*AD517)*VLOOKUP('1. SUMMARY'!$C$20,rate,Sheet1!AG$21,0),((IF(($F$169+$B$169+$C$169+$D$169+$E$169+$G$169+$H$169+$I$169+$J$169)&gt;=25000,0,(((25000-($B$169+$C$169+$D$169+$E$169+$F$169+$G$169+$H$169+$I$169+$J$169))/+$AH517)*AD517)*(VLOOKUP('1. SUMMARY'!$C$20,rate,Sheet1!AG$21,0))))))))</f>
        <v>0</v>
      </c>
      <c r="AE518" s="421">
        <f>IF(AE517=0,0,(IF(($B$169+$C$169+$D$169+$E$169+$F$169+$G$169+$H$169+$I$169+$J$169+$H339)&lt;=25000,(($H339/+$AH517)*AE517)*VLOOKUP('1. SUMMARY'!$C$20,rate,Sheet1!AH$21,0),((IF(($F$169+$B$169+$C$169+$D$169+$E$169+$G$169+$H$169+$I$169+$J$169)&gt;=25000,0,(((25000-($B$169+$C$169+$D$169+$E$169+$F$169+$G$169+$H$169+$I$169+$J$169))/+$AH517)*AE517)*(VLOOKUP('1. SUMMARY'!$C$20,rate,Sheet1!AH$21,0))))))))</f>
        <v>0</v>
      </c>
      <c r="AF518" s="421">
        <f>IF(AF517=0,0,(IF(($B$169+$C$169+$D$169+$E$169+$F$169+$G$169+$H$169+$I$169+$J$169+$H339)&lt;=25000,(($H339/+$AH517)*AF517)*VLOOKUP('1. SUMMARY'!$C$20,rate,Sheet1!AI$21,0),((IF(($F$169+$B$169+$C$169+$D$169+$E$169+$G$169+$H$169+$I$169+$J$169)&gt;=25000,0,(((25000-($B$169+$C$169+$D$169+$E$169+$F$169+$G$169+$H$169+$I$169+$J$169))/+$AH517)*AF517)*(VLOOKUP('1. SUMMARY'!$C$20,rate,Sheet1!AI$21,0))))))))</f>
        <v>0</v>
      </c>
      <c r="AG518" s="421">
        <f>IF(AG517=0,0,(IF(($B$169+$C$169+$D$169+$E$169+$F$169+$G$169+$H$169+$I$169+$J$169+$H339)&lt;=25000,(($H339/+$AH517)*AG517)*VLOOKUP('1. SUMMARY'!$C$20,rate,Sheet1!AJ$21,0),((IF(($F$169+$B$169+$C$169+$D$169+$E$169+$G$169+$H$169+$I$169+$J$169)&gt;=25000,0,(((25000-($B$169+$C$169+$D$169+$E$169+$F$169+$G$169+$H$169+$I$169+$J$169))/+$AH517)*AG517)*(VLOOKUP('1. SUMMARY'!$C$20,rate,Sheet1!AJ$21,0))))))))</f>
        <v>0</v>
      </c>
      <c r="AH518" s="219">
        <f>SUM(Q518:AG518)</f>
        <v>0</v>
      </c>
      <c r="AI518" s="421">
        <f>IF(AI517=0,0,((+$K169/$AZ517)*AI517)*VLOOKUP('1. SUMMARY'!$C$20,rate,Sheet1!T$21,0))</f>
        <v>0</v>
      </c>
      <c r="AJ518" s="421">
        <f>IF(AJ517=0,0,((+$K169/$AZ517)*AJ517)*VLOOKUP('1. SUMMARY'!$C$20,rate,Sheet1!U$21,0))</f>
        <v>0</v>
      </c>
      <c r="AK518" s="421">
        <f>IF(AK517=0,0,((+$K169/$AZ517)*AK517)*VLOOKUP('1. SUMMARY'!$C$20,rate,Sheet1!V$21,0))</f>
        <v>0</v>
      </c>
      <c r="AL518" s="421">
        <f>IF(AL517=0,0,((+$K169/$AZ517)*AL517)*VLOOKUP('1. SUMMARY'!$C$20,rate,Sheet1!W$21,0))</f>
        <v>0</v>
      </c>
      <c r="AM518" s="421">
        <f>IF(AM517=0,0,((+$K169/$AZ517)*AM517)*VLOOKUP('1. SUMMARY'!$C$20,rate,Sheet1!X$21,0))</f>
        <v>0</v>
      </c>
      <c r="AN518" s="421">
        <f>IF(AN517=0,0,((+$K169/$AZ517)*AN517)*VLOOKUP('1. SUMMARY'!$C$20,rate,Sheet1!Y$21,0))</f>
        <v>0</v>
      </c>
      <c r="AO518" s="421">
        <f>IF(AO517=0,0,((+$K169/$AZ517)*AO517)*VLOOKUP('1. SUMMARY'!$C$20,rate,Sheet1!Z$21,0))</f>
        <v>0</v>
      </c>
      <c r="AP518" s="421">
        <f>IF(AP517=0,0,((+$K169/$AZ517)*AP517)*VLOOKUP('1. SUMMARY'!$C$20,rate,Sheet1!AA$21,0))</f>
        <v>0</v>
      </c>
      <c r="AQ518" s="421">
        <f>IF(AQ517=0,0,((+$K169/$AZ517)*AQ517)*VLOOKUP('1. SUMMARY'!$C$20,rate,Sheet1!AB$21,0))</f>
        <v>0</v>
      </c>
      <c r="AR518" s="421">
        <f>IF(AR517=0,0,((+$K169/$AZ517)*AR517)*VLOOKUP('1. SUMMARY'!$C$20,rate,Sheet1!AC$21,0))</f>
        <v>0</v>
      </c>
      <c r="AS518" s="421">
        <f>IF(AS517=0,0,((+$K169/$AZ517)*AS517)*VLOOKUP('1. SUMMARY'!$C$20,rate,Sheet1!AD$21,0))</f>
        <v>0</v>
      </c>
      <c r="AT518" s="421">
        <f>IF(AT517=0,0,((+$K169/$AZ517)*AT517)*VLOOKUP('1. SUMMARY'!$C$20,rate,Sheet1!AE$21,0))</f>
        <v>0</v>
      </c>
      <c r="AU518" s="421">
        <f>IF(AU517=0,0,((+$K169/$AZ517)*AU517)*VLOOKUP('1. SUMMARY'!$C$20,rate,Sheet1!AF$21,0))</f>
        <v>0</v>
      </c>
      <c r="AV518" s="421">
        <f>IF(AV517=0,0,((+$K169/$AZ517)*AV517)*VLOOKUP('1. SUMMARY'!$C$20,rate,Sheet1!AG$21,0))</f>
        <v>0</v>
      </c>
      <c r="AW518" s="421">
        <f>IF(AW517=0,0,((+$K169/$AZ517)*AW517)*VLOOKUP('1. SUMMARY'!$C$20,rate,Sheet1!AH$21,0))</f>
        <v>0</v>
      </c>
      <c r="AX518" s="421">
        <f>IF(AX517=0,0,((+$K169/$AZ517)*AX517)*VLOOKUP('1. SUMMARY'!$C$20,rate,Sheet1!AI$21,0))</f>
        <v>0</v>
      </c>
      <c r="AY518" s="421">
        <f>IF(AY517=0,0,((+$K169/$AZ517)*AY517)*VLOOKUP('1. SUMMARY'!$C$20,rate,Sheet1!AJ$21,0))</f>
        <v>0</v>
      </c>
      <c r="AZ518" s="421">
        <f>SUM(AI518:AY518)</f>
        <v>0</v>
      </c>
    </row>
    <row r="519" spans="16:52" hidden="1">
      <c r="P519" s="207">
        <f t="shared" si="225"/>
        <v>1</v>
      </c>
      <c r="Q519" s="421">
        <f>+Q518/VLOOKUP('1. SUMMARY'!$C$20,rate,Sheet1!T$21,0)</f>
        <v>0</v>
      </c>
      <c r="R519" s="421">
        <f>+R518/VLOOKUP('1. SUMMARY'!$C$20,rate,Sheet1!U$21,0)</f>
        <v>0</v>
      </c>
      <c r="S519" s="421">
        <f>+S518/VLOOKUP('1. SUMMARY'!$C$20,rate,Sheet1!V$21,0)</f>
        <v>0</v>
      </c>
      <c r="T519" s="421">
        <f>+T518/VLOOKUP('1. SUMMARY'!$C$20,rate,Sheet1!W$21,0)</f>
        <v>0</v>
      </c>
      <c r="U519" s="421">
        <f>+U518/VLOOKUP('1. SUMMARY'!$C$20,rate,Sheet1!X$21,0)</f>
        <v>0</v>
      </c>
      <c r="V519" s="421">
        <f>+V518/VLOOKUP('1. SUMMARY'!$C$20,rate,Sheet1!Y$21,0)</f>
        <v>0</v>
      </c>
      <c r="W519" s="421">
        <f>+W518/VLOOKUP('1. SUMMARY'!$C$20,rate,Sheet1!Z$21,0)</f>
        <v>0</v>
      </c>
      <c r="X519" s="421">
        <f>+X518/VLOOKUP('1. SUMMARY'!$C$20,rate,Sheet1!AA$21,0)</f>
        <v>0</v>
      </c>
      <c r="Y519" s="421">
        <f>+Y518/VLOOKUP('1. SUMMARY'!$C$20,rate,Sheet1!AB$21,0)</f>
        <v>0</v>
      </c>
      <c r="Z519" s="421">
        <f>+Z518/VLOOKUP('1. SUMMARY'!$C$20,rate,Sheet1!AC$21,0)</f>
        <v>0</v>
      </c>
      <c r="AA519" s="421">
        <f>+AA518/VLOOKUP('1. SUMMARY'!$C$20,rate,Sheet1!AD$21,0)</f>
        <v>0</v>
      </c>
      <c r="AB519" s="421">
        <f>+AB518/VLOOKUP('1. SUMMARY'!$C$20,rate,Sheet1!AE$21,0)</f>
        <v>0</v>
      </c>
      <c r="AC519" s="421">
        <f>+AC518/VLOOKUP('1. SUMMARY'!$C$20,rate,Sheet1!AF$21,0)</f>
        <v>0</v>
      </c>
      <c r="AD519" s="421">
        <f>+AD518/VLOOKUP('1. SUMMARY'!$C$20,rate,Sheet1!AG$21,0)</f>
        <v>0</v>
      </c>
      <c r="AE519" s="421">
        <f>+AE518/VLOOKUP('1. SUMMARY'!$C$20,rate,Sheet1!AH$21,0)</f>
        <v>0</v>
      </c>
      <c r="AF519" s="421">
        <f>+AF518/VLOOKUP('1. SUMMARY'!$C$20,rate,Sheet1!AI$21,0)</f>
        <v>0</v>
      </c>
      <c r="AG519" s="421">
        <f>+AG518/VLOOKUP('1. SUMMARY'!$C$20,rate,Sheet1!AJ$21,0)</f>
        <v>0</v>
      </c>
      <c r="AH519" s="219"/>
      <c r="AI519" s="421"/>
      <c r="AJ519" s="421"/>
      <c r="AK519" s="421"/>
      <c r="AL519" s="421"/>
      <c r="AM519" s="421"/>
      <c r="AN519" s="421"/>
      <c r="AO519" s="421"/>
      <c r="AP519" s="421"/>
      <c r="AQ519" s="421"/>
      <c r="AR519" s="421"/>
      <c r="AS519" s="421"/>
      <c r="AT519" s="421"/>
      <c r="AU519" s="421"/>
      <c r="AV519" s="421"/>
      <c r="AW519" s="421"/>
      <c r="AX519" s="421"/>
      <c r="AY519" s="421"/>
      <c r="AZ519" s="421"/>
    </row>
    <row r="520" spans="16:52" hidden="1">
      <c r="P520" s="207">
        <f>IF(Q670=39356,(+P494+1),P494)</f>
        <v>0</v>
      </c>
      <c r="Q520" s="396">
        <f>Sheet1!$T$8</f>
        <v>44105</v>
      </c>
      <c r="R520" s="396">
        <f>Sheet1!$U$8</f>
        <v>44470</v>
      </c>
      <c r="S520" s="396">
        <f>Sheet1!$V$8</f>
        <v>44835</v>
      </c>
      <c r="T520" s="396">
        <f>Sheet1!$W$8</f>
        <v>45200</v>
      </c>
      <c r="U520" s="396">
        <f>Sheet1!$X$8</f>
        <v>45566</v>
      </c>
      <c r="V520" s="396">
        <f>Sheet1!$Y$8</f>
        <v>45931</v>
      </c>
      <c r="W520" s="396">
        <f>Sheet1!$Z$8</f>
        <v>46296</v>
      </c>
      <c r="X520" s="396">
        <f>Sheet1!$AA$8</f>
        <v>46661</v>
      </c>
      <c r="Y520" s="396">
        <f>Sheet1!$AB$8</f>
        <v>47027</v>
      </c>
      <c r="Z520" s="396">
        <f>Sheet1!$AC$8</f>
        <v>47392</v>
      </c>
      <c r="AA520" s="396">
        <f>$AA$5</f>
        <v>47757</v>
      </c>
      <c r="AB520" s="396">
        <f>$AB$5</f>
        <v>48122</v>
      </c>
      <c r="AC520" s="396">
        <f>$AC$5</f>
        <v>48488</v>
      </c>
      <c r="AD520" s="396">
        <f>$AD$5</f>
        <v>48853</v>
      </c>
      <c r="AE520" s="396">
        <f>$AE$5</f>
        <v>49218</v>
      </c>
      <c r="AF520" s="396">
        <f>$AF$5</f>
        <v>49583</v>
      </c>
      <c r="AG520" s="396">
        <f>$AG$5</f>
        <v>49949</v>
      </c>
      <c r="AH520" s="211"/>
      <c r="AI520" s="396">
        <f t="shared" ref="AI520:AR522" si="236">+Q520</f>
        <v>44105</v>
      </c>
      <c r="AJ520" s="396">
        <f t="shared" si="236"/>
        <v>44470</v>
      </c>
      <c r="AK520" s="396">
        <f t="shared" si="236"/>
        <v>44835</v>
      </c>
      <c r="AL520" s="396">
        <f t="shared" si="236"/>
        <v>45200</v>
      </c>
      <c r="AM520" s="396">
        <f t="shared" si="236"/>
        <v>45566</v>
      </c>
      <c r="AN520" s="396">
        <f t="shared" si="236"/>
        <v>45931</v>
      </c>
      <c r="AO520" s="396">
        <f t="shared" si="236"/>
        <v>46296</v>
      </c>
      <c r="AP520" s="396">
        <f t="shared" si="236"/>
        <v>46661</v>
      </c>
      <c r="AQ520" s="396">
        <f t="shared" si="236"/>
        <v>47027</v>
      </c>
      <c r="AR520" s="396">
        <f t="shared" si="236"/>
        <v>47392</v>
      </c>
      <c r="AS520" s="396">
        <f t="shared" ref="AS520:AY522" si="237">+AA520</f>
        <v>47757</v>
      </c>
      <c r="AT520" s="396">
        <f t="shared" si="237"/>
        <v>48122</v>
      </c>
      <c r="AU520" s="396">
        <f t="shared" si="237"/>
        <v>48488</v>
      </c>
      <c r="AV520" s="396">
        <f t="shared" si="237"/>
        <v>48853</v>
      </c>
      <c r="AW520" s="396">
        <f t="shared" si="237"/>
        <v>49218</v>
      </c>
      <c r="AX520" s="396">
        <f t="shared" si="237"/>
        <v>49583</v>
      </c>
      <c r="AY520" s="396">
        <f t="shared" si="237"/>
        <v>49949</v>
      </c>
      <c r="AZ520" s="396"/>
    </row>
    <row r="521" spans="16:52" hidden="1">
      <c r="P521" s="207">
        <f t="shared" ref="P521:P544" si="238">IF(Q671=39356,(+P520+1),P520)</f>
        <v>0</v>
      </c>
      <c r="Q521" s="396">
        <f>Sheet1!$T$9</f>
        <v>44469</v>
      </c>
      <c r="R521" s="396">
        <f>Sheet1!$U$9</f>
        <v>44834</v>
      </c>
      <c r="S521" s="396">
        <f>Sheet1!$V$9</f>
        <v>45199</v>
      </c>
      <c r="T521" s="396">
        <f>Sheet1!$W$9</f>
        <v>45565</v>
      </c>
      <c r="U521" s="396">
        <f>Sheet1!$X$9</f>
        <v>45930</v>
      </c>
      <c r="V521" s="396">
        <f>Sheet1!$Y$9</f>
        <v>46295</v>
      </c>
      <c r="W521" s="396">
        <f>Sheet1!$Z$9</f>
        <v>46660</v>
      </c>
      <c r="X521" s="396">
        <f>Sheet1!$AA$9</f>
        <v>47026</v>
      </c>
      <c r="Y521" s="396">
        <f>Sheet1!$AB$9</f>
        <v>47391</v>
      </c>
      <c r="Z521" s="396">
        <f>Sheet1!$AC$9</f>
        <v>47756</v>
      </c>
      <c r="AA521" s="396">
        <f>$AA$6</f>
        <v>48121</v>
      </c>
      <c r="AB521" s="396">
        <f>$AB$6</f>
        <v>48487</v>
      </c>
      <c r="AC521" s="396">
        <f>$AC$6</f>
        <v>48852</v>
      </c>
      <c r="AD521" s="396">
        <f>$AD$6</f>
        <v>49217</v>
      </c>
      <c r="AE521" s="396">
        <f>$AE$6</f>
        <v>49582</v>
      </c>
      <c r="AF521" s="396">
        <f>$AF$6</f>
        <v>49948</v>
      </c>
      <c r="AG521" s="396">
        <f>$AG$6</f>
        <v>50313</v>
      </c>
      <c r="AH521" s="211"/>
      <c r="AI521" s="396">
        <f t="shared" si="236"/>
        <v>44469</v>
      </c>
      <c r="AJ521" s="396">
        <f t="shared" si="236"/>
        <v>44834</v>
      </c>
      <c r="AK521" s="396">
        <f t="shared" si="236"/>
        <v>45199</v>
      </c>
      <c r="AL521" s="396">
        <f t="shared" si="236"/>
        <v>45565</v>
      </c>
      <c r="AM521" s="396">
        <f t="shared" si="236"/>
        <v>45930</v>
      </c>
      <c r="AN521" s="396">
        <f t="shared" si="236"/>
        <v>46295</v>
      </c>
      <c r="AO521" s="396">
        <f t="shared" si="236"/>
        <v>46660</v>
      </c>
      <c r="AP521" s="396">
        <f t="shared" si="236"/>
        <v>47026</v>
      </c>
      <c r="AQ521" s="396">
        <f t="shared" si="236"/>
        <v>47391</v>
      </c>
      <c r="AR521" s="396">
        <f t="shared" si="236"/>
        <v>47756</v>
      </c>
      <c r="AS521" s="396">
        <f t="shared" si="237"/>
        <v>48121</v>
      </c>
      <c r="AT521" s="396">
        <f t="shared" si="237"/>
        <v>48487</v>
      </c>
      <c r="AU521" s="396">
        <f t="shared" si="237"/>
        <v>48852</v>
      </c>
      <c r="AV521" s="396">
        <f t="shared" si="237"/>
        <v>49217</v>
      </c>
      <c r="AW521" s="396">
        <f t="shared" si="237"/>
        <v>49582</v>
      </c>
      <c r="AX521" s="396">
        <f t="shared" si="237"/>
        <v>49948</v>
      </c>
      <c r="AY521" s="396">
        <f t="shared" si="237"/>
        <v>50313</v>
      </c>
      <c r="AZ521" s="396"/>
    </row>
    <row r="522" spans="16:52" hidden="1">
      <c r="P522" s="207">
        <f t="shared" si="238"/>
        <v>0</v>
      </c>
      <c r="Q522" s="397">
        <f>IF(IF(Q521&lt;$B$27,0,DATEDIF($B$27,Q521+1,"m"))&lt;0,0,IF(Q521&lt;$B$27,0,DATEDIF($B$27,Q521+1,"m")))</f>
        <v>1461</v>
      </c>
      <c r="R522" s="397">
        <f>IF(IF(Q522=12,0,IF(R521&gt;$B$28,12-DATEDIF($B$28,R521+1,"m"),IF(R521&lt;$B$27,0,DATEDIF($B$27,R521+1,"m"))))&lt;0,0,IF(Q522=12,0,IF(R521&gt;$B$28,12-DATEDIF($B$28,R521+1,"m"),IF(R521&lt;$B$27,0,DATEDIF($B$27,R521+1,"m")))))</f>
        <v>0</v>
      </c>
      <c r="S522" s="397">
        <f>IF(IF(Q522+R522=12,0,IF(S521&gt;$B$28,12-DATEDIF($B$28,S521+1,"m"),IF(S521&lt;$B$27,0,DATEDIF($B$27,S521+1,"m"))))&lt;0,0,IF(Q522+R522=12,0,IF(S521&gt;$B$28,12-DATEDIF($B$28,S521+1,"m"),IF(S521&lt;$B$27,0,DATEDIF($B$27,S521+1,"m")))))</f>
        <v>0</v>
      </c>
      <c r="T522" s="397">
        <f>IF(IF(R522+S522+Q522=12,0,IF(T521&gt;$B$28,12-DATEDIF($B$28,T521+1,"m"),IF(T521&lt;$B$27,0,DATEDIF($B$27,T521+1,"m"))))&lt;0,0,IF(R522+S522+Q522=12,0,IF(T521&gt;$B$28,12-DATEDIF($B$28,T521+1,"m"),IF(T521&lt;$B$27,0,DATEDIF($B$27,T521+1,"m")))))</f>
        <v>0</v>
      </c>
      <c r="U522" s="397">
        <f>IF(IF(S522+T522+R522+Q522=12,0,IF(U521&gt;$B$28,12-DATEDIF($B$28,U521+1,"m"),IF(U521&lt;$B$27,0,DATEDIF($B$27,U521+1,"m"))))&lt;0,0,IF(S522+T522+R522+Q522=12,0,IF(U521&gt;$B$28,12-DATEDIF($B$28,U521+1,"m"),IF(U521&lt;$B$27,0,DATEDIF($B$27,U521+1,"m")))))</f>
        <v>0</v>
      </c>
      <c r="V522" s="397">
        <f>IF(IF(T522+U522+S522+R522+Q522=12,0,IF(V521&gt;$B$28,12-DATEDIF($B$28,V521+1,"m"),IF(V521&lt;$B$27,0,DATEDIF($B$27,V521+1,"m"))))&lt;0,0,IF(T522+U522+S522+R522+Q522=12,0,IF(V521&gt;$B$28,12-DATEDIF($B$28,V521+1,"m"),IF(V521&lt;$B$27,0,DATEDIF($B$27,V521+1,"m")))))</f>
        <v>0</v>
      </c>
      <c r="W522" s="397">
        <f>IF(IF(U522+V522+T522+S522+R522+Q522=12,0,IF(W521&gt;$B$28,12-DATEDIF($B$28,W521+1,"m"),IF(W521&lt;$B$27,0,DATEDIF($B$27,W521+1,"m"))))&lt;0,0,IF(U522+V522+T522+S522+R522+Q522=12,0,IF(W521&gt;$B$28,12-DATEDIF($B$28,W521+1,"m"),IF(W521&lt;$B$27,0,DATEDIF($B$27,W521+1,"m")))))</f>
        <v>0</v>
      </c>
      <c r="X522" s="397">
        <f>IF(IF(V522+W522+U522+T522+S522+R522+Q522=12,0,IF(X521&gt;$B$28,12-DATEDIF($B$28,X521+1,"m"),IF(X521&lt;$B$27,0,DATEDIF($B$27,X521+1,"m"))))&lt;0,0,IF(V522+W522+U522+T522+S522+R522+Q522=12,0,IF(X521&gt;$B$28,12-DATEDIF($B$28,X521+1,"m"),IF(X521&lt;$B$27,0,DATEDIF($B$27,X521+1,"m")))))</f>
        <v>0</v>
      </c>
      <c r="Y522" s="397">
        <f>IF(IF(W522+X522+V522+U522+T522+S522+R522=12,0,IF(Y521&gt;$B$28,12-DATEDIF($B$28,Y521+1,"m"),IF(Y521&lt;$B$27,0,DATEDIF($B$27,Y521+1,"m"))))&lt;0,0,IF(W522+X522+V522+U522+T522+S522+R522=12,0,IF(Y521&gt;$B$28,12-DATEDIF($B$28,Y521+1,"m"),IF(Y521&lt;$B$27,0,DATEDIF($B$27,Y521+1,"m")))))</f>
        <v>0</v>
      </c>
      <c r="Z522" s="397">
        <f>IF(IF(X522+Y522+W522+V522+U522+T522+S522=12,0,IF(Z521&gt;$B$28,12-DATEDIF($B$28,Z521+1,"m"),IF(Z521&lt;$B$27,0,DATEDIF($B$27,Z521+1,"m"))))&lt;0,0,IF(X522+Y522+W522+V522+U522+T522+S522=12,0,IF(Z521&gt;$B$28,12-DATEDIF($B$28,Z521+1,"m"),IF(Z521&lt;$B$27,0,DATEDIF($B$27,Z521+1,"m")))))</f>
        <v>0</v>
      </c>
      <c r="AA522" s="397"/>
      <c r="AB522" s="397"/>
      <c r="AC522" s="397"/>
      <c r="AD522" s="397"/>
      <c r="AE522" s="397"/>
      <c r="AF522" s="397"/>
      <c r="AG522" s="397"/>
      <c r="AH522" s="423">
        <f>SUM(Q522:AG522)</f>
        <v>1461</v>
      </c>
      <c r="AI522" s="397">
        <f t="shared" si="236"/>
        <v>1461</v>
      </c>
      <c r="AJ522" s="397">
        <f t="shared" si="236"/>
        <v>0</v>
      </c>
      <c r="AK522" s="397">
        <f t="shared" si="236"/>
        <v>0</v>
      </c>
      <c r="AL522" s="397">
        <f t="shared" si="236"/>
        <v>0</v>
      </c>
      <c r="AM522" s="397">
        <f t="shared" si="236"/>
        <v>0</v>
      </c>
      <c r="AN522" s="397">
        <f t="shared" si="236"/>
        <v>0</v>
      </c>
      <c r="AO522" s="397">
        <f t="shared" si="236"/>
        <v>0</v>
      </c>
      <c r="AP522" s="397">
        <f t="shared" si="236"/>
        <v>0</v>
      </c>
      <c r="AQ522" s="397">
        <f t="shared" si="236"/>
        <v>0</v>
      </c>
      <c r="AR522" s="397">
        <f t="shared" si="236"/>
        <v>0</v>
      </c>
      <c r="AS522" s="397">
        <f t="shared" si="237"/>
        <v>0</v>
      </c>
      <c r="AT522" s="397">
        <f t="shared" si="237"/>
        <v>0</v>
      </c>
      <c r="AU522" s="397">
        <f t="shared" si="237"/>
        <v>0</v>
      </c>
      <c r="AV522" s="397">
        <f t="shared" si="237"/>
        <v>0</v>
      </c>
      <c r="AW522" s="397">
        <f t="shared" si="237"/>
        <v>0</v>
      </c>
      <c r="AX522" s="397">
        <f t="shared" si="237"/>
        <v>0</v>
      </c>
      <c r="AY522" s="397">
        <f t="shared" si="237"/>
        <v>0</v>
      </c>
      <c r="AZ522" s="397">
        <f>SUM(AI522:AY522)</f>
        <v>1461</v>
      </c>
    </row>
    <row r="523" spans="16:52" hidden="1">
      <c r="P523" s="207">
        <f t="shared" si="238"/>
        <v>0</v>
      </c>
      <c r="Q523" s="398">
        <f>IF(Q522=0,0,(IF($B$186&gt;25000,((25000/+$AH522)*Q522)*VLOOKUP('1. SUMMARY'!$C$20,rate,Sheet1!T$21,0),(($B$186/+$AH522)*Q522)*VLOOKUP('1. SUMMARY'!$C$20,rate,Sheet1!T$21,0))))</f>
        <v>0</v>
      </c>
      <c r="R523" s="398">
        <f>IF(R522=0,0,(IF($B$186&gt;25000,((25000/+$AH522)*R522)*VLOOKUP('1. SUMMARY'!$C$20,rate,Sheet1!U$21,0),(($B$186/+$AH522)*R522)*VLOOKUP('1. SUMMARY'!$C$20,rate,Sheet1!U$21,0))))</f>
        <v>0</v>
      </c>
      <c r="S523" s="398">
        <f>IF(S522=0,0,(IF($B$186&gt;25000,((25000/+$AH522)*S522)*VLOOKUP('1. SUMMARY'!$C$20,rate,Sheet1!V$21,0),(($B$186/+$AH522)*S522)*VLOOKUP('1. SUMMARY'!$C$20,rate,Sheet1!V$21,0))))</f>
        <v>0</v>
      </c>
      <c r="T523" s="398">
        <f>IF(T522=0,0,(IF($B$186&gt;25000,((25000/+$AH522)*T522)*VLOOKUP('1. SUMMARY'!$C$20,rate,Sheet1!W$21,0),(($B$186/+$AH522)*T522)*VLOOKUP('1. SUMMARY'!$C$20,rate,Sheet1!W$21,0))))</f>
        <v>0</v>
      </c>
      <c r="U523" s="398">
        <f>IF(U522=0,0,(IF($B$186&gt;25000,((25000/+$AH522)*U522)*VLOOKUP('1. SUMMARY'!$C$20,rate,Sheet1!X$21,0),(($B$186/+$AH522)*U522)*VLOOKUP('1. SUMMARY'!$C$20,rate,Sheet1!X$21,0))))</f>
        <v>0</v>
      </c>
      <c r="V523" s="398">
        <f>IF(V522=0,0,(IF($B$186&gt;25000,((25000/+$AH522)*V522)*VLOOKUP('1. SUMMARY'!$C$20,rate,Sheet1!Y$21,0),(($B$186/+$AH522)*V522)*VLOOKUP('1. SUMMARY'!$C$20,rate,Sheet1!Y$21,0))))</f>
        <v>0</v>
      </c>
      <c r="W523" s="398">
        <f>IF(W522=0,0,(IF($B$186&gt;25000,((25000/+$AH522)*W522)*VLOOKUP('1. SUMMARY'!$C$20,rate,Sheet1!Z$21,0),(($B$186/+$AH522)*W522)*VLOOKUP('1. SUMMARY'!$C$20,rate,Sheet1!Z$21,0))))</f>
        <v>0</v>
      </c>
      <c r="X523" s="398">
        <f>IF(X522=0,0,(IF($B$186&gt;25000,((25000/+$AH522)*X522)*VLOOKUP('1. SUMMARY'!$C$20,rate,Sheet1!AA$21,0),(($B$186/+$AH522)*X522)*VLOOKUP('1. SUMMARY'!$C$20,rate,Sheet1!AA$21,0))))</f>
        <v>0</v>
      </c>
      <c r="Y523" s="398">
        <f>IF(Y522=0,0,(IF($B$186&gt;25000,((25000/+$AH522)*Y522)*VLOOKUP('1. SUMMARY'!$C$20,rate,Sheet1!AB$21,0),(($B$186/+$AH522)*Y522)*VLOOKUP('1. SUMMARY'!$C$20,rate,Sheet1!AB$21,0))))</f>
        <v>0</v>
      </c>
      <c r="Z523" s="398">
        <f>IF(Z522=0,0,(IF($B$186&gt;25000,((25000/+$AH522)*Z522)*VLOOKUP('1. SUMMARY'!$C$20,rate,Sheet1!AC$21,0),(($B$186/+$AH522)*Z522)*VLOOKUP('1. SUMMARY'!$C$20,rate,Sheet1!AC$21,0))))</f>
        <v>0</v>
      </c>
      <c r="AA523" s="398">
        <f>IF(AA522=0,0,(IF($B$186&gt;25000,((25000/+$AH522)*AA522)*VLOOKUP('1. SUMMARY'!$C$20,rate,Sheet1!AD$21,0),(($B$186/+$AH522)*AA522)*VLOOKUP('1. SUMMARY'!$C$20,rate,Sheet1!AD$21,0))))</f>
        <v>0</v>
      </c>
      <c r="AB523" s="398">
        <f>IF(AB522=0,0,(IF($B$186&gt;25000,((25000/+$AH522)*AB522)*VLOOKUP('1. SUMMARY'!$C$20,rate,Sheet1!AE$21,0),(($B$186/+$AH522)*AB522)*VLOOKUP('1. SUMMARY'!$C$20,rate,Sheet1!AE$21,0))))</f>
        <v>0</v>
      </c>
      <c r="AC523" s="398">
        <f>IF(AC522=0,0,(IF($B$186&gt;25000,((25000/+$AH522)*AC522)*VLOOKUP('1. SUMMARY'!$C$20,rate,Sheet1!AF$21,0),(($B$186/+$AH522)*AC522)*VLOOKUP('1. SUMMARY'!$C$20,rate,Sheet1!AF$21,0))))</f>
        <v>0</v>
      </c>
      <c r="AD523" s="398">
        <f>IF(AD522=0,0,(IF($B$186&gt;25000,((25000/+$AH522)*AD522)*VLOOKUP('1. SUMMARY'!$C$20,rate,Sheet1!AG$21,0),(($B$186/+$AH522)*AD522)*VLOOKUP('1. SUMMARY'!$C$20,rate,Sheet1!AG$21,0))))</f>
        <v>0</v>
      </c>
      <c r="AE523" s="398">
        <f>IF(AE522=0,0,(IF($B$186&gt;25000,((25000/+$AH522)*AE522)*VLOOKUP('1. SUMMARY'!$C$20,rate,Sheet1!AH$21,0),(($B$186/+$AH522)*AE522)*VLOOKUP('1. SUMMARY'!$C$20,rate,Sheet1!AH$21,0))))</f>
        <v>0</v>
      </c>
      <c r="AF523" s="398">
        <f>IF(AF522=0,0,(IF($B$186&gt;25000,((25000/+$AH522)*AF522)*VLOOKUP('1. SUMMARY'!$C$20,rate,Sheet1!AI$21,0),(($B$186/+$AH522)*AF522)*VLOOKUP('1. SUMMARY'!$C$20,rate,Sheet1!AI$21,0))))</f>
        <v>0</v>
      </c>
      <c r="AG523" s="398">
        <f>IF(AG522=0,0,(IF($B$186&gt;25000,((25000/+$AH522)*AG522)*VLOOKUP('1. SUMMARY'!$C$20,rate,Sheet1!AJ$21,0),(($B$186/+$AH522)*AG522)*VLOOKUP('1. SUMMARY'!$C$20,rate,Sheet1!AJ$21,0))))</f>
        <v>0</v>
      </c>
      <c r="AH523" s="219">
        <f>SUM(Q523:AG523)</f>
        <v>0</v>
      </c>
      <c r="AI523" s="398">
        <f>IF(Q522=0,0,((+$B186/$AZ522)*AI522)*VLOOKUP('1. SUMMARY'!$C$20,rate,Sheet1!T$21,0))</f>
        <v>0</v>
      </c>
      <c r="AJ523" s="398">
        <f>IF(R522=0,0,((+$B186/$AZ522)*AJ522)*VLOOKUP('1. SUMMARY'!$C$20,rate,Sheet1!U$21,0))</f>
        <v>0</v>
      </c>
      <c r="AK523" s="398">
        <f>IF(S522=0,0,((+$B186/$AZ522)*AK522)*VLOOKUP('1. SUMMARY'!$C$20,rate,Sheet1!V$21,0))</f>
        <v>0</v>
      </c>
      <c r="AL523" s="398">
        <f>IF(T522=0,0,((+$B186/$AZ522)*AL522)*VLOOKUP('1. SUMMARY'!$C$20,rate,Sheet1!W$21,0))</f>
        <v>0</v>
      </c>
      <c r="AM523" s="398">
        <f>IF(U522=0,0,((+$B186/$AZ522)*AM522)*VLOOKUP('1. SUMMARY'!$C$20,rate,Sheet1!X$21,0))</f>
        <v>0</v>
      </c>
      <c r="AN523" s="398">
        <f>IF(V522=0,0,((+$B186/$AZ522)*AN522)*VLOOKUP('1. SUMMARY'!$C$20,rate,Sheet1!Y$21,0))</f>
        <v>0</v>
      </c>
      <c r="AO523" s="398">
        <f>IF(W522=0,0,((+$B186/$AZ522)*AO522)*VLOOKUP('1. SUMMARY'!$C$20,rate,Sheet1!Z$21,0))</f>
        <v>0</v>
      </c>
      <c r="AP523" s="398">
        <f>IF(X522=0,0,((+$B186/$AZ522)*AP522)*VLOOKUP('1. SUMMARY'!$C$20,rate,Sheet1!AA$21,0))</f>
        <v>0</v>
      </c>
      <c r="AQ523" s="398">
        <f>IF(Y522=0,0,((+$B186/$AZ522)*AQ522)*VLOOKUP('1. SUMMARY'!$C$20,rate,Sheet1!AB$21,0))</f>
        <v>0</v>
      </c>
      <c r="AR523" s="398">
        <f>IF(Z522=0,0,((+$B186/$AZ522)*AR522)*VLOOKUP('1. SUMMARY'!$C$20,rate,Sheet1!AC$21,0))</f>
        <v>0</v>
      </c>
      <c r="AS523" s="398">
        <f>IF(AA522=0,0,((+$B186/$AZ522)*AS522)*VLOOKUP('1. SUMMARY'!$C$20,rate,Sheet1!AD$21,0))</f>
        <v>0</v>
      </c>
      <c r="AT523" s="398">
        <f>IF(AB522=0,0,((+$B186/$AZ522)*AT522)*VLOOKUP('1. SUMMARY'!$C$20,rate,Sheet1!AE$21,0))</f>
        <v>0</v>
      </c>
      <c r="AU523" s="398">
        <f>IF(AC522=0,0,((+$B186/$AZ522)*AU522)*VLOOKUP('1. SUMMARY'!$C$20,rate,Sheet1!AF$21,0))</f>
        <v>0</v>
      </c>
      <c r="AV523" s="398">
        <f>IF(AD522=0,0,((+$B186/$AZ522)*AV522)*VLOOKUP('1. SUMMARY'!$C$20,rate,Sheet1!AG$21,0))</f>
        <v>0</v>
      </c>
      <c r="AW523" s="398">
        <f>IF(AE522=0,0,((+$B186/$AZ522)*AW522)*VLOOKUP('1. SUMMARY'!$C$20,rate,Sheet1!AH$21,0))</f>
        <v>0</v>
      </c>
      <c r="AX523" s="398">
        <f>IF(AF522=0,0,((+$B186/$AZ522)*AX522)*VLOOKUP('1. SUMMARY'!$C$20,rate,Sheet1!AI$21,0))</f>
        <v>0</v>
      </c>
      <c r="AY523" s="398">
        <f>IF(AG522=0,0,((+$B186/$AZ522)*AY522)*VLOOKUP('1. SUMMARY'!$C$20,rate,Sheet1!AJ$21,0))</f>
        <v>0</v>
      </c>
      <c r="AZ523" s="398">
        <f>SUM(AI523:AY523)</f>
        <v>0</v>
      </c>
    </row>
    <row r="524" spans="16:52" hidden="1">
      <c r="P524" s="207">
        <f t="shared" si="238"/>
        <v>0</v>
      </c>
      <c r="Q524" s="398">
        <f>+Q523/VLOOKUP('1. SUMMARY'!$C$20,rate,Sheet1!T$21,0)</f>
        <v>0</v>
      </c>
      <c r="R524" s="398">
        <f>+R523/VLOOKUP('1. SUMMARY'!$C$20,rate,Sheet1!U$21,0)</f>
        <v>0</v>
      </c>
      <c r="S524" s="398">
        <f>+S523/VLOOKUP('1. SUMMARY'!$C$20,rate,Sheet1!V$21,0)</f>
        <v>0</v>
      </c>
      <c r="T524" s="398">
        <f>+T523/VLOOKUP('1. SUMMARY'!$C$20,rate,Sheet1!W$21,0)</f>
        <v>0</v>
      </c>
      <c r="U524" s="398">
        <f>+U523/VLOOKUP('1. SUMMARY'!$C$20,rate,Sheet1!X$21,0)</f>
        <v>0</v>
      </c>
      <c r="V524" s="398">
        <f>+V523/VLOOKUP('1. SUMMARY'!$C$20,rate,Sheet1!Y$21,0)</f>
        <v>0</v>
      </c>
      <c r="W524" s="398">
        <f>+W523/VLOOKUP('1. SUMMARY'!$C$20,rate,Sheet1!Z$21,0)</f>
        <v>0</v>
      </c>
      <c r="X524" s="398">
        <f>+X523/VLOOKUP('1. SUMMARY'!$C$20,rate,Sheet1!AA$21,0)</f>
        <v>0</v>
      </c>
      <c r="Y524" s="398">
        <f>+Y523/VLOOKUP('1. SUMMARY'!$C$20,rate,Sheet1!AB$21,0)</f>
        <v>0</v>
      </c>
      <c r="Z524" s="398">
        <f>+Z523/VLOOKUP('1. SUMMARY'!$C$20,rate,Sheet1!AC$21,0)</f>
        <v>0</v>
      </c>
      <c r="AA524" s="398">
        <f>+AA523/VLOOKUP('1. SUMMARY'!$C$20,rate,Sheet1!AD$21,0)</f>
        <v>0</v>
      </c>
      <c r="AB524" s="398">
        <f>+AB523/VLOOKUP('1. SUMMARY'!$C$20,rate,Sheet1!AE$21,0)</f>
        <v>0</v>
      </c>
      <c r="AC524" s="398">
        <f>+AC523/VLOOKUP('1. SUMMARY'!$C$20,rate,Sheet1!AF$21,0)</f>
        <v>0</v>
      </c>
      <c r="AD524" s="398">
        <f>+AD523/VLOOKUP('1. SUMMARY'!$C$20,rate,Sheet1!AG$21,0)</f>
        <v>0</v>
      </c>
      <c r="AE524" s="398">
        <f>+AE523/VLOOKUP('1. SUMMARY'!$C$20,rate,Sheet1!AH$21,0)</f>
        <v>0</v>
      </c>
      <c r="AF524" s="398">
        <f>+AF523/VLOOKUP('1. SUMMARY'!$C$20,rate,Sheet1!AI$21,0)</f>
        <v>0</v>
      </c>
      <c r="AG524" s="398">
        <f>+AG523/VLOOKUP('1. SUMMARY'!$C$20,rate,Sheet1!AJ$21,0)</f>
        <v>0</v>
      </c>
      <c r="AH524" s="219"/>
      <c r="AI524" s="398">
        <v>0</v>
      </c>
      <c r="AJ524" s="398">
        <v>0</v>
      </c>
      <c r="AK524" s="398">
        <v>0</v>
      </c>
      <c r="AL524" s="398">
        <v>0</v>
      </c>
      <c r="AM524" s="398">
        <v>0</v>
      </c>
      <c r="AN524" s="398">
        <v>0</v>
      </c>
      <c r="AO524" s="398">
        <v>0</v>
      </c>
      <c r="AP524" s="398">
        <v>0</v>
      </c>
      <c r="AQ524" s="398"/>
      <c r="AR524" s="398"/>
      <c r="AS524" s="398"/>
      <c r="AT524" s="398"/>
      <c r="AU524" s="398"/>
      <c r="AV524" s="398"/>
      <c r="AW524" s="398"/>
      <c r="AX524" s="398"/>
      <c r="AY524" s="398"/>
      <c r="AZ524" s="398"/>
    </row>
    <row r="525" spans="16:52" hidden="1">
      <c r="P525" s="207">
        <f t="shared" si="238"/>
        <v>0</v>
      </c>
      <c r="Q525" s="402">
        <f>Sheet1!$T$8</f>
        <v>44105</v>
      </c>
      <c r="R525" s="402">
        <f>Sheet1!$U$8</f>
        <v>44470</v>
      </c>
      <c r="S525" s="402">
        <f>Sheet1!$V$8</f>
        <v>44835</v>
      </c>
      <c r="T525" s="402">
        <f>Sheet1!$W$8</f>
        <v>45200</v>
      </c>
      <c r="U525" s="402">
        <f>Sheet1!$X$8</f>
        <v>45566</v>
      </c>
      <c r="V525" s="402">
        <f>Sheet1!$Y$8</f>
        <v>45931</v>
      </c>
      <c r="W525" s="402">
        <f>Sheet1!$Z$8</f>
        <v>46296</v>
      </c>
      <c r="X525" s="402">
        <f>Sheet1!$AA$8</f>
        <v>46661</v>
      </c>
      <c r="Y525" s="402">
        <f>Sheet1!$AB$8</f>
        <v>47027</v>
      </c>
      <c r="Z525" s="402">
        <f>Sheet1!$AC$8</f>
        <v>47392</v>
      </c>
      <c r="AA525" s="402">
        <f>$AA$5</f>
        <v>47757</v>
      </c>
      <c r="AB525" s="402">
        <f>$AB$5</f>
        <v>48122</v>
      </c>
      <c r="AC525" s="402">
        <f>$AC$5</f>
        <v>48488</v>
      </c>
      <c r="AD525" s="402">
        <f>$AD$5</f>
        <v>48853</v>
      </c>
      <c r="AE525" s="402">
        <f>$AE$5</f>
        <v>49218</v>
      </c>
      <c r="AF525" s="402">
        <f>$AF$5</f>
        <v>49583</v>
      </c>
      <c r="AG525" s="402">
        <f>$AG$5</f>
        <v>49949</v>
      </c>
      <c r="AH525" s="211"/>
      <c r="AI525" s="402">
        <f t="shared" ref="AI525:AR527" si="239">+Q525</f>
        <v>44105</v>
      </c>
      <c r="AJ525" s="402">
        <f t="shared" si="239"/>
        <v>44470</v>
      </c>
      <c r="AK525" s="402">
        <f t="shared" si="239"/>
        <v>44835</v>
      </c>
      <c r="AL525" s="402">
        <f t="shared" si="239"/>
        <v>45200</v>
      </c>
      <c r="AM525" s="402">
        <f t="shared" si="239"/>
        <v>45566</v>
      </c>
      <c r="AN525" s="402">
        <f t="shared" si="239"/>
        <v>45931</v>
      </c>
      <c r="AO525" s="402">
        <f t="shared" si="239"/>
        <v>46296</v>
      </c>
      <c r="AP525" s="402">
        <f t="shared" si="239"/>
        <v>46661</v>
      </c>
      <c r="AQ525" s="402">
        <f t="shared" si="239"/>
        <v>47027</v>
      </c>
      <c r="AR525" s="402">
        <f t="shared" si="239"/>
        <v>47392</v>
      </c>
      <c r="AS525" s="402">
        <f t="shared" ref="AS525:AY527" si="240">+AA525</f>
        <v>47757</v>
      </c>
      <c r="AT525" s="402">
        <f t="shared" si="240"/>
        <v>48122</v>
      </c>
      <c r="AU525" s="402">
        <f t="shared" si="240"/>
        <v>48488</v>
      </c>
      <c r="AV525" s="402">
        <f t="shared" si="240"/>
        <v>48853</v>
      </c>
      <c r="AW525" s="402">
        <f t="shared" si="240"/>
        <v>49218</v>
      </c>
      <c r="AX525" s="402">
        <f t="shared" si="240"/>
        <v>49583</v>
      </c>
      <c r="AY525" s="402">
        <f t="shared" si="240"/>
        <v>49949</v>
      </c>
      <c r="AZ525" s="402"/>
    </row>
    <row r="526" spans="16:52" hidden="1">
      <c r="P526" s="207">
        <f t="shared" si="238"/>
        <v>0</v>
      </c>
      <c r="Q526" s="402">
        <f>Sheet1!$T$9</f>
        <v>44469</v>
      </c>
      <c r="R526" s="402">
        <f>Sheet1!$U$9</f>
        <v>44834</v>
      </c>
      <c r="S526" s="402">
        <f>Sheet1!$V$9</f>
        <v>45199</v>
      </c>
      <c r="T526" s="402">
        <f>Sheet1!$W$9</f>
        <v>45565</v>
      </c>
      <c r="U526" s="402">
        <f>Sheet1!$X$9</f>
        <v>45930</v>
      </c>
      <c r="V526" s="402">
        <f>Sheet1!$Y$9</f>
        <v>46295</v>
      </c>
      <c r="W526" s="402">
        <f>Sheet1!$Z$9</f>
        <v>46660</v>
      </c>
      <c r="X526" s="402">
        <f>Sheet1!$AA$9</f>
        <v>47026</v>
      </c>
      <c r="Y526" s="402">
        <f>Sheet1!$AB$9</f>
        <v>47391</v>
      </c>
      <c r="Z526" s="402">
        <f>Sheet1!$AC$9</f>
        <v>47756</v>
      </c>
      <c r="AA526" s="402">
        <f>$AA$6</f>
        <v>48121</v>
      </c>
      <c r="AB526" s="402">
        <f>$AB$6</f>
        <v>48487</v>
      </c>
      <c r="AC526" s="402">
        <f>$AC$6</f>
        <v>48852</v>
      </c>
      <c r="AD526" s="402">
        <f>$AD$6</f>
        <v>49217</v>
      </c>
      <c r="AE526" s="402">
        <f>$AE$6</f>
        <v>49582</v>
      </c>
      <c r="AF526" s="402">
        <f>$AF$6</f>
        <v>49948</v>
      </c>
      <c r="AG526" s="402">
        <f>$AG$6</f>
        <v>50313</v>
      </c>
      <c r="AH526" s="211"/>
      <c r="AI526" s="402">
        <f t="shared" si="239"/>
        <v>44469</v>
      </c>
      <c r="AJ526" s="402">
        <f t="shared" si="239"/>
        <v>44834</v>
      </c>
      <c r="AK526" s="402">
        <f t="shared" si="239"/>
        <v>45199</v>
      </c>
      <c r="AL526" s="402">
        <f t="shared" si="239"/>
        <v>45565</v>
      </c>
      <c r="AM526" s="402">
        <f t="shared" si="239"/>
        <v>45930</v>
      </c>
      <c r="AN526" s="402">
        <f t="shared" si="239"/>
        <v>46295</v>
      </c>
      <c r="AO526" s="402">
        <f t="shared" si="239"/>
        <v>46660</v>
      </c>
      <c r="AP526" s="402">
        <f t="shared" si="239"/>
        <v>47026</v>
      </c>
      <c r="AQ526" s="402">
        <f t="shared" si="239"/>
        <v>47391</v>
      </c>
      <c r="AR526" s="402">
        <f t="shared" si="239"/>
        <v>47756</v>
      </c>
      <c r="AS526" s="402">
        <f t="shared" si="240"/>
        <v>48121</v>
      </c>
      <c r="AT526" s="402">
        <f t="shared" si="240"/>
        <v>48487</v>
      </c>
      <c r="AU526" s="402">
        <f t="shared" si="240"/>
        <v>48852</v>
      </c>
      <c r="AV526" s="402">
        <f t="shared" si="240"/>
        <v>49217</v>
      </c>
      <c r="AW526" s="402">
        <f t="shared" si="240"/>
        <v>49582</v>
      </c>
      <c r="AX526" s="402">
        <f t="shared" si="240"/>
        <v>49948</v>
      </c>
      <c r="AY526" s="402">
        <f t="shared" si="240"/>
        <v>50313</v>
      </c>
      <c r="AZ526" s="402"/>
    </row>
    <row r="527" spans="16:52" hidden="1">
      <c r="P527" s="207">
        <f t="shared" si="238"/>
        <v>0</v>
      </c>
      <c r="Q527" s="403">
        <f>IF(IF(Q526&lt;$C$27,0,DATEDIF($C$27,Q526+1,"m"))&lt;0,0,IF(Q526&lt;$C$27,0,DATEDIF($C$27,Q526+1,"m")))</f>
        <v>0</v>
      </c>
      <c r="R527" s="403">
        <f>IF(IF(Q527=12,0,IF(R526&gt;$C$28,12-DATEDIF($C$28,R526+1,"m"),IF(R526&lt;$C$27,0,DATEDIF($C$27,R526+1,"m"))))&lt;0,0,IF(Q527=12,0,IF(R526&gt;$C$28,12-DATEDIF($C$28,R526+1,"m"),IF(R526&lt;$C$27,0,DATEDIF($C$27,R526+1,"m")))))</f>
        <v>0</v>
      </c>
      <c r="S527" s="403">
        <f>IF(IF(Q527+R527=12,0,IF(S526&gt;$C$28,12-DATEDIF($C$28,S526+1,"m"),IF(S526&lt;$C$27,0,DATEDIF($C$27,S526+1,"m"))))&lt;0,0,IF(Q527+R527=12,0,IF(S526&gt;$C$28,12-DATEDIF($C$28,S526+1,"m"),IF(S526&lt;$C$27,0,DATEDIF($C$27,S526+1,"m")))))</f>
        <v>0</v>
      </c>
      <c r="T527" s="403">
        <f>IF(IF(R527+S527+Q527=12,0,IF(T526&gt;$C$28,12-DATEDIF($C$28,T526+1,"m"),IF(T526&lt;$C$27,0,DATEDIF($C$27,T526+1,"m"))))&lt;0,0,IF(R527+S527+Q527=12,0,IF(T526&gt;$C$28,12-DATEDIF($C$28,T526+1,"m"),IF(T526&lt;$C$27,0,DATEDIF($C$27,T526+1,"m")))))</f>
        <v>0</v>
      </c>
      <c r="U527" s="403">
        <f>IF(IF(S527+T527+R527+Q527=12,0,IF(U526&gt;$C$28,12-DATEDIF($C$28,U526+1,"m"),IF(U526&lt;$C$27,0,DATEDIF($C$27,U526+1,"m"))))&lt;0,0,IF(S527+T527+R527+Q527=12,0,IF(U526&gt;$C$28,12-DATEDIF($C$28,U526+1,"m"),IF(U526&lt;$C$27,0,DATEDIF($C$27,U526+1,"m")))))</f>
        <v>0</v>
      </c>
      <c r="V527" s="403">
        <f>IF(IF(T527+U527+S527+R527+Q527=12,0,IF(V526&gt;$C$28,12-DATEDIF($C$28,V526+1,"m"),IF(V526&lt;$C$27,0,DATEDIF($C$27,V526+1,"m"))))&lt;0,0,IF(T527+U527+S527+R527+Q527=12,0,IF(V526&gt;$C$28,12-DATEDIF($C$28,V526+1,"m"),IF(V526&lt;$C$27,0,DATEDIF($C$27,V526+1,"m")))))</f>
        <v>0</v>
      </c>
      <c r="W527" s="403">
        <f>IF(IF(U527+V527+T527+S527+R527+Q527=12,0,IF(W526&gt;$C$28,12-DATEDIF($C$28,W526+1,"m"),IF(W526&lt;$C$27,0,DATEDIF($C$27,W526+1,"m"))))&lt;0,0,IF(U527+V527+T527+S527+R527+Q527=12,0,IF(W526&gt;$C$28,12-DATEDIF($C$28,W526+1,"m"),IF(W526&lt;$C$27,0,DATEDIF($C$27,W526+1,"m")))))</f>
        <v>0</v>
      </c>
      <c r="X527" s="403">
        <f>IF(IF(V527+W527+U527+T527+S527+R527+Q527=12,0,IF(X526&gt;$C$28,12-DATEDIF($C$28,X526+1,"m"),IF(X526&lt;$C$27,0,DATEDIF($C$27,X526+1,"m"))))&lt;0,0,IF(V527+W527+U527+T527+S527+R527+Q527=12,0,IF(X526&gt;$C$28,12-DATEDIF($C$28,X526+1,"m"),IF(X526&lt;$C$27,0,DATEDIF($C$27,X526+1,"m")))))</f>
        <v>0</v>
      </c>
      <c r="Y527" s="403">
        <f>IF(IF(Q527+W527+X527+V527+U527+T527+S527+R527=12,0,IF(Y526&gt;$C$28,12-DATEDIF($C$28,Y526+1,"m"),IF(Y526&lt;$C$27,0,DATEDIF($C$27,Y526+1,"m"))))&lt;0,0,IF(Q527+W527+X527+V527+U527+T527+S527+R527=12,0,IF(Y526&gt;$C$28,12-DATEDIF($C$28,Y526+1,"m"),IF(Y526&lt;$C$27,0,DATEDIF($C$27,Y526+1,"m")))))</f>
        <v>0</v>
      </c>
      <c r="Z527" s="403">
        <f>IF(IF(Q527+R527+X527+Y527+W527+V527+U527+T527+S527=12,0,IF(Z526&gt;$C$28,12-DATEDIF($C$28,Z526+1,"m"),IF(Z526&lt;$C$27,0,DATEDIF($C$27,Z526+1,"m"))))&lt;0,0,IF(+Q527+R527+X527+Y527+W527+V527+U527+T527+S527=12,0,IF(Z526&gt;$C$28,12-DATEDIF($C$28,Z526+1,"m"),IF(Z526&lt;$C$27,0,DATEDIF($C$27,Z526+1,"m")))))</f>
        <v>0</v>
      </c>
      <c r="AA527" s="403"/>
      <c r="AB527" s="403"/>
      <c r="AC527" s="403"/>
      <c r="AD527" s="403"/>
      <c r="AE527" s="403"/>
      <c r="AF527" s="403"/>
      <c r="AG527" s="403"/>
      <c r="AH527" s="423">
        <f>SUM(Q527:AG527)</f>
        <v>0</v>
      </c>
      <c r="AI527" s="403">
        <f t="shared" si="239"/>
        <v>0</v>
      </c>
      <c r="AJ527" s="403">
        <f t="shared" si="239"/>
        <v>0</v>
      </c>
      <c r="AK527" s="403">
        <f t="shared" si="239"/>
        <v>0</v>
      </c>
      <c r="AL527" s="403">
        <f t="shared" si="239"/>
        <v>0</v>
      </c>
      <c r="AM527" s="403">
        <f t="shared" si="239"/>
        <v>0</v>
      </c>
      <c r="AN527" s="403">
        <f t="shared" si="239"/>
        <v>0</v>
      </c>
      <c r="AO527" s="403">
        <f t="shared" si="239"/>
        <v>0</v>
      </c>
      <c r="AP527" s="403">
        <f t="shared" si="239"/>
        <v>0</v>
      </c>
      <c r="AQ527" s="403">
        <f t="shared" si="239"/>
        <v>0</v>
      </c>
      <c r="AR527" s="403">
        <f t="shared" si="239"/>
        <v>0</v>
      </c>
      <c r="AS527" s="403">
        <f t="shared" si="240"/>
        <v>0</v>
      </c>
      <c r="AT527" s="403">
        <f t="shared" si="240"/>
        <v>0</v>
      </c>
      <c r="AU527" s="403">
        <f t="shared" si="240"/>
        <v>0</v>
      </c>
      <c r="AV527" s="403">
        <f t="shared" si="240"/>
        <v>0</v>
      </c>
      <c r="AW527" s="403">
        <f t="shared" si="240"/>
        <v>0</v>
      </c>
      <c r="AX527" s="403">
        <f t="shared" si="240"/>
        <v>0</v>
      </c>
      <c r="AY527" s="403">
        <f t="shared" si="240"/>
        <v>0</v>
      </c>
      <c r="AZ527" s="403">
        <f>SUM(AI527:AY527)</f>
        <v>0</v>
      </c>
    </row>
    <row r="528" spans="16:52" hidden="1">
      <c r="P528" s="207">
        <f t="shared" si="238"/>
        <v>0</v>
      </c>
      <c r="Q528" s="404">
        <f>IF(Q527=0,0,(IF(($C$186+$B$186)&lt;=25000,(($C$186/+$AH527)*Q527)*VLOOKUP('1. SUMMARY'!$C$20,rate,Sheet1!T$21,0),((IF($B$186&gt;=25000,0,((25000-$B$186)/+$AH527)*Q527)*VLOOKUP('1. SUMMARY'!$C$20,rate,Sheet1!T$21,0))))))</f>
        <v>0</v>
      </c>
      <c r="R528" s="404">
        <f>IF(R527=0,0,(IF(($C$186+$B$186)&lt;=25000,(($C$186/+$AH527)*R527)*VLOOKUP('1. SUMMARY'!$C$20,rate,Sheet1!U$21,0),((IF($B$186&gt;=25000,0,((25000-$B$186)/+$AH527)*R527)*VLOOKUP('1. SUMMARY'!$C$20,rate,Sheet1!U$21,0))))))</f>
        <v>0</v>
      </c>
      <c r="S528" s="404">
        <f>IF(S527=0,0,(IF(($C$186+$B$186)&lt;=25000,(($C$186/+$AH527)*S527)*VLOOKUP('1. SUMMARY'!$C$20,rate,Sheet1!V$21,0),((IF($B$186&gt;=25000,0,((25000-$B$186)/+$AH527)*S527)*VLOOKUP('1. SUMMARY'!$C$20,rate,Sheet1!V$21,0))))))</f>
        <v>0</v>
      </c>
      <c r="T528" s="404">
        <f>IF(T527=0,0,(IF(($C$186+$B$186)&lt;=25000,(($C$186/+$AH527)*T527)*VLOOKUP('1. SUMMARY'!$C$20,rate,Sheet1!W$21,0),((IF($B$186&gt;=25000,0,((25000-$B$186)/+$AH527)*T527)*VLOOKUP('1. SUMMARY'!$C$20,rate,Sheet1!W$21,0))))))</f>
        <v>0</v>
      </c>
      <c r="U528" s="404">
        <f>IF(U527=0,0,(IF(($C$186+$B$186)&lt;=25000,(($C$186/+$AH527)*U527)*VLOOKUP('1. SUMMARY'!$C$20,rate,Sheet1!X$21,0),((IF($B$186&gt;=25000,0,((25000-$B$186)/+$AH527)*U527)*VLOOKUP('1. SUMMARY'!$C$20,rate,Sheet1!X$21,0))))))</f>
        <v>0</v>
      </c>
      <c r="V528" s="404">
        <f>IF(V527=0,0,(IF(($C$186+$B$186)&lt;=25000,(($C$186/+$AH527)*V527)*VLOOKUP('1. SUMMARY'!$C$20,rate,Sheet1!Y$21,0),((IF($B$186&gt;=25000,0,((25000-$B$186)/+$AH527)*V527)*VLOOKUP('1. SUMMARY'!$C$20,rate,Sheet1!Y$21,0))))))</f>
        <v>0</v>
      </c>
      <c r="W528" s="404">
        <f>IF(W527=0,0,(IF(($C$186+$B$186)&lt;=25000,(($C$186/+$AH527)*W527)*VLOOKUP('1. SUMMARY'!$C$20,rate,Sheet1!Z$21,0),((IF($B$186&gt;=25000,0,((25000-$B$186)/+$AH527)*W527)*VLOOKUP('1. SUMMARY'!$C$20,rate,Sheet1!Z$21,0))))))</f>
        <v>0</v>
      </c>
      <c r="X528" s="404">
        <f>IF(X527=0,0,(IF(($C$186+$B$186)&lt;=25000,(($C$186/+$AH527)*X527)*VLOOKUP('1. SUMMARY'!$C$20,rate,Sheet1!AA$21,0),((IF($B$186&gt;=25000,0,((25000-$B$186)/+$AH527)*X527)*VLOOKUP('1. SUMMARY'!$C$20,rate,Sheet1!AA$21,0))))))</f>
        <v>0</v>
      </c>
      <c r="Y528" s="404">
        <f>IF(Y527=0,0,(IF(($C$186+$B$186)&lt;=25000,(($C$186/+$AH527)*Y527)*VLOOKUP('1. SUMMARY'!$C$20,rate,Sheet1!AB$21,0),((IF($B$186&gt;=25000,0,((25000-$B$186)/+$AH527)*Y527)*VLOOKUP('1. SUMMARY'!$C$20,rate,Sheet1!AB$21,0))))))</f>
        <v>0</v>
      </c>
      <c r="Z528" s="404">
        <f>IF(Z527=0,0,(IF(($C$186+$B$186)&lt;=25000,(($C$186/+$AH527)*Z527)*VLOOKUP('1. SUMMARY'!$C$20,rate,Sheet1!AC$21,0),((IF($B$186&gt;=25000,0,((25000-$B$186)/+$AH527)*Z527)*VLOOKUP('1. SUMMARY'!$C$20,rate,Sheet1!AC$21,0))))))</f>
        <v>0</v>
      </c>
      <c r="AA528" s="404">
        <f>IF(AA527=0,0,(IF(($C$186+$B$186)&lt;=25000,(($C$186/+$AH527)*AA527)*VLOOKUP('1. SUMMARY'!$C$20,rate,Sheet1!AD$21,0),((IF($B$186&gt;=25000,0,((25000-$B$186)/+$AH527)*AA527)*VLOOKUP('1. SUMMARY'!$C$20,rate,Sheet1!AD$21,0))))))</f>
        <v>0</v>
      </c>
      <c r="AB528" s="404">
        <f>IF(AB527=0,0,(IF(($C$186+$B$186)&lt;=25000,(($C$186/+$AH527)*AB527)*VLOOKUP('1. SUMMARY'!$C$20,rate,Sheet1!AE$21,0),((IF($B$186&gt;=25000,0,((25000-$B$186)/+$AH527)*AB527)*VLOOKUP('1. SUMMARY'!$C$20,rate,Sheet1!AE$21,0))))))</f>
        <v>0</v>
      </c>
      <c r="AC528" s="404">
        <f>IF(AC527=0,0,(IF(($C$186+$B$186)&lt;=25000,(($C$186/+$AH527)*AC527)*VLOOKUP('1. SUMMARY'!$C$20,rate,Sheet1!AF$21,0),((IF($B$186&gt;=25000,0,((25000-$B$186)/+$AH527)*AC527)*VLOOKUP('1. SUMMARY'!$C$20,rate,Sheet1!AF$21,0))))))</f>
        <v>0</v>
      </c>
      <c r="AD528" s="404">
        <f>IF(AD527=0,0,(IF(($C$186+$B$186)&lt;=25000,(($C$186/+$AH527)*AD527)*VLOOKUP('1. SUMMARY'!$C$20,rate,Sheet1!AG$21,0),((IF($B$186&gt;=25000,0,((25000-$B$186)/+$AH527)*AD527)*VLOOKUP('1. SUMMARY'!$C$20,rate,Sheet1!AG$21,0))))))</f>
        <v>0</v>
      </c>
      <c r="AE528" s="404">
        <f>IF(AE527=0,0,(IF(($C$186+$B$186)&lt;=25000,(($C$186/+$AH527)*AE527)*VLOOKUP('1. SUMMARY'!$C$20,rate,Sheet1!AH$21,0),((IF($B$186&gt;=25000,0,((25000-$B$186)/+$AH527)*AE527)*VLOOKUP('1. SUMMARY'!$C$20,rate,Sheet1!AH$21,0))))))</f>
        <v>0</v>
      </c>
      <c r="AF528" s="404">
        <f>IF(AF527=0,0,(IF(($C$186+$B$186)&lt;=25000,(($C$186/+$AH527)*AF527)*VLOOKUP('1. SUMMARY'!$C$20,rate,Sheet1!AI$21,0),((IF($B$186&gt;=25000,0,((25000-$B$186)/+$AH527)*AF527)*VLOOKUP('1. SUMMARY'!$C$20,rate,Sheet1!AI$21,0))))))</f>
        <v>0</v>
      </c>
      <c r="AG528" s="404">
        <f>IF(AG527=0,0,(IF(($C$186+$B$186)&lt;=25000,(($C$186/+$AH527)*AG527)*VLOOKUP('1. SUMMARY'!$C$20,rate,Sheet1!AJ$21,0),((IF($B$186&gt;=25000,0,((25000-$B$186)/+$AH527)*AG527)*VLOOKUP('1. SUMMARY'!$C$20,rate,Sheet1!AJ$21,0))))))</f>
        <v>0</v>
      </c>
      <c r="AH528" s="219">
        <f>SUM(Q528:AG528)</f>
        <v>0</v>
      </c>
      <c r="AI528" s="404">
        <f>IF(AI527=0,0,((+$C186/$AZ527)*AI527)*VLOOKUP('1. SUMMARY'!$C$20,rate,Sheet1!T$21,0))</f>
        <v>0</v>
      </c>
      <c r="AJ528" s="404">
        <f>IF(AJ527=0,0,((+$C186/$AZ527)*AJ527)*VLOOKUP('1. SUMMARY'!$C$20,rate,Sheet1!U$21,0))</f>
        <v>0</v>
      </c>
      <c r="AK528" s="404">
        <f>IF(AK527=0,0,((+$C186/$AZ527)*AK527)*VLOOKUP('1. SUMMARY'!$C$20,rate,Sheet1!V$21,0))</f>
        <v>0</v>
      </c>
      <c r="AL528" s="404">
        <f>IF(AL527=0,0,((+$C186/$AZ527)*AL527)*VLOOKUP('1. SUMMARY'!$C$20,rate,Sheet1!W$21,0))</f>
        <v>0</v>
      </c>
      <c r="AM528" s="404">
        <f>IF(AM527=0,0,((+$C186/$AZ527)*AM527)*VLOOKUP('1. SUMMARY'!$C$20,rate,Sheet1!X$21,0))</f>
        <v>0</v>
      </c>
      <c r="AN528" s="404">
        <f>IF(AN527=0,0,((+$C186/$AZ527)*AN527)*VLOOKUP('1. SUMMARY'!$C$20,rate,Sheet1!Y$21,0))</f>
        <v>0</v>
      </c>
      <c r="AO528" s="404">
        <f>IF(AO527=0,0,((+$C186/$AZ527)*AO527)*VLOOKUP('1. SUMMARY'!$C$20,rate,Sheet1!Z$21,0))</f>
        <v>0</v>
      </c>
      <c r="AP528" s="404">
        <f>IF(AP527=0,0,((+$C186/$AZ527)*AP527)*VLOOKUP('1. SUMMARY'!$C$20,rate,Sheet1!AA$21,0))</f>
        <v>0</v>
      </c>
      <c r="AQ528" s="404">
        <f>IF(AQ527=0,0,((+$C186/$AZ527)*AQ527)*VLOOKUP('1. SUMMARY'!$C$20,rate,Sheet1!AB$21,0))</f>
        <v>0</v>
      </c>
      <c r="AR528" s="404">
        <f>IF(AR527=0,0,((+$C186/$AZ527)*AR527)*VLOOKUP('1. SUMMARY'!$C$20,rate,Sheet1!AC$21,0))</f>
        <v>0</v>
      </c>
      <c r="AS528" s="404">
        <f>IF(AS527=0,0,((+$C186/$AZ527)*AS527)*VLOOKUP('1. SUMMARY'!$C$20,rate,Sheet1!AD$21,0))</f>
        <v>0</v>
      </c>
      <c r="AT528" s="404">
        <f>IF(AT527=0,0,((+$C186/$AZ527)*AT527)*VLOOKUP('1. SUMMARY'!$C$20,rate,Sheet1!AE$21,0))</f>
        <v>0</v>
      </c>
      <c r="AU528" s="404">
        <f>IF(AU527=0,0,((+$C186/$AZ527)*AU527)*VLOOKUP('1. SUMMARY'!$C$20,rate,Sheet1!AF$21,0))</f>
        <v>0</v>
      </c>
      <c r="AV528" s="404">
        <f>IF(AV527=0,0,((+$C186/$AZ527)*AV527)*VLOOKUP('1. SUMMARY'!$C$20,rate,Sheet1!AG$21,0))</f>
        <v>0</v>
      </c>
      <c r="AW528" s="404">
        <f>IF(AW527=0,0,((+$C186/$AZ527)*AW527)*VLOOKUP('1. SUMMARY'!$C$20,rate,Sheet1!AH$21,0))</f>
        <v>0</v>
      </c>
      <c r="AX528" s="404">
        <f>IF(AX527=0,0,((+$C186/$AZ527)*AX527)*VLOOKUP('1. SUMMARY'!$C$20,rate,Sheet1!AI$21,0))</f>
        <v>0</v>
      </c>
      <c r="AY528" s="404">
        <f>IF(AY527=0,0,((+$C186/$AZ527)*AY527)*VLOOKUP('1. SUMMARY'!$C$20,rate,Sheet1!AJ$21,0))</f>
        <v>0</v>
      </c>
      <c r="AZ528" s="404">
        <f>SUM(AI528:AY528)</f>
        <v>0</v>
      </c>
    </row>
    <row r="529" spans="16:52" hidden="1">
      <c r="P529" s="207">
        <f t="shared" si="238"/>
        <v>0</v>
      </c>
      <c r="Q529" s="404">
        <f>+Q528/VLOOKUP('1. SUMMARY'!$C$20,rate,Sheet1!T$21,0)</f>
        <v>0</v>
      </c>
      <c r="R529" s="404">
        <f>+R528/VLOOKUP('1. SUMMARY'!$C$20,rate,Sheet1!U$21,0)</f>
        <v>0</v>
      </c>
      <c r="S529" s="404">
        <f>+S528/VLOOKUP('1. SUMMARY'!$C$20,rate,Sheet1!V$21,0)</f>
        <v>0</v>
      </c>
      <c r="T529" s="404">
        <f>+T528/VLOOKUP('1. SUMMARY'!$C$20,rate,Sheet1!W$21,0)</f>
        <v>0</v>
      </c>
      <c r="U529" s="404">
        <f>+U528/VLOOKUP('1. SUMMARY'!$C$20,rate,Sheet1!X$21,0)</f>
        <v>0</v>
      </c>
      <c r="V529" s="404">
        <f>+V528/VLOOKUP('1. SUMMARY'!$C$20,rate,Sheet1!Y$21,0)</f>
        <v>0</v>
      </c>
      <c r="W529" s="404">
        <f>+W528/VLOOKUP('1. SUMMARY'!$C$20,rate,Sheet1!Z$21,0)</f>
        <v>0</v>
      </c>
      <c r="X529" s="404">
        <f>+X528/VLOOKUP('1. SUMMARY'!$C$20,rate,Sheet1!AA$21,0)</f>
        <v>0</v>
      </c>
      <c r="Y529" s="404">
        <f>+Y528/VLOOKUP('1. SUMMARY'!$C$20,rate,Sheet1!AB$21,0)</f>
        <v>0</v>
      </c>
      <c r="Z529" s="404">
        <f>+Z528/VLOOKUP('1. SUMMARY'!$C$20,rate,Sheet1!AC$21,0)</f>
        <v>0</v>
      </c>
      <c r="AA529" s="404">
        <f>+AA528/VLOOKUP('1. SUMMARY'!$C$20,rate,Sheet1!AD$21,0)</f>
        <v>0</v>
      </c>
      <c r="AB529" s="404">
        <f>+AB528/VLOOKUP('1. SUMMARY'!$C$20,rate,Sheet1!AE$21,0)</f>
        <v>0</v>
      </c>
      <c r="AC529" s="404">
        <f>+AC528/VLOOKUP('1. SUMMARY'!$C$20,rate,Sheet1!AF$21,0)</f>
        <v>0</v>
      </c>
      <c r="AD529" s="404">
        <f>+AD528/VLOOKUP('1. SUMMARY'!$C$20,rate,Sheet1!AG$21,0)</f>
        <v>0</v>
      </c>
      <c r="AE529" s="404">
        <f>+AE528/VLOOKUP('1. SUMMARY'!$C$20,rate,Sheet1!AH$21,0)</f>
        <v>0</v>
      </c>
      <c r="AF529" s="404">
        <f>+AF528/VLOOKUP('1. SUMMARY'!$C$20,rate,Sheet1!AI$21,0)</f>
        <v>0</v>
      </c>
      <c r="AG529" s="404">
        <f>+AG528/VLOOKUP('1. SUMMARY'!$C$20,rate,Sheet1!AJ$21,0)</f>
        <v>0</v>
      </c>
      <c r="AH529" s="219"/>
      <c r="AI529" s="404">
        <v>0</v>
      </c>
      <c r="AJ529" s="404">
        <v>0</v>
      </c>
      <c r="AK529" s="404">
        <v>0</v>
      </c>
      <c r="AL529" s="404">
        <v>0</v>
      </c>
      <c r="AM529" s="404">
        <v>0</v>
      </c>
      <c r="AN529" s="404">
        <v>0</v>
      </c>
      <c r="AO529" s="404">
        <v>0</v>
      </c>
      <c r="AP529" s="404">
        <v>0</v>
      </c>
      <c r="AQ529" s="404"/>
      <c r="AR529" s="404"/>
      <c r="AS529" s="404"/>
      <c r="AT529" s="404"/>
      <c r="AU529" s="404"/>
      <c r="AV529" s="404"/>
      <c r="AW529" s="404"/>
      <c r="AX529" s="404"/>
      <c r="AY529" s="404"/>
      <c r="AZ529" s="404"/>
    </row>
    <row r="530" spans="16:52" hidden="1">
      <c r="P530" s="207">
        <f t="shared" si="238"/>
        <v>0</v>
      </c>
      <c r="Q530" s="399">
        <f>Sheet1!$T$8</f>
        <v>44105</v>
      </c>
      <c r="R530" s="399">
        <f>Sheet1!$U$8</f>
        <v>44470</v>
      </c>
      <c r="S530" s="399">
        <f>Sheet1!$V$8</f>
        <v>44835</v>
      </c>
      <c r="T530" s="399">
        <f>Sheet1!$W$8</f>
        <v>45200</v>
      </c>
      <c r="U530" s="399">
        <f>Sheet1!$X$8</f>
        <v>45566</v>
      </c>
      <c r="V530" s="399">
        <f>Sheet1!$Y$8</f>
        <v>45931</v>
      </c>
      <c r="W530" s="399">
        <f>Sheet1!$Z$8</f>
        <v>46296</v>
      </c>
      <c r="X530" s="399">
        <f>Sheet1!$AA$8</f>
        <v>46661</v>
      </c>
      <c r="Y530" s="399">
        <f>Sheet1!$AB$8</f>
        <v>47027</v>
      </c>
      <c r="Z530" s="399">
        <f>Sheet1!$AC$8</f>
        <v>47392</v>
      </c>
      <c r="AA530" s="399">
        <f>$AA$5</f>
        <v>47757</v>
      </c>
      <c r="AB530" s="399">
        <f>$AB$5</f>
        <v>48122</v>
      </c>
      <c r="AC530" s="399">
        <f>$AC$5</f>
        <v>48488</v>
      </c>
      <c r="AD530" s="399">
        <f>$AD$5</f>
        <v>48853</v>
      </c>
      <c r="AE530" s="399">
        <f>$AE$5</f>
        <v>49218</v>
      </c>
      <c r="AF530" s="399">
        <f>$AF$5</f>
        <v>49583</v>
      </c>
      <c r="AG530" s="399">
        <f>$AG$5</f>
        <v>49949</v>
      </c>
      <c r="AH530" s="211"/>
      <c r="AI530" s="399">
        <f t="shared" ref="AI530:AR532" si="241">+Q530</f>
        <v>44105</v>
      </c>
      <c r="AJ530" s="399">
        <f t="shared" si="241"/>
        <v>44470</v>
      </c>
      <c r="AK530" s="399">
        <f t="shared" si="241"/>
        <v>44835</v>
      </c>
      <c r="AL530" s="399">
        <f t="shared" si="241"/>
        <v>45200</v>
      </c>
      <c r="AM530" s="399">
        <f t="shared" si="241"/>
        <v>45566</v>
      </c>
      <c r="AN530" s="399">
        <f t="shared" si="241"/>
        <v>45931</v>
      </c>
      <c r="AO530" s="399">
        <f t="shared" si="241"/>
        <v>46296</v>
      </c>
      <c r="AP530" s="399">
        <f t="shared" si="241"/>
        <v>46661</v>
      </c>
      <c r="AQ530" s="399">
        <f t="shared" si="241"/>
        <v>47027</v>
      </c>
      <c r="AR530" s="399">
        <f t="shared" si="241"/>
        <v>47392</v>
      </c>
      <c r="AS530" s="399">
        <f t="shared" ref="AS530:AY532" si="242">+AA530</f>
        <v>47757</v>
      </c>
      <c r="AT530" s="399">
        <f t="shared" si="242"/>
        <v>48122</v>
      </c>
      <c r="AU530" s="399">
        <f t="shared" si="242"/>
        <v>48488</v>
      </c>
      <c r="AV530" s="399">
        <f t="shared" si="242"/>
        <v>48853</v>
      </c>
      <c r="AW530" s="399">
        <f t="shared" si="242"/>
        <v>49218</v>
      </c>
      <c r="AX530" s="399">
        <f t="shared" si="242"/>
        <v>49583</v>
      </c>
      <c r="AY530" s="399">
        <f t="shared" si="242"/>
        <v>49949</v>
      </c>
      <c r="AZ530" s="399"/>
    </row>
    <row r="531" spans="16:52" hidden="1">
      <c r="P531" s="207">
        <f t="shared" si="238"/>
        <v>0</v>
      </c>
      <c r="Q531" s="399">
        <f>Sheet1!$T$9</f>
        <v>44469</v>
      </c>
      <c r="R531" s="399">
        <f>Sheet1!$U$9</f>
        <v>44834</v>
      </c>
      <c r="S531" s="399">
        <f>Sheet1!$V$9</f>
        <v>45199</v>
      </c>
      <c r="T531" s="399">
        <f>Sheet1!$W$9</f>
        <v>45565</v>
      </c>
      <c r="U531" s="399">
        <f>Sheet1!$X$9</f>
        <v>45930</v>
      </c>
      <c r="V531" s="399">
        <f>Sheet1!$Y$9</f>
        <v>46295</v>
      </c>
      <c r="W531" s="399">
        <f>Sheet1!$Z$9</f>
        <v>46660</v>
      </c>
      <c r="X531" s="399">
        <f>Sheet1!$AA$9</f>
        <v>47026</v>
      </c>
      <c r="Y531" s="399">
        <f>Sheet1!$AB$9</f>
        <v>47391</v>
      </c>
      <c r="Z531" s="399">
        <f>Sheet1!$AC$9</f>
        <v>47756</v>
      </c>
      <c r="AA531" s="399">
        <f>$AA$6</f>
        <v>48121</v>
      </c>
      <c r="AB531" s="399">
        <f>$AB$6</f>
        <v>48487</v>
      </c>
      <c r="AC531" s="399">
        <f>$AC$6</f>
        <v>48852</v>
      </c>
      <c r="AD531" s="399">
        <f>$AD$6</f>
        <v>49217</v>
      </c>
      <c r="AE531" s="399">
        <f>$AE$6</f>
        <v>49582</v>
      </c>
      <c r="AF531" s="399">
        <f>$AF$6</f>
        <v>49948</v>
      </c>
      <c r="AG531" s="399">
        <f>$AG$6</f>
        <v>50313</v>
      </c>
      <c r="AH531" s="211"/>
      <c r="AI531" s="399">
        <f t="shared" si="241"/>
        <v>44469</v>
      </c>
      <c r="AJ531" s="399">
        <f t="shared" si="241"/>
        <v>44834</v>
      </c>
      <c r="AK531" s="399">
        <f t="shared" si="241"/>
        <v>45199</v>
      </c>
      <c r="AL531" s="399">
        <f t="shared" si="241"/>
        <v>45565</v>
      </c>
      <c r="AM531" s="399">
        <f t="shared" si="241"/>
        <v>45930</v>
      </c>
      <c r="AN531" s="399">
        <f t="shared" si="241"/>
        <v>46295</v>
      </c>
      <c r="AO531" s="399">
        <f t="shared" si="241"/>
        <v>46660</v>
      </c>
      <c r="AP531" s="399">
        <f t="shared" si="241"/>
        <v>47026</v>
      </c>
      <c r="AQ531" s="399">
        <f t="shared" si="241"/>
        <v>47391</v>
      </c>
      <c r="AR531" s="399">
        <f t="shared" si="241"/>
        <v>47756</v>
      </c>
      <c r="AS531" s="399">
        <f t="shared" si="242"/>
        <v>48121</v>
      </c>
      <c r="AT531" s="399">
        <f t="shared" si="242"/>
        <v>48487</v>
      </c>
      <c r="AU531" s="399">
        <f t="shared" si="242"/>
        <v>48852</v>
      </c>
      <c r="AV531" s="399">
        <f t="shared" si="242"/>
        <v>49217</v>
      </c>
      <c r="AW531" s="399">
        <f t="shared" si="242"/>
        <v>49582</v>
      </c>
      <c r="AX531" s="399">
        <f t="shared" si="242"/>
        <v>49948</v>
      </c>
      <c r="AY531" s="399">
        <f t="shared" si="242"/>
        <v>50313</v>
      </c>
      <c r="AZ531" s="399"/>
    </row>
    <row r="532" spans="16:52" hidden="1">
      <c r="P532" s="207">
        <f t="shared" si="238"/>
        <v>0</v>
      </c>
      <c r="Q532" s="400">
        <f>IF(IF(Q531&lt;$D$27,0,DATEDIF($D$27,Q531+1,"m"))&lt;0,0,IF(Q531&lt;$D$27,0,DATEDIF($D$27,Q531+1,"m")))</f>
        <v>0</v>
      </c>
      <c r="R532" s="400">
        <f>IF(IF(Q532=12,0,IF(R531&gt;$D$28,12-DATEDIF($D$28,R531+1,"m"),IF(R531&lt;$D$27,0,DATEDIF($D$27,R531+1,"m"))))&lt;0,0,IF(Q532=12,0,IF(R531&gt;$D$28,12-DATEDIF($D$28,R531+1,"m"),IF(R531&lt;$D$27,0,DATEDIF($D$27,R531+1,"m")))))</f>
        <v>0</v>
      </c>
      <c r="S532" s="400">
        <f>IF(IF(Q532+R532=12,0,IF(S531&gt;$D$28,12-DATEDIF($D$28,S531+1,"m"),IF(S531&lt;$D$27,0,DATEDIF($D$27,S531+1,"m"))))&lt;0,0,IF(Q532+R532=12,0,IF(S531&gt;$D$28,12-DATEDIF($D$28,S531+1,"m"),IF(S531&lt;$D$27,0,DATEDIF($D$27,S531+1,"m")))))</f>
        <v>0</v>
      </c>
      <c r="T532" s="400">
        <f>IF(IF(R532+S532+Q532=12,0,IF(T531&gt;$D$28,12-DATEDIF($D$28,T531+1,"m"),IF(T531&lt;$D$27,0,DATEDIF($D$27,T531+1,"m"))))&lt;0,0,IF(R532+S532+Q532=12,0,IF(T531&gt;$D$28,12-DATEDIF($D$28,T531+1,"m"),IF(T531&lt;$D$27,0,DATEDIF($D$27,T531+1,"m")))))</f>
        <v>0</v>
      </c>
      <c r="U532" s="400">
        <f>IF(IF(S532+T532+R532+Q532=12,0,IF(U531&gt;$D$28,12-DATEDIF($D$28,U531+1,"m"),IF(U531&lt;$D$27,0,DATEDIF($D$27,U531+1,"m"))))&lt;0,0,IF(S532+T532+R532+Q532=12,0,IF(U531&gt;$D$28,12-DATEDIF($D$28,U531+1,"m"),IF(U531&lt;$D$27,0,DATEDIF($D$27,U531+1,"m")))))</f>
        <v>0</v>
      </c>
      <c r="V532" s="400">
        <f>IF(IF(T532+U532+S532+R532+Q532=12,0,IF(V531&gt;$D$28,12-DATEDIF($D$28,V531+1,"m"),IF(V531&lt;$D$27,0,DATEDIF($D$27,V531+1,"m"))))&lt;0,0,IF(T532+U532+S532+R532+Q532=12,0,IF(V531&gt;$D$28,12-DATEDIF($D$28,V531+1,"m"),IF(V531&lt;$D$27,0,DATEDIF($D$27,V531+1,"m")))))</f>
        <v>0</v>
      </c>
      <c r="W532" s="400">
        <f>IF(IF(U532+V532+T532+S532+R532+Q532=12,0,IF(W531&gt;$D$28,12-DATEDIF($D$28,W531+1,"m"),IF(W531&lt;$D$27,0,DATEDIF($D$27,W531+1,"m"))))&lt;0,0,IF(U532+V532+T532+S532+R532+Q532=12,0,IF(W531&gt;$D$28,12-DATEDIF($D$28,W531+1,"m"),IF(W531&lt;$D$27,0,DATEDIF($D$27,W531+1,"m")))))</f>
        <v>0</v>
      </c>
      <c r="X532" s="400">
        <f>IF(IF(V532+W532+U532+T532+S532+R532+Q532=12,0,IF(X531&gt;$D$28,12-DATEDIF($D$28,X531+1,"m"),IF(X531&lt;$D$27,0,DATEDIF($D$27,X531+1,"m"))))&lt;0,0,IF(V532+W532+U532+T532+S532+R532+Q532=12,0,IF(X531&gt;$D$28,1-DATEDIF($D$28,X531+1,"m"),IF(X531&lt;$D$27,0,DATEDIF($D$27,X531+1,"m")))))</f>
        <v>0</v>
      </c>
      <c r="Y532" s="400">
        <f>IF(IF(Q532+W532+X532+V532+U532+T532+S532+R532=12,0,IF(Y531&gt;E356,12-DATEDIF(E356,Y531+1,"m"),IF(Y531&lt;E355,0,DATEDIF(E355,Y531+1,"m"))))&lt;0,0,IF(Q532+W532+X532+V532+U532+T532+S532+R532=12,0,IF(Y531&gt;E356,12-DATEDIF(E356,Y531+1,"m"),IF(Y531&lt;E355,0,DATEDIF(E355,Y531+1,"m")))))</f>
        <v>0</v>
      </c>
      <c r="Z532" s="400">
        <f>IF(IF(Q532+R532+X532+Y532+W532+V532+U532+T532+S532=12,0,IF(Z531&gt;F356,12-DATEDIF(F356,Z531+1,"m"),IF(Z531&lt;F355,0,DATEDIF(F355,Z531+1,"m"))))&lt;0,0,IF(Q532+R532+X532+Y532+W532+V532+U532+T532+S532=12,0,IF(Z531&gt;F356,12-DATEDIF(F356,Z531+1,"m"),IF(Z531&lt;F355,0,DATEDIF(F355,Z531+1,"m")))))</f>
        <v>0</v>
      </c>
      <c r="AA532" s="400"/>
      <c r="AB532" s="400"/>
      <c r="AC532" s="400"/>
      <c r="AD532" s="400"/>
      <c r="AE532" s="400"/>
      <c r="AF532" s="400"/>
      <c r="AG532" s="400"/>
      <c r="AH532" s="423">
        <f>SUM(Q532:AG532)</f>
        <v>0</v>
      </c>
      <c r="AI532" s="400">
        <f t="shared" si="241"/>
        <v>0</v>
      </c>
      <c r="AJ532" s="400">
        <f t="shared" si="241"/>
        <v>0</v>
      </c>
      <c r="AK532" s="400">
        <f t="shared" si="241"/>
        <v>0</v>
      </c>
      <c r="AL532" s="400">
        <f t="shared" si="241"/>
        <v>0</v>
      </c>
      <c r="AM532" s="400">
        <f t="shared" si="241"/>
        <v>0</v>
      </c>
      <c r="AN532" s="400">
        <f t="shared" si="241"/>
        <v>0</v>
      </c>
      <c r="AO532" s="400">
        <f t="shared" si="241"/>
        <v>0</v>
      </c>
      <c r="AP532" s="400">
        <f t="shared" si="241"/>
        <v>0</v>
      </c>
      <c r="AQ532" s="400">
        <f t="shared" si="241"/>
        <v>0</v>
      </c>
      <c r="AR532" s="400">
        <f t="shared" si="241"/>
        <v>0</v>
      </c>
      <c r="AS532" s="400">
        <f t="shared" si="242"/>
        <v>0</v>
      </c>
      <c r="AT532" s="400">
        <f t="shared" si="242"/>
        <v>0</v>
      </c>
      <c r="AU532" s="400">
        <f t="shared" si="242"/>
        <v>0</v>
      </c>
      <c r="AV532" s="400">
        <f t="shared" si="242"/>
        <v>0</v>
      </c>
      <c r="AW532" s="400">
        <f t="shared" si="242"/>
        <v>0</v>
      </c>
      <c r="AX532" s="400">
        <f t="shared" si="242"/>
        <v>0</v>
      </c>
      <c r="AY532" s="400">
        <f t="shared" si="242"/>
        <v>0</v>
      </c>
      <c r="AZ532" s="400">
        <f>SUM(AI532:AY532)</f>
        <v>0</v>
      </c>
    </row>
    <row r="533" spans="16:52" hidden="1">
      <c r="P533" s="207">
        <f t="shared" si="238"/>
        <v>0</v>
      </c>
      <c r="Q533" s="401">
        <f>IF(Q532=0,0,(IF(($C$186+$B$186+$D$186)&lt;=25000,(($D$186/+$AH532)*Q532)*VLOOKUP('1. SUMMARY'!$C$20,rate,Sheet1!T$21,0),((IF(($B$186+$C$186)&gt;=25000,0,(((25000-($B$186+$C$186))/+$AH532)*Q532)*VLOOKUP('1. SUMMARY'!$C$20,rate,Sheet1!T$21,0)))))))</f>
        <v>0</v>
      </c>
      <c r="R533" s="401">
        <f>IF(R532=0,0,(IF(($C$186+$B$186+$D$186)&lt;=25000,(($D$186/+$AH532)*R532)*VLOOKUP('1. SUMMARY'!$C$20,rate,Sheet1!U$21,0),((IF(($B$186+$C$186)&gt;=25000,0,(((25000-($B$186+$C$186))/+$AH532)*R532)*VLOOKUP('1. SUMMARY'!$C$20,rate,Sheet1!U$21,0)))))))</f>
        <v>0</v>
      </c>
      <c r="S533" s="401">
        <f>IF(S532=0,0,(IF(($C$186+$B$186+$D$186)&lt;=25000,(($D$186/+$AH532)*S532)*VLOOKUP('1. SUMMARY'!$C$20,rate,Sheet1!V$21,0),((IF(($B$186+$C$186)&gt;=25000,0,(((25000-($B$186+$C$186))/+$AH532)*S532)*VLOOKUP('1. SUMMARY'!$C$20,rate,Sheet1!V$21,0)))))))</f>
        <v>0</v>
      </c>
      <c r="T533" s="401">
        <f>IF(T532=0,0,(IF(($C$186+$B$186+$D$186)&lt;=25000,(($D$186/+$AH532)*T532)*VLOOKUP('1. SUMMARY'!$C$20,rate,Sheet1!W$21,0),((IF(($B$186+$C$186)&gt;=25000,0,(((25000-($B$186+$C$186))/+$AH532)*T532)*VLOOKUP('1. SUMMARY'!$C$20,rate,Sheet1!W$21,0)))))))</f>
        <v>0</v>
      </c>
      <c r="U533" s="401">
        <f>IF(U532=0,0,(IF(($C$186+$B$186+$D$186)&lt;=25000,(($D$186/+$AH532)*U532)*VLOOKUP('1. SUMMARY'!$C$20,rate,Sheet1!X$21,0),((IF(($B$186+$C$186)&gt;=25000,0,(((25000-($B$186+$C$186))/+$AH532)*U532)*VLOOKUP('1. SUMMARY'!$C$20,rate,Sheet1!X$21,0)))))))</f>
        <v>0</v>
      </c>
      <c r="V533" s="401">
        <f>IF(V532=0,0,(IF(($C$186+$B$186+$D$186)&lt;=25000,(($D$186/+$AH532)*V532)*VLOOKUP('1. SUMMARY'!$C$20,rate,Sheet1!Y$21,0),((IF(($B$186+$C$186)&gt;=25000,0,(((25000-($B$186+$C$186))/+$AH532)*V532)*VLOOKUP('1. SUMMARY'!$C$20,rate,Sheet1!Y$21,0)))))))</f>
        <v>0</v>
      </c>
      <c r="W533" s="401">
        <f>IF(W532=0,0,(IF(($C$186+$B$186+$D$186)&lt;=25000,(($D$186/+$AH532)*W532)*VLOOKUP('1. SUMMARY'!$C$20,rate,Sheet1!Z$21,0),((IF(($B$186+$C$186)&gt;=25000,0,(((25000-($B$186+$C$186))/+$AH532)*W532)*VLOOKUP('1. SUMMARY'!$C$20,rate,Sheet1!Z$21,0)))))))</f>
        <v>0</v>
      </c>
      <c r="X533" s="401">
        <f>IF(X532=0,0,(IF(($C$186+$B$186+$D$186)&lt;=25000,(($D$186/+$AH532)*X532)*VLOOKUP('1. SUMMARY'!$C$20,rate,Sheet1!AA$21,0),((IF(($B$186+$C$186)&gt;=25000,0,(((25000-($B$186+$C$186))/+$AH532)*X532)*VLOOKUP('1. SUMMARY'!$C$20,rate,Sheet1!AA$21,0)))))))</f>
        <v>0</v>
      </c>
      <c r="Y533" s="401">
        <f>IF(Y532=0,0,(IF(($C$186+$B$186+$D$186)&lt;=25000,(($D$186/+$AH532)*Y532)*VLOOKUP('1. SUMMARY'!$C$20,rate,Sheet1!AB$21,0),((IF(($B$186+$C$186)&gt;=25000,0,(((25000-($B$186+$C$186))/+$AH532)*Y532)*VLOOKUP('1. SUMMARY'!$C$20,rate,Sheet1!AB$21,0)))))))</f>
        <v>0</v>
      </c>
      <c r="Z533" s="401">
        <f>IF(Z532=0,0,(IF(($C$186+$B$186+$D$186)&lt;=25000,(($D$186/+$AH532)*Z532)*VLOOKUP('1. SUMMARY'!$C$20,rate,Sheet1!AC$21,0),((IF(($B$186+$C$186)&gt;=25000,0,(((25000-($B$186+$C$186))/+$AH532)*Z532)*VLOOKUP('1. SUMMARY'!$C$20,rate,Sheet1!AC$21,0)))))))</f>
        <v>0</v>
      </c>
      <c r="AA533" s="401">
        <f>IF(AA532=0,0,(IF(($C$186+$B$186+$D$186)&lt;=25000,(($D$186/+$AH532)*AA532)*VLOOKUP('1. SUMMARY'!$C$20,rate,Sheet1!AD$21,0),((IF(($B$186+$C$186)&gt;=25000,0,(((25000-($B$186+$C$186))/+$AH532)*AA532)*VLOOKUP('1. SUMMARY'!$C$20,rate,Sheet1!AD$21,0)))))))</f>
        <v>0</v>
      </c>
      <c r="AB533" s="401">
        <f>IF(AB532=0,0,(IF(($C$186+$B$186+$D$186)&lt;=25000,(($D$186/+$AH532)*AB532)*VLOOKUP('1. SUMMARY'!$C$20,rate,Sheet1!AE$21,0),((IF(($B$186+$C$186)&gt;=25000,0,(((25000-($B$186+$C$186))/+$AH532)*AB532)*VLOOKUP('1. SUMMARY'!$C$20,rate,Sheet1!AE$21,0)))))))</f>
        <v>0</v>
      </c>
      <c r="AC533" s="401">
        <f>IF(AC532=0,0,(IF(($C$186+$B$186+$D$186)&lt;=25000,(($D$186/+$AH532)*AC532)*VLOOKUP('1. SUMMARY'!$C$20,rate,Sheet1!AF$21,0),((IF(($B$186+$C$186)&gt;=25000,0,(((25000-($B$186+$C$186))/+$AH532)*AC532)*VLOOKUP('1. SUMMARY'!$C$20,rate,Sheet1!AF$21,0)))))))</f>
        <v>0</v>
      </c>
      <c r="AD533" s="401">
        <f>IF(AD532=0,0,(IF(($C$186+$B$186+$D$186)&lt;=25000,(($D$186/+$AH532)*AD532)*VLOOKUP('1. SUMMARY'!$C$20,rate,Sheet1!AG$21,0),((IF(($B$186+$C$186)&gt;=25000,0,(((25000-($B$186+$C$186))/+$AH532)*AD532)*VLOOKUP('1. SUMMARY'!$C$20,rate,Sheet1!AG$21,0)))))))</f>
        <v>0</v>
      </c>
      <c r="AE533" s="401">
        <f>IF(AE532=0,0,(IF(($C$186+$B$186+$D$186)&lt;=25000,(($D$186/+$AH532)*AE532)*VLOOKUP('1. SUMMARY'!$C$20,rate,Sheet1!AH$21,0),((IF(($B$186+$C$186)&gt;=25000,0,(((25000-($B$186+$C$186))/+$AH532)*AE532)*VLOOKUP('1. SUMMARY'!$C$20,rate,Sheet1!AH$21,0)))))))</f>
        <v>0</v>
      </c>
      <c r="AF533" s="401">
        <f>IF(AF532=0,0,(IF(($C$186+$B$186+$D$186)&lt;=25000,(($D$186/+$AH532)*AF532)*VLOOKUP('1. SUMMARY'!$C$20,rate,Sheet1!AI$21,0),((IF(($B$186+$C$186)&gt;=25000,0,(((25000-($B$186+$C$186))/+$AH532)*AF532)*VLOOKUP('1. SUMMARY'!$C$20,rate,Sheet1!AI$21,0)))))))</f>
        <v>0</v>
      </c>
      <c r="AG533" s="401">
        <f>IF(AG532=0,0,(IF(($C$186+$B$186+$D$186)&lt;=25000,(($D$186/+$AH532)*AG532)*VLOOKUP('1. SUMMARY'!$C$20,rate,Sheet1!AJ$21,0),((IF(($B$186+$C$186)&gt;=25000,0,(((25000-($B$186+$C$186))/+$AH532)*AG532)*VLOOKUP('1. SUMMARY'!$C$20,rate,Sheet1!AJ$21,0)))))))</f>
        <v>0</v>
      </c>
      <c r="AH533" s="219">
        <f>SUM(Q533:AG533)</f>
        <v>0</v>
      </c>
      <c r="AI533" s="401">
        <f>IF(Q532=0,0,((+$D186/$AZ$17)*AI532)*VLOOKUP('1. SUMMARY'!$C$20,rate,Sheet1!T$21,0))</f>
        <v>0</v>
      </c>
      <c r="AJ533" s="401">
        <f>IF(R532=0,0,((+$D186/$AZ$17)*AJ532)*VLOOKUP('1. SUMMARY'!$C$20,rate,Sheet1!U$21,0))</f>
        <v>0</v>
      </c>
      <c r="AK533" s="401">
        <f>IF(S532=0,0,((+$D186/$AZ$17)*AK532)*VLOOKUP('1. SUMMARY'!$C$20,rate,Sheet1!V$21,0))</f>
        <v>0</v>
      </c>
      <c r="AL533" s="401">
        <f>IF(T532=0,0,((+$D186/$AZ$17)*AL532)*VLOOKUP('1. SUMMARY'!$C$20,rate,Sheet1!W$21,0))</f>
        <v>0</v>
      </c>
      <c r="AM533" s="401">
        <f>IF(U532=0,0,((+$D186/$AZ$17)*AM532)*VLOOKUP('1. SUMMARY'!$C$20,rate,Sheet1!X$21,0))</f>
        <v>0</v>
      </c>
      <c r="AN533" s="401">
        <f>IF(V532=0,0,((+$D186/$AZ$17)*AN532)*VLOOKUP('1. SUMMARY'!$C$20,rate,Sheet1!Y$21,0))</f>
        <v>0</v>
      </c>
      <c r="AO533" s="401">
        <f>IF(W532=0,0,((+$D186/$AZ$17)*AO532)*VLOOKUP('1. SUMMARY'!$C$20,rate,Sheet1!Z$21,0))</f>
        <v>0</v>
      </c>
      <c r="AP533" s="401">
        <f>IF(X532=0,0,((+$D186/$AZ$17)*AP532)*VLOOKUP('1. SUMMARY'!$C$20,rate,Sheet1!AA$21,0))</f>
        <v>0</v>
      </c>
      <c r="AQ533" s="401">
        <f>IF(Y532=0,0,((+$D186/$AZ$17)*AQ532)*VLOOKUP('1. SUMMARY'!$C$20,rate,Sheet1!AB$21,0))</f>
        <v>0</v>
      </c>
      <c r="AR533" s="401">
        <f>IF(Z532=0,0,((+$D186/$AZ$17)*AR532)*VLOOKUP('1. SUMMARY'!$C$20,rate,Sheet1!AC$21,0))</f>
        <v>0</v>
      </c>
      <c r="AS533" s="401">
        <f>IF(AA532=0,0,((+$D186/$AZ$17)*AS532)*VLOOKUP('1. SUMMARY'!$C$20,rate,Sheet1!AD$21,0))</f>
        <v>0</v>
      </c>
      <c r="AT533" s="401">
        <f>IF(AB532=0,0,((+$D186/$AZ$17)*AT532)*VLOOKUP('1. SUMMARY'!$C$20,rate,Sheet1!AE$21,0))</f>
        <v>0</v>
      </c>
      <c r="AU533" s="401">
        <f>IF(AC532=0,0,((+$D186/$AZ$17)*AU532)*VLOOKUP('1. SUMMARY'!$C$20,rate,Sheet1!AF$21,0))</f>
        <v>0</v>
      </c>
      <c r="AV533" s="401">
        <f>IF(AD532=0,0,((+$D186/$AZ$17)*AV532)*VLOOKUP('1. SUMMARY'!$C$20,rate,Sheet1!AG$21,0))</f>
        <v>0</v>
      </c>
      <c r="AW533" s="401">
        <f>IF(AE532=0,0,((+$D186/$AZ$17)*AW532)*VLOOKUP('1. SUMMARY'!$C$20,rate,Sheet1!AH$21,0))</f>
        <v>0</v>
      </c>
      <c r="AX533" s="401">
        <f>IF(AF532=0,0,((+$D186/$AZ$17)*AX532)*VLOOKUP('1. SUMMARY'!$C$20,rate,Sheet1!AI$21,0))</f>
        <v>0</v>
      </c>
      <c r="AY533" s="401">
        <f>IF(AG532=0,0,((+$D186/$AZ$17)*AY532)*VLOOKUP('1. SUMMARY'!$C$20,rate,Sheet1!AJ$21,0))</f>
        <v>0</v>
      </c>
      <c r="AZ533" s="401">
        <f>SUM(AI533:AY533)</f>
        <v>0</v>
      </c>
    </row>
    <row r="534" spans="16:52" hidden="1">
      <c r="P534" s="207">
        <f t="shared" si="238"/>
        <v>0</v>
      </c>
      <c r="Q534" s="401">
        <f>+Q533/VLOOKUP('1. SUMMARY'!$C$20,rate,Sheet1!T$21,0)</f>
        <v>0</v>
      </c>
      <c r="R534" s="401">
        <f>+R533/VLOOKUP('1. SUMMARY'!$C$20,rate,Sheet1!U$21,0)</f>
        <v>0</v>
      </c>
      <c r="S534" s="401">
        <f>+S533/VLOOKUP('1. SUMMARY'!$C$20,rate,Sheet1!V$21,0)</f>
        <v>0</v>
      </c>
      <c r="T534" s="401">
        <f>+T533/VLOOKUP('1. SUMMARY'!$C$20,rate,Sheet1!W$21,0)</f>
        <v>0</v>
      </c>
      <c r="U534" s="401">
        <f>+U533/VLOOKUP('1. SUMMARY'!$C$20,rate,Sheet1!X$21,0)</f>
        <v>0</v>
      </c>
      <c r="V534" s="401">
        <f>+V533/VLOOKUP('1. SUMMARY'!$C$20,rate,Sheet1!Y$21,0)</f>
        <v>0</v>
      </c>
      <c r="W534" s="401">
        <f>+W533/VLOOKUP('1. SUMMARY'!$C$20,rate,Sheet1!Z$21,0)</f>
        <v>0</v>
      </c>
      <c r="X534" s="401">
        <f>+X533/VLOOKUP('1. SUMMARY'!$C$20,rate,Sheet1!AA$21,0)</f>
        <v>0</v>
      </c>
      <c r="Y534" s="401">
        <f>+Y533/VLOOKUP('1. SUMMARY'!$C$20,rate,Sheet1!AB$21,0)</f>
        <v>0</v>
      </c>
      <c r="Z534" s="401">
        <f>+Z533/VLOOKUP('1. SUMMARY'!$C$20,rate,Sheet1!AC$21,0)</f>
        <v>0</v>
      </c>
      <c r="AA534" s="401">
        <f>+AA533/VLOOKUP('1. SUMMARY'!$C$20,rate,Sheet1!AD$21,0)</f>
        <v>0</v>
      </c>
      <c r="AB534" s="401">
        <f>+AB533/VLOOKUP('1. SUMMARY'!$C$20,rate,Sheet1!AE$21,0)</f>
        <v>0</v>
      </c>
      <c r="AC534" s="401">
        <f>+AC533/VLOOKUP('1. SUMMARY'!$C$20,rate,Sheet1!AF$21,0)</f>
        <v>0</v>
      </c>
      <c r="AD534" s="401">
        <f>+AD533/VLOOKUP('1. SUMMARY'!$C$20,rate,Sheet1!AG$21,0)</f>
        <v>0</v>
      </c>
      <c r="AE534" s="401">
        <f>+AE533/VLOOKUP('1. SUMMARY'!$C$20,rate,Sheet1!AH$21,0)</f>
        <v>0</v>
      </c>
      <c r="AF534" s="401">
        <f>+AF533/VLOOKUP('1. SUMMARY'!$C$20,rate,Sheet1!AI$21,0)</f>
        <v>0</v>
      </c>
      <c r="AG534" s="401">
        <f>+AG533/VLOOKUP('1. SUMMARY'!$C$20,rate,Sheet1!AJ$21,0)</f>
        <v>0</v>
      </c>
      <c r="AH534" s="219"/>
      <c r="AI534" s="401">
        <v>0</v>
      </c>
      <c r="AJ534" s="401">
        <v>0</v>
      </c>
      <c r="AK534" s="401">
        <v>0</v>
      </c>
      <c r="AL534" s="401">
        <v>0</v>
      </c>
      <c r="AM534" s="401">
        <v>0</v>
      </c>
      <c r="AN534" s="401">
        <v>0</v>
      </c>
      <c r="AO534" s="401">
        <v>0</v>
      </c>
      <c r="AP534" s="401">
        <v>0</v>
      </c>
      <c r="AQ534" s="401"/>
      <c r="AR534" s="401"/>
      <c r="AS534" s="401"/>
      <c r="AT534" s="401"/>
      <c r="AU534" s="401"/>
      <c r="AV534" s="401"/>
      <c r="AW534" s="401"/>
      <c r="AX534" s="401"/>
      <c r="AY534" s="401"/>
      <c r="AZ534" s="401"/>
    </row>
    <row r="535" spans="16:52" hidden="1">
      <c r="P535" s="207">
        <f t="shared" si="238"/>
        <v>0</v>
      </c>
      <c r="Q535" s="405">
        <f>Sheet1!$T$8</f>
        <v>44105</v>
      </c>
      <c r="R535" s="405">
        <f>Sheet1!$U$8</f>
        <v>44470</v>
      </c>
      <c r="S535" s="405">
        <f>Sheet1!$V$8</f>
        <v>44835</v>
      </c>
      <c r="T535" s="405">
        <f>Sheet1!$W$8</f>
        <v>45200</v>
      </c>
      <c r="U535" s="405">
        <f>Sheet1!$X$8</f>
        <v>45566</v>
      </c>
      <c r="V535" s="405">
        <f>Sheet1!$Y$8</f>
        <v>45931</v>
      </c>
      <c r="W535" s="405">
        <f>Sheet1!$Z$8</f>
        <v>46296</v>
      </c>
      <c r="X535" s="405">
        <f>Sheet1!$AA$8</f>
        <v>46661</v>
      </c>
      <c r="Y535" s="405">
        <f>Sheet1!$AB$8</f>
        <v>47027</v>
      </c>
      <c r="Z535" s="405">
        <f>Sheet1!$AC$8</f>
        <v>47392</v>
      </c>
      <c r="AA535" s="405">
        <f>$AA$5</f>
        <v>47757</v>
      </c>
      <c r="AB535" s="405">
        <f>$AB$5</f>
        <v>48122</v>
      </c>
      <c r="AC535" s="405">
        <f>$AC$5</f>
        <v>48488</v>
      </c>
      <c r="AD535" s="405">
        <f>$AD$5</f>
        <v>48853</v>
      </c>
      <c r="AE535" s="405">
        <f>$AE$5</f>
        <v>49218</v>
      </c>
      <c r="AF535" s="405">
        <f>$AF$5</f>
        <v>49583</v>
      </c>
      <c r="AG535" s="405">
        <f>$AG$5</f>
        <v>49949</v>
      </c>
      <c r="AH535" s="211"/>
      <c r="AI535" s="405">
        <f t="shared" ref="AI535:AR537" si="243">+Q535</f>
        <v>44105</v>
      </c>
      <c r="AJ535" s="405">
        <f t="shared" si="243"/>
        <v>44470</v>
      </c>
      <c r="AK535" s="405">
        <f t="shared" si="243"/>
        <v>44835</v>
      </c>
      <c r="AL535" s="405">
        <f t="shared" si="243"/>
        <v>45200</v>
      </c>
      <c r="AM535" s="405">
        <f t="shared" si="243"/>
        <v>45566</v>
      </c>
      <c r="AN535" s="405">
        <f t="shared" si="243"/>
        <v>45931</v>
      </c>
      <c r="AO535" s="405">
        <f t="shared" si="243"/>
        <v>46296</v>
      </c>
      <c r="AP535" s="405">
        <f t="shared" si="243"/>
        <v>46661</v>
      </c>
      <c r="AQ535" s="405">
        <f t="shared" si="243"/>
        <v>47027</v>
      </c>
      <c r="AR535" s="405">
        <f t="shared" si="243"/>
        <v>47392</v>
      </c>
      <c r="AS535" s="405">
        <f t="shared" ref="AS535:AY537" si="244">+AA535</f>
        <v>47757</v>
      </c>
      <c r="AT535" s="405">
        <f t="shared" si="244"/>
        <v>48122</v>
      </c>
      <c r="AU535" s="405">
        <f t="shared" si="244"/>
        <v>48488</v>
      </c>
      <c r="AV535" s="405">
        <f t="shared" si="244"/>
        <v>48853</v>
      </c>
      <c r="AW535" s="405">
        <f t="shared" si="244"/>
        <v>49218</v>
      </c>
      <c r="AX535" s="405">
        <f t="shared" si="244"/>
        <v>49583</v>
      </c>
      <c r="AY535" s="405">
        <f t="shared" si="244"/>
        <v>49949</v>
      </c>
      <c r="AZ535" s="405"/>
    </row>
    <row r="536" spans="16:52" hidden="1">
      <c r="P536" s="207">
        <f t="shared" si="238"/>
        <v>0</v>
      </c>
      <c r="Q536" s="405">
        <f>Sheet1!$T$9</f>
        <v>44469</v>
      </c>
      <c r="R536" s="405">
        <f>Sheet1!$U$9</f>
        <v>44834</v>
      </c>
      <c r="S536" s="405">
        <f>Sheet1!$V$9</f>
        <v>45199</v>
      </c>
      <c r="T536" s="405">
        <f>Sheet1!$W$9</f>
        <v>45565</v>
      </c>
      <c r="U536" s="405">
        <f>Sheet1!$X$9</f>
        <v>45930</v>
      </c>
      <c r="V536" s="405">
        <f>Sheet1!$Y$9</f>
        <v>46295</v>
      </c>
      <c r="W536" s="405">
        <f>Sheet1!$Z$9</f>
        <v>46660</v>
      </c>
      <c r="X536" s="405">
        <f>Sheet1!$AA$9</f>
        <v>47026</v>
      </c>
      <c r="Y536" s="405">
        <f>Sheet1!$AB$9</f>
        <v>47391</v>
      </c>
      <c r="Z536" s="405">
        <f>Sheet1!$AC$9</f>
        <v>47756</v>
      </c>
      <c r="AA536" s="405">
        <f>$AA$6</f>
        <v>48121</v>
      </c>
      <c r="AB536" s="405">
        <f>$AB$6</f>
        <v>48487</v>
      </c>
      <c r="AC536" s="405">
        <f>$AC$6</f>
        <v>48852</v>
      </c>
      <c r="AD536" s="405">
        <f>$AD$6</f>
        <v>49217</v>
      </c>
      <c r="AE536" s="405">
        <f>$AE$6</f>
        <v>49582</v>
      </c>
      <c r="AF536" s="405">
        <f>$AF$6</f>
        <v>49948</v>
      </c>
      <c r="AG536" s="405">
        <f>$AG$6</f>
        <v>50313</v>
      </c>
      <c r="AH536" s="211"/>
      <c r="AI536" s="405">
        <f t="shared" si="243"/>
        <v>44469</v>
      </c>
      <c r="AJ536" s="405">
        <f t="shared" si="243"/>
        <v>44834</v>
      </c>
      <c r="AK536" s="405">
        <f t="shared" si="243"/>
        <v>45199</v>
      </c>
      <c r="AL536" s="405">
        <f t="shared" si="243"/>
        <v>45565</v>
      </c>
      <c r="AM536" s="405">
        <f t="shared" si="243"/>
        <v>45930</v>
      </c>
      <c r="AN536" s="405">
        <f t="shared" si="243"/>
        <v>46295</v>
      </c>
      <c r="AO536" s="405">
        <f t="shared" si="243"/>
        <v>46660</v>
      </c>
      <c r="AP536" s="405">
        <f t="shared" si="243"/>
        <v>47026</v>
      </c>
      <c r="AQ536" s="405">
        <f t="shared" si="243"/>
        <v>47391</v>
      </c>
      <c r="AR536" s="405">
        <f t="shared" si="243"/>
        <v>47756</v>
      </c>
      <c r="AS536" s="405">
        <f t="shared" si="244"/>
        <v>48121</v>
      </c>
      <c r="AT536" s="405">
        <f t="shared" si="244"/>
        <v>48487</v>
      </c>
      <c r="AU536" s="405">
        <f t="shared" si="244"/>
        <v>48852</v>
      </c>
      <c r="AV536" s="405">
        <f t="shared" si="244"/>
        <v>49217</v>
      </c>
      <c r="AW536" s="405">
        <f t="shared" si="244"/>
        <v>49582</v>
      </c>
      <c r="AX536" s="405">
        <f t="shared" si="244"/>
        <v>49948</v>
      </c>
      <c r="AY536" s="405">
        <f t="shared" si="244"/>
        <v>50313</v>
      </c>
      <c r="AZ536" s="405"/>
    </row>
    <row r="537" spans="16:52" hidden="1">
      <c r="P537" s="207">
        <f t="shared" si="238"/>
        <v>0</v>
      </c>
      <c r="Q537" s="406">
        <f>IF(IF(Q536&lt;$E$27,0,DATEDIF($E$27,Q536+1,"m"))&lt;0,0,IF(Q536&lt;$E$27,0,DATEDIF($E$27,Q536+1,"m")))</f>
        <v>0</v>
      </c>
      <c r="R537" s="406">
        <f>IF(IF(Q537=12,0,IF(R536&gt;$E$28,12-DATEDIF($E$28,R536+1,"m"),IF(R536&lt;$E$27,0,DATEDIF($E$27,R536+1,"m"))))&lt;0,0,IF(Q537=12,0,IF(R536&gt;$E$28,12-DATEDIF($E$28,R536+1,"m"),IF(R536&lt;$E$27,0,DATEDIF($E$27,R536+1,"m")))))</f>
        <v>0</v>
      </c>
      <c r="S537" s="406">
        <f>IF(IF(Q537+R537=12,0,IF(S536&gt;$E$28,12-DATEDIF($E$28,S536+1,"m"),IF(S536&lt;$E$27,0,DATEDIF($E$27,S536+1,"m"))))&lt;0,0,IF(Q537+R537=12,0,IF(S536&gt;$E$28,12-DATEDIF($E$28,S536+1,"m"),IF(S536&lt;$E$27,0,DATEDIF($E$27,S536+1,"m")))))</f>
        <v>0</v>
      </c>
      <c r="T537" s="406">
        <f>IF(IF(R537+S537+Q537=12,0,IF(T536&gt;$E$28,12-DATEDIF($E$28,T536+1,"m"),IF(T536&lt;$E$27,0,DATEDIF($E$27,T536+1,"m"))))&lt;0,0,IF(R537+S537+Q537=12,0,IF(T536&gt;$E$28,12-DATEDIF($E$28,T536+1,"m"),IF(T536&lt;$E$27,0,DATEDIF($E$27,T536+1,"m")))))</f>
        <v>0</v>
      </c>
      <c r="U537" s="406">
        <f>IF(IF(S537+T537+R537+Q537=12,0,IF(U536&gt;$E$28,12-DATEDIF($E$28,U536+1,"m"),IF(U536&lt;$E$27,0,DATEDIF($E$27,U536+1,"m"))))&lt;0,0,IF(S537+T537+R537+Q537=12,0,IF(U536&gt;$E$28,12-DATEDIF($E$28,U536+1,"m"),IF(U536&lt;$E$27,0,DATEDIF($E$27,U536+1,"m")))))</f>
        <v>0</v>
      </c>
      <c r="V537" s="406">
        <f>IF(IF(T537+U537+S537+R537+Q537=12,0,IF(V536&gt;$E$28,12-DATEDIF($E$28,V536+1,"m"),IF(V536&lt;$E$27,0,DATEDIF($E$27,V536+1,"m"))))&lt;0,0,IF(T537+U537+S537+R537+Q537=12,0,IF(V536&gt;$E$28,12-DATEDIF($E$28,V536+1,"m"),IF(V536&lt;$E$27,0,DATEDIF($E$27,V536+1,"m")))))</f>
        <v>0</v>
      </c>
      <c r="W537" s="406">
        <f>IF(IF(U537+V537+T537+S537+R537+Q537=12,0,IF(W536&gt;$E$28,12-DATEDIF($E$28,W536+1,"m"),IF(W536&lt;$E$27,0,DATEDIF($E$27,W536+1,"m"))))&lt;0,0,IF(U537+V537+T537+S537+R537+Q537=12,0,IF(W536&gt;$E$28,12-DATEDIF($E$28,W536+1,"m"),IF(W536&lt;$E$27,0,DATEDIF($E$27,W536+1,"m")))))</f>
        <v>0</v>
      </c>
      <c r="X537" s="406">
        <f>IF(IF(V537+W537+U537+T537+S537+R537+Q537=12,0,IF(X536&gt;$E$28,12-DATEDIF($E$28,X536+1,"m"),IF(X536&lt;$E$27,0,DATEDIF($E$27,X536+1,"m"))))&lt;0,0,IF(V537+W537+U537+T537+S537+R537+Q537=12,0,IF(X536&gt;$E$28,12-DATEDIF($E$28,X536+1,"m"),IF(X536&lt;$E$27,0,DATEDIF($E$27,X536+1,"m")))))</f>
        <v>0</v>
      </c>
      <c r="Y537" s="406">
        <f>IF(IF(Q537+W537+X537+V537+U537+T537+S537+R537=12,0,IF(Y536&gt;F356,12-DATEDIF(F356,Y536+1,"m"),IF(Y536&lt;F355,0,DATEDIF(F355,Y536+1,"m"))))&lt;0,0,IF(Q537+W537+X537+V537+U537+T537+S537+R537=12,0,IF(Y536&gt;F356,12-DATEDIF(F356,Y536+1,"m"),IF(Y536&lt;F355,0,DATEDIF(F355,Y536+1,"m")))))</f>
        <v>0</v>
      </c>
      <c r="Z537" s="406">
        <f>IF(IF(Q537+R537+X537+Y537+W537+V537+U537+T537+S537=12,0,IF(Z536&gt;G356,12-DATEDIF(G356,Z536+1,"m"),IF(Z536&lt;G355,0,DATEDIF(G355,Z536+1,"m"))))&lt;0,0,IF(Q537+R537+X537+Y537+W537+V537+U537+T537+S537=12,0,IF(Z536&gt;G356,12-DATEDIF(G356,Z536+1,"m"),IF(Z536&lt;G355,0,DATEDIF(G355,Z536+1,"m")))))</f>
        <v>0</v>
      </c>
      <c r="AA537" s="406"/>
      <c r="AB537" s="406"/>
      <c r="AC537" s="406"/>
      <c r="AD537" s="406"/>
      <c r="AE537" s="406"/>
      <c r="AF537" s="406"/>
      <c r="AG537" s="406"/>
      <c r="AH537" s="423">
        <f>SUM(Q537:AG537)</f>
        <v>0</v>
      </c>
      <c r="AI537" s="406">
        <f t="shared" si="243"/>
        <v>0</v>
      </c>
      <c r="AJ537" s="406">
        <f t="shared" si="243"/>
        <v>0</v>
      </c>
      <c r="AK537" s="406">
        <f t="shared" si="243"/>
        <v>0</v>
      </c>
      <c r="AL537" s="406">
        <f t="shared" si="243"/>
        <v>0</v>
      </c>
      <c r="AM537" s="406">
        <f t="shared" si="243"/>
        <v>0</v>
      </c>
      <c r="AN537" s="406">
        <f t="shared" si="243"/>
        <v>0</v>
      </c>
      <c r="AO537" s="406">
        <f t="shared" si="243"/>
        <v>0</v>
      </c>
      <c r="AP537" s="406">
        <f t="shared" si="243"/>
        <v>0</v>
      </c>
      <c r="AQ537" s="406">
        <f t="shared" si="243"/>
        <v>0</v>
      </c>
      <c r="AR537" s="406">
        <f t="shared" si="243"/>
        <v>0</v>
      </c>
      <c r="AS537" s="406">
        <f t="shared" si="244"/>
        <v>0</v>
      </c>
      <c r="AT537" s="406">
        <f t="shared" si="244"/>
        <v>0</v>
      </c>
      <c r="AU537" s="406">
        <f t="shared" si="244"/>
        <v>0</v>
      </c>
      <c r="AV537" s="406">
        <f t="shared" si="244"/>
        <v>0</v>
      </c>
      <c r="AW537" s="406">
        <f t="shared" si="244"/>
        <v>0</v>
      </c>
      <c r="AX537" s="406">
        <f t="shared" si="244"/>
        <v>0</v>
      </c>
      <c r="AY537" s="406">
        <f t="shared" si="244"/>
        <v>0</v>
      </c>
      <c r="AZ537" s="406">
        <f>SUM(AI537:AY537)</f>
        <v>0</v>
      </c>
    </row>
    <row r="538" spans="16:52" hidden="1">
      <c r="P538" s="207">
        <f t="shared" si="238"/>
        <v>0</v>
      </c>
      <c r="Q538" s="407">
        <f>IF(Q537=0,0,(IF(($C$186+$B$186+$D$186+$E$186)&lt;=25000,(($E$186/+$AH537)*Q537)*VLOOKUP('1. SUMMARY'!$C$20,rate,Sheet1!T$21,0),((IF(($B$186+$C$186+$D$186)&gt;=25000,0,(((25000-($B$186+$C$186+$D$186))/+$AH537)*Q537)*(VLOOKUP('1. SUMMARY'!$C$20,rate,Sheet1!T$21,0))))))))</f>
        <v>0</v>
      </c>
      <c r="R538" s="407">
        <f>IF(R537=0,0,(IF(($C$186+$B$186+$D$186+$E$186)&lt;=25000,(($E$186/+$AH537)*R537)*VLOOKUP('1. SUMMARY'!$C$20,rate,Sheet1!U$21,0),((IF(($B$186+$C$186+$D$186)&gt;=25000,0,(((25000-($B$186+$C$186+$D$186))/+$AH537)*R537)*(VLOOKUP('1. SUMMARY'!$C$20,rate,Sheet1!U$21,0))))))))</f>
        <v>0</v>
      </c>
      <c r="S538" s="407">
        <f>IF(S537=0,0,(IF(($C$186+$B$186+$D$186+$E$186)&lt;=25000,(($E$186/+$AH537)*S537)*VLOOKUP('1. SUMMARY'!$C$20,rate,Sheet1!V$21,0),((IF(($B$186+$C$186+$D$186)&gt;=25000,0,(((25000-($B$186+$C$186+$D$186))/+$AH537)*S537)*(VLOOKUP('1. SUMMARY'!$C$20,rate,Sheet1!V$21,0))))))))</f>
        <v>0</v>
      </c>
      <c r="T538" s="407">
        <f>IF(T537=0,0,(IF(($C$186+$B$186+$D$186+$E$186)&lt;=25000,(($E$186/+$AH537)*T537)*VLOOKUP('1. SUMMARY'!$C$20,rate,Sheet1!W$21,0),((IF(($B$186+$C$186+$D$186)&gt;=25000,0,(((25000-($B$186+$C$186+$D$186))/+$AH537)*T537)*(VLOOKUP('1. SUMMARY'!$C$20,rate,Sheet1!W$21,0))))))))</f>
        <v>0</v>
      </c>
      <c r="U538" s="407">
        <f>IF(U537=0,0,(IF(($C$186+$B$186+$D$186+$E$186)&lt;=25000,(($E$186/+$AH537)*U537)*VLOOKUP('1. SUMMARY'!$C$20,rate,Sheet1!X$21,0),((IF(($B$186+$C$186+$D$186)&gt;=25000,0,(((25000-($B$186+$C$186+$D$186))/+$AH537)*U537)*(VLOOKUP('1. SUMMARY'!$C$20,rate,Sheet1!X$21,0))))))))</f>
        <v>0</v>
      </c>
      <c r="V538" s="407">
        <f>IF(V537=0,0,(IF(($C$186+$B$186+$D$186+$E$186)&lt;=25000,(($E$186/+$AH537)*V537)*VLOOKUP('1. SUMMARY'!$C$20,rate,Sheet1!Y$21,0),((IF(($B$186+$C$186+$D$186)&gt;=25000,0,(((25000-($B$186+$C$186+$D$186))/+$AH537)*V537)*(VLOOKUP('1. SUMMARY'!$C$20,rate,Sheet1!Y$21,0))))))))</f>
        <v>0</v>
      </c>
      <c r="W538" s="407">
        <f>IF(W537=0,0,(IF(($C$186+$B$186+$D$186+$E$186)&lt;=25000,(($E$186/+$AH537)*W537)*VLOOKUP('1. SUMMARY'!$C$20,rate,Sheet1!Z$21,0),((IF(($B$186+$C$186+$D$186)&gt;=25000,0,(((25000-($B$186+$C$186+$D$186))/+$AH537)*W537)*(VLOOKUP('1. SUMMARY'!$C$20,rate,Sheet1!Z$21,0))))))))</f>
        <v>0</v>
      </c>
      <c r="X538" s="407">
        <f>IF(X537=0,0,(IF(($C$186+$B$186+$D$186+$E$186)&lt;=25000,(($E$186/+$AH537)*X537)*VLOOKUP('1. SUMMARY'!$C$20,rate,Sheet1!AA$21,0),((IF(($B$186+$C$186+$D$186)&gt;=25000,0,(((25000-($B$186+$C$186+$D$186))/+$AH537)*X537)*(VLOOKUP('1. SUMMARY'!$C$20,rate,Sheet1!AA$21,0))))))))</f>
        <v>0</v>
      </c>
      <c r="Y538" s="407">
        <f>IF(Y537=0,0,(IF(($C$186+$B$186+$D$186+$E$186)&lt;=25000,(($E$186/+$AH537)*Y537)*VLOOKUP('1. SUMMARY'!$C$20,rate,Sheet1!AB$21,0),((IF(($B$186+$C$186+$D$186)&gt;=25000,0,(((25000-($B$186+$C$186+$D$186))/+$AH537)*Y537)*(VLOOKUP('1. SUMMARY'!$C$20,rate,Sheet1!AB$21,0))))))))</f>
        <v>0</v>
      </c>
      <c r="Z538" s="407">
        <f>IF(Z537=0,0,(IF(($C$186+$B$186+$D$186+$E$186)&lt;=25000,(($E$186/+$AH537)*Z537)*VLOOKUP('1. SUMMARY'!$C$20,rate,Sheet1!AC$21,0),((IF(($B$186+$C$186+$D$186)&gt;=25000,0,(((25000-($B$186+$C$186+$D$186))/+$AH537)*Z537)*(VLOOKUP('1. SUMMARY'!$C$20,rate,Sheet1!AC$21,0))))))))</f>
        <v>0</v>
      </c>
      <c r="AA538" s="407">
        <f>IF(AA537=0,0,(IF(($C$186+$B$186+$D$186+$E$186)&lt;=25000,(($E$186/+$AH537)*AA537)*VLOOKUP('1. SUMMARY'!$C$20,rate,Sheet1!AD$21,0),((IF(($B$186+$C$186+$D$186)&gt;=25000,0,(((25000-($B$186+$C$186+$D$186))/+$AH537)*AA537)*(VLOOKUP('1. SUMMARY'!$C$20,rate,Sheet1!AD$21,0))))))))</f>
        <v>0</v>
      </c>
      <c r="AB538" s="407">
        <f>IF(AB537=0,0,(IF(($C$186+$B$186+$D$186+$E$186)&lt;=25000,(($E$186/+$AH537)*AB537)*VLOOKUP('1. SUMMARY'!$C$20,rate,Sheet1!AE$21,0),((IF(($B$186+$C$186+$D$186)&gt;=25000,0,(((25000-($B$186+$C$186+$D$186))/+$AH537)*AB537)*(VLOOKUP('1. SUMMARY'!$C$20,rate,Sheet1!AE$21,0))))))))</f>
        <v>0</v>
      </c>
      <c r="AC538" s="407">
        <f>IF(AC537=0,0,(IF(($C$186+$B$186+$D$186+$E$186)&lt;=25000,(($E$186/+$AH537)*AC537)*VLOOKUP('1. SUMMARY'!$C$20,rate,Sheet1!AF$21,0),((IF(($B$186+$C$186+$D$186)&gt;=25000,0,(((25000-($B$186+$C$186+$D$186))/+$AH537)*AC537)*(VLOOKUP('1. SUMMARY'!$C$20,rate,Sheet1!AF$21,0))))))))</f>
        <v>0</v>
      </c>
      <c r="AD538" s="407">
        <f>IF(AD537=0,0,(IF(($C$186+$B$186+$D$186+$E$186)&lt;=25000,(($E$186/+$AH537)*AD537)*VLOOKUP('1. SUMMARY'!$C$20,rate,Sheet1!AG$21,0),((IF(($B$186+$C$186+$D$186)&gt;=25000,0,(((25000-($B$186+$C$186+$D$186))/+$AH537)*AD537)*(VLOOKUP('1. SUMMARY'!$C$20,rate,Sheet1!AG$21,0))))))))</f>
        <v>0</v>
      </c>
      <c r="AE538" s="407">
        <f>IF(AE537=0,0,(IF(($C$186+$B$186+$D$186+$E$186)&lt;=25000,(($E$186/+$AH537)*AE537)*VLOOKUP('1. SUMMARY'!$C$20,rate,Sheet1!AH$21,0),((IF(($B$186+$C$186+$D$186)&gt;=25000,0,(((25000-($B$186+$C$186+$D$186))/+$AH537)*AE537)*(VLOOKUP('1. SUMMARY'!$C$20,rate,Sheet1!AH$21,0))))))))</f>
        <v>0</v>
      </c>
      <c r="AF538" s="407">
        <f>IF(AF537=0,0,(IF(($C$186+$B$186+$D$186+$E$186)&lt;=25000,(($E$186/+$AH537)*AF537)*VLOOKUP('1. SUMMARY'!$C$20,rate,Sheet1!AI$21,0),((IF(($B$186+$C$186+$D$186)&gt;=25000,0,(((25000-($B$186+$C$186+$D$186))/+$AH537)*AF537)*(VLOOKUP('1. SUMMARY'!$C$20,rate,Sheet1!AI$21,0))))))))</f>
        <v>0</v>
      </c>
      <c r="AG538" s="407">
        <f>IF(AG537=0,0,(IF(($C$186+$B$186+$D$186+$E$186)&lt;=25000,(($E$186/+$AH537)*AG537)*VLOOKUP('1. SUMMARY'!$C$20,rate,Sheet1!AJ$21,0),((IF(($B$186+$C$186+$D$186)&gt;=25000,0,(((25000-($B$186+$C$186+$D$186))/+$AH537)*AG537)*(VLOOKUP('1. SUMMARY'!$C$20,rate,Sheet1!AJ$21,0))))))))</f>
        <v>0</v>
      </c>
      <c r="AH538" s="219">
        <f>SUM(Q538:AG538)</f>
        <v>0</v>
      </c>
      <c r="AI538" s="407">
        <f>IF(AI537=0,0,((+$E186/$AZ$22)*AI537)*VLOOKUP('1. SUMMARY'!$C$20,rate,Sheet1!T$21,0))</f>
        <v>0</v>
      </c>
      <c r="AJ538" s="407">
        <f>IF(AJ537=0,0,((+$E186/$AZ$22)*AJ537)*VLOOKUP('1. SUMMARY'!$C$20,rate,Sheet1!U$21,0))</f>
        <v>0</v>
      </c>
      <c r="AK538" s="407">
        <f>IF(AK537=0,0,((+$E186/$AZ$22)*AK537)*VLOOKUP('1. SUMMARY'!$C$20,rate,Sheet1!V$21,0))</f>
        <v>0</v>
      </c>
      <c r="AL538" s="407">
        <f>IF(AL537=0,0,((+$E186/$AZ$22)*AL537)*VLOOKUP('1. SUMMARY'!$C$20,rate,Sheet1!W$21,0))</f>
        <v>0</v>
      </c>
      <c r="AM538" s="407">
        <f>IF(AM537=0,0,((+$E186/$AZ$22)*AM537)*VLOOKUP('1. SUMMARY'!$C$20,rate,Sheet1!X$21,0))</f>
        <v>0</v>
      </c>
      <c r="AN538" s="407">
        <f>IF(AN537=0,0,((+$E186/$AZ$22)*AN537)*VLOOKUP('1. SUMMARY'!$C$20,rate,Sheet1!Y$21,0))</f>
        <v>0</v>
      </c>
      <c r="AO538" s="407">
        <f>IF(AO537=0,0,((+$E186/$AZ$22)*AO537)*VLOOKUP('1. SUMMARY'!$C$20,rate,Sheet1!Z$21,0))</f>
        <v>0</v>
      </c>
      <c r="AP538" s="407">
        <f>IF(AP537=0,0,((+$E186/$AZ$22)*AP537)*VLOOKUP('1. SUMMARY'!$C$20,rate,Sheet1!AA$21,0))</f>
        <v>0</v>
      </c>
      <c r="AQ538" s="407">
        <f>IF(AQ537=0,0,((+$E186/$AZ$22)*AQ537)*VLOOKUP('1. SUMMARY'!$C$20,rate,Sheet1!AB$21,0))</f>
        <v>0</v>
      </c>
      <c r="AR538" s="407">
        <f>IF(AR537=0,0,((+$E186/$AZ$22)*AR537)*VLOOKUP('1. SUMMARY'!$C$20,rate,Sheet1!AC$21,0))</f>
        <v>0</v>
      </c>
      <c r="AS538" s="407">
        <f>IF(AS537=0,0,((+$E186/$AZ$22)*AS537)*VLOOKUP('1. SUMMARY'!$C$20,rate,Sheet1!AD$21,0))</f>
        <v>0</v>
      </c>
      <c r="AT538" s="407">
        <f>IF(AT537=0,0,((+$E186/$AZ$22)*AT537)*VLOOKUP('1. SUMMARY'!$C$20,rate,Sheet1!AE$21,0))</f>
        <v>0</v>
      </c>
      <c r="AU538" s="407">
        <f>IF(AU537=0,0,((+$E186/$AZ$22)*AU537)*VLOOKUP('1. SUMMARY'!$C$20,rate,Sheet1!AF$21,0))</f>
        <v>0</v>
      </c>
      <c r="AV538" s="407">
        <f>IF(AV537=0,0,((+$E186/$AZ$22)*AV537)*VLOOKUP('1. SUMMARY'!$C$20,rate,Sheet1!AG$21,0))</f>
        <v>0</v>
      </c>
      <c r="AW538" s="407">
        <f>IF(AW537=0,0,((+$E186/$AZ$22)*AW537)*VLOOKUP('1. SUMMARY'!$C$20,rate,Sheet1!AH$21,0))</f>
        <v>0</v>
      </c>
      <c r="AX538" s="407">
        <f>IF(AX537=0,0,((+$E186/$AZ$22)*AX537)*VLOOKUP('1. SUMMARY'!$C$20,rate,Sheet1!AI$21,0))</f>
        <v>0</v>
      </c>
      <c r="AY538" s="407">
        <f>IF(AY537=0,0,((+$E186/$AZ$22)*AY537)*VLOOKUP('1. SUMMARY'!$C$20,rate,Sheet1!AJ$21,0))</f>
        <v>0</v>
      </c>
      <c r="AZ538" s="407">
        <f>SUM(AI538:AY538)</f>
        <v>0</v>
      </c>
    </row>
    <row r="539" spans="16:52" hidden="1">
      <c r="P539" s="207">
        <f t="shared" si="238"/>
        <v>0</v>
      </c>
      <c r="Q539" s="407">
        <f>+Q538/VLOOKUP('1. SUMMARY'!$C$20,rate,Sheet1!T$21,0)</f>
        <v>0</v>
      </c>
      <c r="R539" s="407">
        <f>+R538/VLOOKUP('1. SUMMARY'!$C$20,rate,Sheet1!U$21,0)</f>
        <v>0</v>
      </c>
      <c r="S539" s="407">
        <f>+S538/VLOOKUP('1. SUMMARY'!$C$20,rate,Sheet1!V$21,0)</f>
        <v>0</v>
      </c>
      <c r="T539" s="407">
        <f>+T538/VLOOKUP('1. SUMMARY'!$C$20,rate,Sheet1!W$21,0)</f>
        <v>0</v>
      </c>
      <c r="U539" s="407">
        <f>+U538/VLOOKUP('1. SUMMARY'!$C$20,rate,Sheet1!X$21,0)</f>
        <v>0</v>
      </c>
      <c r="V539" s="407">
        <f>+V538/VLOOKUP('1. SUMMARY'!$C$20,rate,Sheet1!Y$21,0)</f>
        <v>0</v>
      </c>
      <c r="W539" s="407">
        <f>+W538/VLOOKUP('1. SUMMARY'!$C$20,rate,Sheet1!Z$21,0)</f>
        <v>0</v>
      </c>
      <c r="X539" s="407">
        <f>+X538/VLOOKUP('1. SUMMARY'!$C$20,rate,Sheet1!AA$21,0)</f>
        <v>0</v>
      </c>
      <c r="Y539" s="407">
        <f>+Y538/VLOOKUP('1. SUMMARY'!$C$20,rate,Sheet1!AB$21,0)</f>
        <v>0</v>
      </c>
      <c r="Z539" s="407">
        <f>+Z538/VLOOKUP('1. SUMMARY'!$C$20,rate,Sheet1!AC$21,0)</f>
        <v>0</v>
      </c>
      <c r="AA539" s="407">
        <f>+AA538/VLOOKUP('1. SUMMARY'!$C$20,rate,Sheet1!AD$21,0)</f>
        <v>0</v>
      </c>
      <c r="AB539" s="407">
        <f>+AB538/VLOOKUP('1. SUMMARY'!$C$20,rate,Sheet1!AE$21,0)</f>
        <v>0</v>
      </c>
      <c r="AC539" s="407">
        <f>+AC538/VLOOKUP('1. SUMMARY'!$C$20,rate,Sheet1!AF$21,0)</f>
        <v>0</v>
      </c>
      <c r="AD539" s="407">
        <f>+AD538/VLOOKUP('1. SUMMARY'!$C$20,rate,Sheet1!AG$21,0)</f>
        <v>0</v>
      </c>
      <c r="AE539" s="407">
        <f>+AE538/VLOOKUP('1. SUMMARY'!$C$20,rate,Sheet1!AH$21,0)</f>
        <v>0</v>
      </c>
      <c r="AF539" s="407">
        <f>+AF538/VLOOKUP('1. SUMMARY'!$C$20,rate,Sheet1!AI$21,0)</f>
        <v>0</v>
      </c>
      <c r="AG539" s="407">
        <f>+AG538/VLOOKUP('1. SUMMARY'!$C$20,rate,Sheet1!AJ$21,0)</f>
        <v>0</v>
      </c>
      <c r="AH539" s="219"/>
      <c r="AI539" s="407">
        <v>0</v>
      </c>
      <c r="AJ539" s="407">
        <v>0</v>
      </c>
      <c r="AK539" s="407">
        <v>0</v>
      </c>
      <c r="AL539" s="407">
        <v>0</v>
      </c>
      <c r="AM539" s="407">
        <v>0</v>
      </c>
      <c r="AN539" s="407">
        <v>0</v>
      </c>
      <c r="AO539" s="407">
        <v>0</v>
      </c>
      <c r="AP539" s="407">
        <v>0</v>
      </c>
      <c r="AQ539" s="407"/>
      <c r="AR539" s="407"/>
      <c r="AS539" s="407"/>
      <c r="AT539" s="407"/>
      <c r="AU539" s="407"/>
      <c r="AV539" s="407"/>
      <c r="AW539" s="407"/>
      <c r="AX539" s="407"/>
      <c r="AY539" s="407"/>
      <c r="AZ539" s="407"/>
    </row>
    <row r="540" spans="16:52" hidden="1">
      <c r="P540" s="207">
        <f t="shared" si="238"/>
        <v>0</v>
      </c>
      <c r="Q540" s="408">
        <f>Sheet1!$T$8</f>
        <v>44105</v>
      </c>
      <c r="R540" s="408">
        <f>Sheet1!$U$8</f>
        <v>44470</v>
      </c>
      <c r="S540" s="408">
        <f>Sheet1!$V$8</f>
        <v>44835</v>
      </c>
      <c r="T540" s="408">
        <f>Sheet1!$W$8</f>
        <v>45200</v>
      </c>
      <c r="U540" s="408">
        <f>Sheet1!$X$8</f>
        <v>45566</v>
      </c>
      <c r="V540" s="408">
        <f>Sheet1!$Y$8</f>
        <v>45931</v>
      </c>
      <c r="W540" s="408">
        <f>Sheet1!$Z$8</f>
        <v>46296</v>
      </c>
      <c r="X540" s="408">
        <f>Sheet1!$AA$8</f>
        <v>46661</v>
      </c>
      <c r="Y540" s="408">
        <f>Sheet1!$AB$8</f>
        <v>47027</v>
      </c>
      <c r="Z540" s="408">
        <f>Sheet1!$AC$8</f>
        <v>47392</v>
      </c>
      <c r="AA540" s="408">
        <f>$AA$5</f>
        <v>47757</v>
      </c>
      <c r="AB540" s="408">
        <f>$AB$5</f>
        <v>48122</v>
      </c>
      <c r="AC540" s="408">
        <f>$AC$5</f>
        <v>48488</v>
      </c>
      <c r="AD540" s="408">
        <f>$AD$5</f>
        <v>48853</v>
      </c>
      <c r="AE540" s="408">
        <f>$AE$5</f>
        <v>49218</v>
      </c>
      <c r="AF540" s="408">
        <f>$AF$5</f>
        <v>49583</v>
      </c>
      <c r="AG540" s="408">
        <f>$AG$5</f>
        <v>49949</v>
      </c>
      <c r="AH540" s="211"/>
      <c r="AI540" s="408">
        <f t="shared" ref="AI540:AR542" si="245">+Q540</f>
        <v>44105</v>
      </c>
      <c r="AJ540" s="408">
        <f t="shared" si="245"/>
        <v>44470</v>
      </c>
      <c r="AK540" s="408">
        <f t="shared" si="245"/>
        <v>44835</v>
      </c>
      <c r="AL540" s="408">
        <f t="shared" si="245"/>
        <v>45200</v>
      </c>
      <c r="AM540" s="408">
        <f t="shared" si="245"/>
        <v>45566</v>
      </c>
      <c r="AN540" s="408">
        <f t="shared" si="245"/>
        <v>45931</v>
      </c>
      <c r="AO540" s="408">
        <f t="shared" si="245"/>
        <v>46296</v>
      </c>
      <c r="AP540" s="408">
        <f t="shared" si="245"/>
        <v>46661</v>
      </c>
      <c r="AQ540" s="408">
        <f t="shared" si="245"/>
        <v>47027</v>
      </c>
      <c r="AR540" s="408">
        <f t="shared" si="245"/>
        <v>47392</v>
      </c>
      <c r="AS540" s="408">
        <f t="shared" ref="AS540:AY542" si="246">+AA540</f>
        <v>47757</v>
      </c>
      <c r="AT540" s="408">
        <f t="shared" si="246"/>
        <v>48122</v>
      </c>
      <c r="AU540" s="408">
        <f t="shared" si="246"/>
        <v>48488</v>
      </c>
      <c r="AV540" s="408">
        <f t="shared" si="246"/>
        <v>48853</v>
      </c>
      <c r="AW540" s="408">
        <f t="shared" si="246"/>
        <v>49218</v>
      </c>
      <c r="AX540" s="408">
        <f t="shared" si="246"/>
        <v>49583</v>
      </c>
      <c r="AY540" s="408">
        <f t="shared" si="246"/>
        <v>49949</v>
      </c>
      <c r="AZ540" s="408"/>
    </row>
    <row r="541" spans="16:52" hidden="1">
      <c r="P541" s="207">
        <f t="shared" si="238"/>
        <v>0</v>
      </c>
      <c r="Q541" s="408">
        <f>Sheet1!$T$9</f>
        <v>44469</v>
      </c>
      <c r="R541" s="408">
        <f>Sheet1!$U$9</f>
        <v>44834</v>
      </c>
      <c r="S541" s="408">
        <f>Sheet1!$V$9</f>
        <v>45199</v>
      </c>
      <c r="T541" s="408">
        <f>Sheet1!$W$9</f>
        <v>45565</v>
      </c>
      <c r="U541" s="408">
        <f>Sheet1!$X$9</f>
        <v>45930</v>
      </c>
      <c r="V541" s="408">
        <f>Sheet1!$Y$9</f>
        <v>46295</v>
      </c>
      <c r="W541" s="408">
        <f>Sheet1!$Z$9</f>
        <v>46660</v>
      </c>
      <c r="X541" s="408">
        <f>Sheet1!$AA$9</f>
        <v>47026</v>
      </c>
      <c r="Y541" s="408">
        <f>Sheet1!$AB$9</f>
        <v>47391</v>
      </c>
      <c r="Z541" s="408">
        <f>Sheet1!$AC$9</f>
        <v>47756</v>
      </c>
      <c r="AA541" s="408">
        <f>$AA$6</f>
        <v>48121</v>
      </c>
      <c r="AB541" s="408">
        <f>$AB$6</f>
        <v>48487</v>
      </c>
      <c r="AC541" s="408">
        <f>$AC$6</f>
        <v>48852</v>
      </c>
      <c r="AD541" s="408">
        <f>$AD$6</f>
        <v>49217</v>
      </c>
      <c r="AE541" s="408">
        <f>$AE$6</f>
        <v>49582</v>
      </c>
      <c r="AF541" s="408">
        <f>$AF$6</f>
        <v>49948</v>
      </c>
      <c r="AG541" s="408">
        <f>$AG$6</f>
        <v>50313</v>
      </c>
      <c r="AH541" s="211"/>
      <c r="AI541" s="408">
        <f t="shared" si="245"/>
        <v>44469</v>
      </c>
      <c r="AJ541" s="408">
        <f t="shared" si="245"/>
        <v>44834</v>
      </c>
      <c r="AK541" s="408">
        <f t="shared" si="245"/>
        <v>45199</v>
      </c>
      <c r="AL541" s="408">
        <f t="shared" si="245"/>
        <v>45565</v>
      </c>
      <c r="AM541" s="408">
        <f t="shared" si="245"/>
        <v>45930</v>
      </c>
      <c r="AN541" s="408">
        <f t="shared" si="245"/>
        <v>46295</v>
      </c>
      <c r="AO541" s="408">
        <f t="shared" si="245"/>
        <v>46660</v>
      </c>
      <c r="AP541" s="408">
        <f t="shared" si="245"/>
        <v>47026</v>
      </c>
      <c r="AQ541" s="408">
        <f t="shared" si="245"/>
        <v>47391</v>
      </c>
      <c r="AR541" s="408">
        <f t="shared" si="245"/>
        <v>47756</v>
      </c>
      <c r="AS541" s="408">
        <f t="shared" si="246"/>
        <v>48121</v>
      </c>
      <c r="AT541" s="408">
        <f t="shared" si="246"/>
        <v>48487</v>
      </c>
      <c r="AU541" s="408">
        <f t="shared" si="246"/>
        <v>48852</v>
      </c>
      <c r="AV541" s="408">
        <f t="shared" si="246"/>
        <v>49217</v>
      </c>
      <c r="AW541" s="408">
        <f t="shared" si="246"/>
        <v>49582</v>
      </c>
      <c r="AX541" s="408">
        <f t="shared" si="246"/>
        <v>49948</v>
      </c>
      <c r="AY541" s="408">
        <f t="shared" si="246"/>
        <v>50313</v>
      </c>
      <c r="AZ541" s="408"/>
    </row>
    <row r="542" spans="16:52" hidden="1">
      <c r="P542" s="207">
        <f t="shared" si="238"/>
        <v>0</v>
      </c>
      <c r="Q542" s="409">
        <f>IF(IF(Q541&lt;$F$27,0,DATEDIF($F$27,Q541+1,"m"))&lt;0,0,IF(Q541&lt;$F$27,0,DATEDIF($F$27,Q541+1,"m")))</f>
        <v>0</v>
      </c>
      <c r="R542" s="409">
        <f>IF(IF(Q542=12,0,IF(R541&gt;$F$28,12-DATEDIF($F$28,R541+1,"m"),IF(R541&lt;$F$27,0,DATEDIF($F$27,R541+1,"m"))))&lt;0,0,IF(Q542=12,0,IF(R541&gt;$F$28,12-DATEDIF($F$28,R541+1,"m"),IF(R541&lt;$F$27,0,DATEDIF($F$27,R541+1,"m")))))</f>
        <v>0</v>
      </c>
      <c r="S542" s="409">
        <f>IF(IF(Q542+R542=12,0,IF(S541&gt;$F$28,12-DATEDIF($F$28,S541+1,"m"),IF(S541&lt;$F$27,0,DATEDIF($F$27,S541+1,"m"))))&lt;0,0,IF(Q542+R542=12,0,IF(S541&gt;$F$28,12-DATEDIF($F$28,S541+1,"m"),IF(S541&lt;$F$27,0,DATEDIF($F$27,S541+1,"m")))))</f>
        <v>0</v>
      </c>
      <c r="T542" s="409">
        <f>IF(IF(R542+S542+Q542=12,0,IF(T541&gt;$F$28,12-DATEDIF($F$28,T541+1,"m"),IF(T541&lt;$F$27,0,DATEDIF($F$27,T541+1,"m"))))&lt;0,0,IF(R542+S542+Q542=12,0,IF(T541&gt;$F$28,12-DATEDIF($F$28,T541+1,"m"),IF(T541&lt;$F$27,0,DATEDIF($F$27,T541+1,"m")))))</f>
        <v>0</v>
      </c>
      <c r="U542" s="409">
        <f>IF(IF(S542+T542+R542+Q542=12,0,IF(U541&gt;$F$28,12-DATEDIF($F$28,U541+1,"m"),IF(U541&lt;$F$27,0,DATEDIF($F$27,U541+1,"m"))))&lt;0,0,IF(S542+T542+R542+Q542=12,0,IF(U541&gt;$F$28,12-DATEDIF($F$28,U541+1,"m"),IF(U541&lt;$F$27,0,DATEDIF($F$27,U541+1,"m")))))</f>
        <v>0</v>
      </c>
      <c r="V542" s="409">
        <f>IF(IF(T542+U542+S542+R542+Q542=12,0,IF(V541&gt;$F$28,12-DATEDIF($F$28,V541+1,"m"),IF(V541&lt;$F$27,0,DATEDIF($F$27,V541+1,"m"))))&lt;0,0,IF(T542+U542+S542+R542+Q542=12,0,IF(V541&gt;$F$28,12-DATEDIF($F$28,V541+1,"m"),IF(V541&lt;$F$27,0,DATEDIF($F$27,V541+1,"m")))))</f>
        <v>0</v>
      </c>
      <c r="W542" s="409">
        <f>IF(IF(U542+V542+T542+S542+R542+Q542=12,0,IF(W541&gt;$F$28,12-DATEDIF($F$28,W541+1,"m"),IF(W541&lt;$F$27,0,DATEDIF($F$27,W541+1,"m"))))&lt;0,0,IF(U542+V542+T542+S542+R542+Q542=12,0,IF(W541&gt;$F$28,12-DATEDIF($F$28,W541+1,"m"),IF(W541&lt;$F$27,0,DATEDIF($F$27,W541+1,"m")))))</f>
        <v>0</v>
      </c>
      <c r="X542" s="409">
        <f>IF(IF(V542+W542+U542+T542+S542+R542+Q542=12,0,IF(X541&gt;$F$28,12-DATEDIF($F$28,X541+1,"m"),IF(X541&lt;$F$27,0,DATEDIF($F$27,X541+1,"m"))))&lt;0,0,IF(V542+W542+U542+T542+S542+R542+Q542=12,0,IF(X541&gt;$F$28,12-DATEDIF($F$28,X541+1,"m"),IF(X541&lt;$F$27,0,DATEDIF($F$27,X541+1,"m")))))</f>
        <v>0</v>
      </c>
      <c r="Y542" s="409">
        <f>IF(IF(Q542+W542+X542+V542+U542+T542+S542+R542=12,0,IF(Y541&gt;$F$28,12-DATEDIF($F$28,Y541+1,"m"),IF(Y541&lt;$F$27,0,DATEDIF($F$27,Y541+1,"m"))))&lt;0,0,IF(Q542+W542+X542+V542+U542+T542+S542+R542=12,0,IF(Y541&gt;$F$28,12-DATEDIF($F$28,Y541+1,"m"),IF(Y541&lt;$F$27,0,DATEDIF($F$27,Y541+1,"m")))))</f>
        <v>0</v>
      </c>
      <c r="Z542" s="409">
        <f>IF(IF(Q542+R542+X542+Y542+W542+V542+U542+T542+S542=12,0,IF(Z541&gt;$F$28,12-DATEDIF($F$28,Z541+1,"m"),IF(Z541&lt;$F$27,0,DATEDIF($F$27,Z541+1,"m"))))&lt;0,0,IF(Q542+R542+X542+Y542+W542+V542+U542+T542+S542=12,0,IF(Z541&gt;$F$28,12-DATEDIF($F$28,Z541+1,"m"),IF(Z541&lt;$F$27,0,DATEDIF($F$27,Z541+1,"m")))))</f>
        <v>0</v>
      </c>
      <c r="AA542" s="409"/>
      <c r="AB542" s="409"/>
      <c r="AC542" s="409"/>
      <c r="AD542" s="409"/>
      <c r="AE542" s="409"/>
      <c r="AF542" s="409"/>
      <c r="AG542" s="409"/>
      <c r="AH542" s="423">
        <f>SUM(Q542:AG542)</f>
        <v>0</v>
      </c>
      <c r="AI542" s="409">
        <f t="shared" si="245"/>
        <v>0</v>
      </c>
      <c r="AJ542" s="409">
        <f t="shared" si="245"/>
        <v>0</v>
      </c>
      <c r="AK542" s="409">
        <f t="shared" si="245"/>
        <v>0</v>
      </c>
      <c r="AL542" s="409">
        <f t="shared" si="245"/>
        <v>0</v>
      </c>
      <c r="AM542" s="409">
        <f t="shared" si="245"/>
        <v>0</v>
      </c>
      <c r="AN542" s="409">
        <f t="shared" si="245"/>
        <v>0</v>
      </c>
      <c r="AO542" s="409">
        <f t="shared" si="245"/>
        <v>0</v>
      </c>
      <c r="AP542" s="409">
        <f t="shared" si="245"/>
        <v>0</v>
      </c>
      <c r="AQ542" s="409">
        <f t="shared" si="245"/>
        <v>0</v>
      </c>
      <c r="AR542" s="409">
        <f t="shared" si="245"/>
        <v>0</v>
      </c>
      <c r="AS542" s="409">
        <f t="shared" si="246"/>
        <v>0</v>
      </c>
      <c r="AT542" s="409">
        <f t="shared" si="246"/>
        <v>0</v>
      </c>
      <c r="AU542" s="409">
        <f t="shared" si="246"/>
        <v>0</v>
      </c>
      <c r="AV542" s="409">
        <f t="shared" si="246"/>
        <v>0</v>
      </c>
      <c r="AW542" s="409">
        <f t="shared" si="246"/>
        <v>0</v>
      </c>
      <c r="AX542" s="409">
        <f t="shared" si="246"/>
        <v>0</v>
      </c>
      <c r="AY542" s="409">
        <f t="shared" si="246"/>
        <v>0</v>
      </c>
      <c r="AZ542" s="409">
        <f>SUM(AI542:AY542)</f>
        <v>0</v>
      </c>
    </row>
    <row r="543" spans="16:52" hidden="1">
      <c r="P543" s="207">
        <f t="shared" si="238"/>
        <v>0</v>
      </c>
      <c r="Q543" s="410">
        <f>IF(Q542=0,0,(IF(($C$186+$B$186+$D$186+$E$186+$F$186)&lt;=25000,(($F$186/+$AH542)*Q542)*VLOOKUP('1. SUMMARY'!$C$20,rate,Sheet1!T$21,0),((IF(($B$186+$C$186+$D$186+$E$186)&gt;=25000,0,(((25000-($B$186+$C$186+$D$186+$E$186))/+$AH542)*Q542)*(VLOOKUP('1. SUMMARY'!$C$20,rate,Sheet1!T$21,0))))))))</f>
        <v>0</v>
      </c>
      <c r="R543" s="410">
        <f>IF(R542=0,0,(IF(($C$186+$B$186+$D$186+$E$186+$F$186)&lt;=25000,(($F$186/+$AH542)*R542)*VLOOKUP('1. SUMMARY'!$C$20,rate,Sheet1!U$21,0),((IF(($B$186+$C$186+$D$186+$E$186)&gt;=25000,0,(((25000-($B$186+$C$186+$D$186+$E$186))/+$AH542)*R542)*(VLOOKUP('1. SUMMARY'!$C$20,rate,Sheet1!U$21,0))))))))</f>
        <v>0</v>
      </c>
      <c r="S543" s="410">
        <f>IF(S542=0,0,(IF(($C$186+$B$186+$D$186+$E$186+$F$186)&lt;=25000,(($F$186/+$AH542)*S542)*VLOOKUP('1. SUMMARY'!$C$20,rate,Sheet1!V$21,0),((IF(($B$186+$C$186+$D$186+$E$186)&gt;=25000,0,(((25000-($B$186+$C$186+$D$186+$E$186))/+$AH542)*S542)*(VLOOKUP('1. SUMMARY'!$C$20,rate,Sheet1!V$21,0))))))))</f>
        <v>0</v>
      </c>
      <c r="T543" s="410">
        <f>IF(T542=0,0,(IF(($C$186+$B$186+$D$186+$E$186+$F$186)&lt;=25000,(($F$186/+$AH542)*T542)*VLOOKUP('1. SUMMARY'!$C$20,rate,Sheet1!W$21,0),((IF(($B$186+$C$186+$D$186+$E$186)&gt;=25000,0,(((25000-($B$186+$C$186+$D$186+$E$186))/+$AH542)*T542)*(VLOOKUP('1. SUMMARY'!$C$20,rate,Sheet1!W$21,0))))))))</f>
        <v>0</v>
      </c>
      <c r="U543" s="410">
        <f>IF(U542=0,0,(IF(($C$186+$B$186+$D$186+$E$186+$F$186)&lt;=25000,(($F$186/+$AH542)*U542)*VLOOKUP('1. SUMMARY'!$C$20,rate,Sheet1!X$21,0),((IF(($B$186+$C$186+$D$186+$E$186)&gt;=25000,0,(((25000-($B$186+$C$186+$D$186+$E$186))/+$AH542)*U542)*(VLOOKUP('1. SUMMARY'!$C$20,rate,Sheet1!X$21,0))))))))</f>
        <v>0</v>
      </c>
      <c r="V543" s="410">
        <f>IF(V542=0,0,(IF(($C$186+$B$186+$D$186+$E$186+$F$186)&lt;=25000,(($F$186/+$AH542)*V542)*VLOOKUP('1. SUMMARY'!$C$20,rate,Sheet1!Y$21,0),((IF(($B$186+$C$186+$D$186+$E$186)&gt;=25000,0,(((25000-($B$186+$C$186+$D$186+$E$186))/+$AH542)*V542)*(VLOOKUP('1. SUMMARY'!$C$20,rate,Sheet1!Y$21,0))))))))</f>
        <v>0</v>
      </c>
      <c r="W543" s="410">
        <f>IF(W542=0,0,(IF(($C$186+$B$186+$D$186+$E$186+$F$186)&lt;=25000,(($F$186/+$AH542)*W542)*VLOOKUP('1. SUMMARY'!$C$20,rate,Sheet1!Z$21,0),((IF(($B$186+$C$186+$D$186+$E$186)&gt;=25000,0,(((25000-($B$186+$C$186+$D$186+$E$186))/+$AH542)*W542)*(VLOOKUP('1. SUMMARY'!$C$20,rate,Sheet1!Z$21,0))))))))</f>
        <v>0</v>
      </c>
      <c r="X543" s="410">
        <f>IF(X542=0,0,(IF(($C$186+$B$186+$D$186+$E$186+$F$186)&lt;=25000,(($F$186/+$AH542)*X542)*VLOOKUP('1. SUMMARY'!$C$20,rate,Sheet1!AA$21,0),((IF(($B$186+$C$186+$D$186+$E$186)&gt;=25000,0,(((25000-($B$186+$C$186+$D$186+$E$186))/+$AH542)*X542)*(VLOOKUP('1. SUMMARY'!$C$20,rate,Sheet1!AA$21,0))))))))</f>
        <v>0</v>
      </c>
      <c r="Y543" s="410">
        <f>IF(Y542=0,0,(IF(($C$186+$B$186+$D$186+$E$186+$F$186)&lt;=25000,(($F$186/+$AH542)*Y542)*VLOOKUP('1. SUMMARY'!$C$20,rate,Sheet1!AB$21,0),((IF(($B$186+$C$186+$D$186+$E$186)&gt;=25000,0,(((25000-($B$186+$C$186+$D$186+$E$186))/+$AH542)*Y542)*(VLOOKUP('1. SUMMARY'!$C$20,rate,Sheet1!AB$21,0))))))))</f>
        <v>0</v>
      </c>
      <c r="Z543" s="410">
        <f>IF(Z542=0,0,(IF(($C$186+$B$186+$D$186+$E$186+$F$186)&lt;=25000,(($F$186/+$AH542)*Z542)*VLOOKUP('1. SUMMARY'!$C$20,rate,Sheet1!AC$21,0),((IF(($B$186+$C$186+$D$186+$E$186)&gt;=25000,0,(((25000-($B$186+$C$186+$D$186+$E$186))/+$AH542)*Z542)*(VLOOKUP('1. SUMMARY'!$C$20,rate,Sheet1!AC$21,0))))))))</f>
        <v>0</v>
      </c>
      <c r="AA543" s="410">
        <f>IF(AA542=0,0,(IF(($C$186+$B$186+$D$186+$E$186+$F$186)&lt;=25000,(($F$186/+$AH542)*AA542)*VLOOKUP('1. SUMMARY'!$C$20,rate,Sheet1!AD$21,0),((IF(($B$186+$C$186+$D$186+$E$186)&gt;=25000,0,(((25000-($B$186+$C$186+$D$186+$E$186))/+$AH542)*AA542)*(VLOOKUP('1. SUMMARY'!$C$20,rate,Sheet1!AD$21,0))))))))</f>
        <v>0</v>
      </c>
      <c r="AB543" s="410">
        <f>IF(AB542=0,0,(IF(($C$186+$B$186+$D$186+$E$186+$F$186)&lt;=25000,(($F$186/+$AH542)*AB542)*VLOOKUP('1. SUMMARY'!$C$20,rate,Sheet1!AE$21,0),((IF(($B$186+$C$186+$D$186+$E$186)&gt;=25000,0,(((25000-($B$186+$C$186+$D$186+$E$186))/+$AH542)*AB542)*(VLOOKUP('1. SUMMARY'!$C$20,rate,Sheet1!AE$21,0))))))))</f>
        <v>0</v>
      </c>
      <c r="AC543" s="410">
        <f>IF(AC542=0,0,(IF(($C$186+$B$186+$D$186+$E$186+$F$186)&lt;=25000,(($F$186/+$AH542)*AC542)*VLOOKUP('1. SUMMARY'!$C$20,rate,Sheet1!AF$21,0),((IF(($B$186+$C$186+$D$186+$E$186)&gt;=25000,0,(((25000-($B$186+$C$186+$D$186+$E$186))/+$AH542)*AC542)*(VLOOKUP('1. SUMMARY'!$C$20,rate,Sheet1!AF$21,0))))))))</f>
        <v>0</v>
      </c>
      <c r="AD543" s="410">
        <f>IF(AD542=0,0,(IF(($C$186+$B$186+$D$186+$E$186+$F$186)&lt;=25000,(($F$186/+$AH542)*AD542)*VLOOKUP('1. SUMMARY'!$C$20,rate,Sheet1!AG$21,0),((IF(($B$186+$C$186+$D$186+$E$186)&gt;=25000,0,(((25000-($B$186+$C$186+$D$186+$E$186))/+$AH542)*AD542)*(VLOOKUP('1. SUMMARY'!$C$20,rate,Sheet1!AG$21,0))))))))</f>
        <v>0</v>
      </c>
      <c r="AE543" s="410">
        <f>IF(AE542=0,0,(IF(($C$186+$B$186+$D$186+$E$186+$F$186)&lt;=25000,(($F$186/+$AH542)*AE542)*VLOOKUP('1. SUMMARY'!$C$20,rate,Sheet1!AH$21,0),((IF(($B$186+$C$186+$D$186+$E$186)&gt;=25000,0,(((25000-($B$186+$C$186+$D$186+$E$186))/+$AH542)*AE542)*(VLOOKUP('1. SUMMARY'!$C$20,rate,Sheet1!AH$21,0))))))))</f>
        <v>0</v>
      </c>
      <c r="AF543" s="410">
        <f>IF(AF542=0,0,(IF(($C$186+$B$186+$D$186+$E$186+$F$186)&lt;=25000,(($F$186/+$AH542)*AF542)*VLOOKUP('1. SUMMARY'!$C$20,rate,Sheet1!AI$21,0),((IF(($B$186+$C$186+$D$186+$E$186)&gt;=25000,0,(((25000-($B$186+$C$186+$D$186+$E$186))/+$AH542)*AF542)*(VLOOKUP('1. SUMMARY'!$C$20,rate,Sheet1!AI$21,0))))))))</f>
        <v>0</v>
      </c>
      <c r="AG543" s="410">
        <f>IF(AG542=0,0,(IF(($C$186+$B$186+$D$186+$E$186+$F$186)&lt;=25000,(($F$186/+$AH542)*AG542)*VLOOKUP('1. SUMMARY'!$C$20,rate,Sheet1!AJ$21,0),((IF(($B$186+$C$186+$D$186+$E$186)&gt;=25000,0,(((25000-($B$186+$C$186+$D$186+$E$186))/+$AH542)*AG542)*(VLOOKUP('1. SUMMARY'!$C$20,rate,Sheet1!AJ$21,0))))))))</f>
        <v>0</v>
      </c>
      <c r="AH543" s="219">
        <f>SUM(Q543:AG543)</f>
        <v>0</v>
      </c>
      <c r="AI543" s="410">
        <f>IF(AI542=0,0,((+$F186/$AZ542)*AI542)*VLOOKUP('1. SUMMARY'!$C$20,rate,Sheet1!T$21,0))</f>
        <v>0</v>
      </c>
      <c r="AJ543" s="410">
        <f>IF(AJ542=0,0,((+$F186/$AZ542)*AJ542)*VLOOKUP('1. SUMMARY'!$C$20,rate,Sheet1!U$21,0))</f>
        <v>0</v>
      </c>
      <c r="AK543" s="410">
        <f>IF(AK542=0,0,((+$F186/$AZ542)*AK542)*VLOOKUP('1. SUMMARY'!$C$20,rate,Sheet1!V$21,0))</f>
        <v>0</v>
      </c>
      <c r="AL543" s="410">
        <f>IF(AL542=0,0,((+$F186/$AZ542)*AL542)*VLOOKUP('1. SUMMARY'!$C$20,rate,Sheet1!W$21,0))</f>
        <v>0</v>
      </c>
      <c r="AM543" s="410">
        <f>IF(AM542=0,0,((+$F186/$AZ542)*AM542)*VLOOKUP('1. SUMMARY'!$C$20,rate,Sheet1!X$21,0))</f>
        <v>0</v>
      </c>
      <c r="AN543" s="410">
        <f>IF(AN542=0,0,((+$F186/$AZ542)*AN542)*VLOOKUP('1. SUMMARY'!$C$20,rate,Sheet1!Y$21,0))</f>
        <v>0</v>
      </c>
      <c r="AO543" s="410">
        <f>IF(AO542=0,0,((+$F186/$AZ542)*AO542)*VLOOKUP('1. SUMMARY'!$C$20,rate,Sheet1!Z$21,0))</f>
        <v>0</v>
      </c>
      <c r="AP543" s="410">
        <f>IF(AP542=0,0,((+$F186/$AZ542)*AP542)*VLOOKUP('1. SUMMARY'!$C$20,rate,Sheet1!AA$21,0))</f>
        <v>0</v>
      </c>
      <c r="AQ543" s="410">
        <f>IF(AQ542=0,0,((+$F186/$AZ542)*AQ542)*VLOOKUP('1. SUMMARY'!$C$20,rate,Sheet1!AB$21,0))</f>
        <v>0</v>
      </c>
      <c r="AR543" s="410">
        <f>IF(AR542=0,0,((+$F186/$AZ542)*AR542)*VLOOKUP('1. SUMMARY'!$C$20,rate,Sheet1!AC$21,0))</f>
        <v>0</v>
      </c>
      <c r="AS543" s="410">
        <f>IF(AS542=0,0,((+$F186/$AZ542)*AS542)*VLOOKUP('1. SUMMARY'!$C$20,rate,Sheet1!AD$21,0))</f>
        <v>0</v>
      </c>
      <c r="AT543" s="410">
        <f>IF(AT542=0,0,((+$F186/$AZ542)*AT542)*VLOOKUP('1. SUMMARY'!$C$20,rate,Sheet1!AE$21,0))</f>
        <v>0</v>
      </c>
      <c r="AU543" s="410">
        <f>IF(AU542=0,0,((+$F186/$AZ542)*AU542)*VLOOKUP('1. SUMMARY'!$C$20,rate,Sheet1!AF$21,0))</f>
        <v>0</v>
      </c>
      <c r="AV543" s="410">
        <f>IF(AV542=0,0,((+$F186/$AZ542)*AV542)*VLOOKUP('1. SUMMARY'!$C$20,rate,Sheet1!AG$21,0))</f>
        <v>0</v>
      </c>
      <c r="AW543" s="410">
        <f>IF(AW542=0,0,((+$F186/$AZ542)*AW542)*VLOOKUP('1. SUMMARY'!$C$20,rate,Sheet1!AH$21,0))</f>
        <v>0</v>
      </c>
      <c r="AX543" s="410">
        <f>IF(AX542=0,0,((+$F186/$AZ542)*AX542)*VLOOKUP('1. SUMMARY'!$C$20,rate,Sheet1!AI$21,0))</f>
        <v>0</v>
      </c>
      <c r="AY543" s="410">
        <f>IF(AY542=0,0,((+$F186/$AZ542)*AY542)*VLOOKUP('1. SUMMARY'!$C$20,rate,Sheet1!AJ$21,0))</f>
        <v>0</v>
      </c>
      <c r="AZ543" s="410">
        <f>SUM(AI543:AY543)</f>
        <v>0</v>
      </c>
    </row>
    <row r="544" spans="16:52" hidden="1">
      <c r="P544" s="207">
        <f t="shared" si="238"/>
        <v>0</v>
      </c>
      <c r="Q544" s="410">
        <f>+Q543/VLOOKUP('1. SUMMARY'!$C$20,rate,Sheet1!T$21,0)</f>
        <v>0</v>
      </c>
      <c r="R544" s="410">
        <f>+R543/VLOOKUP('1. SUMMARY'!$C$20,rate,Sheet1!U$21,0)</f>
        <v>0</v>
      </c>
      <c r="S544" s="410">
        <f>+S543/VLOOKUP('1. SUMMARY'!$C$20,rate,Sheet1!V$21,0)</f>
        <v>0</v>
      </c>
      <c r="T544" s="410">
        <f>+T543/VLOOKUP('1. SUMMARY'!$C$20,rate,Sheet1!W$21,0)</f>
        <v>0</v>
      </c>
      <c r="U544" s="410">
        <f>+U543/VLOOKUP('1. SUMMARY'!$C$20,rate,Sheet1!X$21,0)</f>
        <v>0</v>
      </c>
      <c r="V544" s="410">
        <f>+V543/VLOOKUP('1. SUMMARY'!$C$20,rate,Sheet1!Y$21,0)</f>
        <v>0</v>
      </c>
      <c r="W544" s="410">
        <f>+W543/VLOOKUP('1. SUMMARY'!$C$20,rate,Sheet1!Z$21,0)</f>
        <v>0</v>
      </c>
      <c r="X544" s="410">
        <f>+X543/VLOOKUP('1. SUMMARY'!$C$20,rate,Sheet1!AA$21,0)</f>
        <v>0</v>
      </c>
      <c r="Y544" s="410">
        <f>+Y543/VLOOKUP('1. SUMMARY'!$C$20,rate,Sheet1!AB$21,0)</f>
        <v>0</v>
      </c>
      <c r="Z544" s="410">
        <f>+Z543/VLOOKUP('1. SUMMARY'!$C$20,rate,Sheet1!AC$21,0)</f>
        <v>0</v>
      </c>
      <c r="AA544" s="410">
        <f>+AA543/VLOOKUP('1. SUMMARY'!$C$20,rate,Sheet1!AD$21,0)</f>
        <v>0</v>
      </c>
      <c r="AB544" s="410">
        <f>+AB543/VLOOKUP('1. SUMMARY'!$C$20,rate,Sheet1!AE$21,0)</f>
        <v>0</v>
      </c>
      <c r="AC544" s="410">
        <f>+AC543/VLOOKUP('1. SUMMARY'!$C$20,rate,Sheet1!AF$21,0)</f>
        <v>0</v>
      </c>
      <c r="AD544" s="410">
        <f>+AD543/VLOOKUP('1. SUMMARY'!$C$20,rate,Sheet1!AG$21,0)</f>
        <v>0</v>
      </c>
      <c r="AE544" s="410">
        <f>+AE543/VLOOKUP('1. SUMMARY'!$C$20,rate,Sheet1!AH$21,0)</f>
        <v>0</v>
      </c>
      <c r="AF544" s="410">
        <f>+AF543/VLOOKUP('1. SUMMARY'!$C$20,rate,Sheet1!AI$21,0)</f>
        <v>0</v>
      </c>
      <c r="AG544" s="410">
        <f>+AG543/VLOOKUP('1. SUMMARY'!$C$20,rate,Sheet1!AJ$21,0)</f>
        <v>0</v>
      </c>
      <c r="AH544" s="219"/>
      <c r="AI544" s="410">
        <v>0</v>
      </c>
      <c r="AJ544" s="410">
        <v>0</v>
      </c>
      <c r="AK544" s="410">
        <v>0</v>
      </c>
      <c r="AL544" s="410">
        <v>0</v>
      </c>
      <c r="AM544" s="410">
        <v>0</v>
      </c>
      <c r="AN544" s="410">
        <v>0</v>
      </c>
      <c r="AO544" s="410">
        <v>0</v>
      </c>
      <c r="AP544" s="410">
        <v>0</v>
      </c>
      <c r="AQ544" s="410"/>
      <c r="AR544" s="410"/>
      <c r="AS544" s="410"/>
      <c r="AT544" s="410"/>
      <c r="AU544" s="410"/>
      <c r="AV544" s="410"/>
      <c r="AW544" s="410"/>
      <c r="AX544" s="410"/>
      <c r="AY544" s="410"/>
      <c r="AZ544" s="410"/>
    </row>
    <row r="545" spans="16:52" hidden="1">
      <c r="P545" s="207">
        <f t="shared" ref="P545:P559" si="247">IF(Q755=39356,(+P544+1),P544)</f>
        <v>0</v>
      </c>
      <c r="Q545" s="413">
        <f>Sheet1!$T$8</f>
        <v>44105</v>
      </c>
      <c r="R545" s="413">
        <f>Sheet1!$U$8</f>
        <v>44470</v>
      </c>
      <c r="S545" s="413">
        <f>Sheet1!$V$8</f>
        <v>44835</v>
      </c>
      <c r="T545" s="413">
        <f>Sheet1!$W$8</f>
        <v>45200</v>
      </c>
      <c r="U545" s="413">
        <f>Sheet1!$X$8</f>
        <v>45566</v>
      </c>
      <c r="V545" s="413">
        <f>Sheet1!$Y$8</f>
        <v>45931</v>
      </c>
      <c r="W545" s="413">
        <f>Sheet1!$Z$8</f>
        <v>46296</v>
      </c>
      <c r="X545" s="413">
        <f>Sheet1!$AA$8</f>
        <v>46661</v>
      </c>
      <c r="Y545" s="413">
        <f>Sheet1!$AB$8</f>
        <v>47027</v>
      </c>
      <c r="Z545" s="413">
        <f>Sheet1!$AC$8</f>
        <v>47392</v>
      </c>
      <c r="AA545" s="413">
        <f>$AA$5</f>
        <v>47757</v>
      </c>
      <c r="AB545" s="413">
        <f>$AB$5</f>
        <v>48122</v>
      </c>
      <c r="AC545" s="413">
        <f>$AC$5</f>
        <v>48488</v>
      </c>
      <c r="AD545" s="413">
        <f>$AD$5</f>
        <v>48853</v>
      </c>
      <c r="AE545" s="413">
        <f>$AE$5</f>
        <v>49218</v>
      </c>
      <c r="AF545" s="413">
        <f>$AF$5</f>
        <v>49583</v>
      </c>
      <c r="AG545" s="413">
        <f>$AG$5</f>
        <v>49949</v>
      </c>
      <c r="AH545" s="219"/>
      <c r="AI545" s="413">
        <f t="shared" ref="AI545:AR547" si="248">+Q545</f>
        <v>44105</v>
      </c>
      <c r="AJ545" s="413">
        <f t="shared" si="248"/>
        <v>44470</v>
      </c>
      <c r="AK545" s="413">
        <f t="shared" si="248"/>
        <v>44835</v>
      </c>
      <c r="AL545" s="413">
        <f t="shared" si="248"/>
        <v>45200</v>
      </c>
      <c r="AM545" s="413">
        <f t="shared" si="248"/>
        <v>45566</v>
      </c>
      <c r="AN545" s="413">
        <f t="shared" si="248"/>
        <v>45931</v>
      </c>
      <c r="AO545" s="413">
        <f t="shared" si="248"/>
        <v>46296</v>
      </c>
      <c r="AP545" s="413">
        <f t="shared" si="248"/>
        <v>46661</v>
      </c>
      <c r="AQ545" s="413">
        <f t="shared" si="248"/>
        <v>47027</v>
      </c>
      <c r="AR545" s="413">
        <f t="shared" si="248"/>
        <v>47392</v>
      </c>
      <c r="AS545" s="413">
        <f t="shared" ref="AS545:AY547" si="249">+AA545</f>
        <v>47757</v>
      </c>
      <c r="AT545" s="413">
        <f t="shared" si="249"/>
        <v>48122</v>
      </c>
      <c r="AU545" s="413">
        <f t="shared" si="249"/>
        <v>48488</v>
      </c>
      <c r="AV545" s="413">
        <f t="shared" si="249"/>
        <v>48853</v>
      </c>
      <c r="AW545" s="413">
        <f t="shared" si="249"/>
        <v>49218</v>
      </c>
      <c r="AX545" s="413">
        <f t="shared" si="249"/>
        <v>49583</v>
      </c>
      <c r="AY545" s="413">
        <f t="shared" si="249"/>
        <v>49949</v>
      </c>
      <c r="AZ545" s="413"/>
    </row>
    <row r="546" spans="16:52" hidden="1">
      <c r="P546" s="207">
        <f t="shared" si="247"/>
        <v>0</v>
      </c>
      <c r="Q546" s="413">
        <f>Sheet1!$T$9</f>
        <v>44469</v>
      </c>
      <c r="R546" s="413">
        <f>Sheet1!$U$9</f>
        <v>44834</v>
      </c>
      <c r="S546" s="413">
        <f>Sheet1!$V$9</f>
        <v>45199</v>
      </c>
      <c r="T546" s="413">
        <f>Sheet1!$W$9</f>
        <v>45565</v>
      </c>
      <c r="U546" s="413">
        <f>Sheet1!$X$9</f>
        <v>45930</v>
      </c>
      <c r="V546" s="413">
        <f>Sheet1!$Y$9</f>
        <v>46295</v>
      </c>
      <c r="W546" s="413">
        <f>Sheet1!$Z$9</f>
        <v>46660</v>
      </c>
      <c r="X546" s="413">
        <f>Sheet1!$AA$9</f>
        <v>47026</v>
      </c>
      <c r="Y546" s="413">
        <f>Sheet1!$AB$9</f>
        <v>47391</v>
      </c>
      <c r="Z546" s="413">
        <f>Sheet1!$AC$9</f>
        <v>47756</v>
      </c>
      <c r="AA546" s="413">
        <f>$AA$6</f>
        <v>48121</v>
      </c>
      <c r="AB546" s="413">
        <f>$AB$6</f>
        <v>48487</v>
      </c>
      <c r="AC546" s="413">
        <f>$AC$6</f>
        <v>48852</v>
      </c>
      <c r="AD546" s="413">
        <f>$AD$6</f>
        <v>49217</v>
      </c>
      <c r="AE546" s="413">
        <f>$AE$6</f>
        <v>49582</v>
      </c>
      <c r="AF546" s="413">
        <f>$AF$6</f>
        <v>49948</v>
      </c>
      <c r="AG546" s="413">
        <f>$AG$6</f>
        <v>50313</v>
      </c>
      <c r="AH546" s="219"/>
      <c r="AI546" s="413">
        <f t="shared" si="248"/>
        <v>44469</v>
      </c>
      <c r="AJ546" s="413">
        <f t="shared" si="248"/>
        <v>44834</v>
      </c>
      <c r="AK546" s="413">
        <f t="shared" si="248"/>
        <v>45199</v>
      </c>
      <c r="AL546" s="413">
        <f t="shared" si="248"/>
        <v>45565</v>
      </c>
      <c r="AM546" s="413">
        <f t="shared" si="248"/>
        <v>45930</v>
      </c>
      <c r="AN546" s="413">
        <f t="shared" si="248"/>
        <v>46295</v>
      </c>
      <c r="AO546" s="413">
        <f t="shared" si="248"/>
        <v>46660</v>
      </c>
      <c r="AP546" s="413">
        <f t="shared" si="248"/>
        <v>47026</v>
      </c>
      <c r="AQ546" s="413">
        <f t="shared" si="248"/>
        <v>47391</v>
      </c>
      <c r="AR546" s="413">
        <f t="shared" si="248"/>
        <v>47756</v>
      </c>
      <c r="AS546" s="413">
        <f t="shared" si="249"/>
        <v>48121</v>
      </c>
      <c r="AT546" s="413">
        <f t="shared" si="249"/>
        <v>48487</v>
      </c>
      <c r="AU546" s="413">
        <f t="shared" si="249"/>
        <v>48852</v>
      </c>
      <c r="AV546" s="413">
        <f t="shared" si="249"/>
        <v>49217</v>
      </c>
      <c r="AW546" s="413">
        <f t="shared" si="249"/>
        <v>49582</v>
      </c>
      <c r="AX546" s="413">
        <f t="shared" si="249"/>
        <v>49948</v>
      </c>
      <c r="AY546" s="413">
        <f t="shared" si="249"/>
        <v>50313</v>
      </c>
      <c r="AZ546" s="413"/>
    </row>
    <row r="547" spans="16:52" hidden="1">
      <c r="P547" s="207">
        <f t="shared" si="247"/>
        <v>0</v>
      </c>
      <c r="Q547" s="424">
        <f>IF(IF(Q546&lt;$G$27,0,DATEDIF($G$27,Q546+1,"m"))&lt;0,0,IF(Q546&lt;$G$27,0,DATEDIF($G$27,Q546+1,"m")))</f>
        <v>0</v>
      </c>
      <c r="R547" s="424">
        <f>IF(IF(Q547=12,0,IF(R546&gt;$G$28,12-DATEDIF($G$28,R546+1,"m"),IF(R546&lt;$G$27,0,DATEDIF($G$27,R546+1,"m"))))&lt;0,0,IF(Q547=12,0,IF(R546&gt;$G$28,12-DATEDIF($G$28,R546+1,"m"),IF(R546&lt;$G$27,0,DATEDIF($G$27,R546+1,"m")))))</f>
        <v>0</v>
      </c>
      <c r="S547" s="424">
        <f>IF(IF(Q547+R547=12,0,IF(S546&gt;$G$28,12-DATEDIF($G$28,S546+1,"m"),IF(S546&lt;$G$27,0,DATEDIF($G$27,S546+1,"m"))))&lt;0,0,IF(Q547+R547=12,0,IF(S546&gt;$G$28,12-DATEDIF($G$28,S546+1,"m"),IF(S546&lt;$G$27,0,DATEDIF($G$27,S546+1,"m")))))</f>
        <v>0</v>
      </c>
      <c r="T547" s="424">
        <f>IF(IF(R547+S547+Q547=12,0,IF(T546&gt;$G$28,12-DATEDIF($G$28,T546+1,"m"),IF(T546&lt;$G$27,0,DATEDIF($G$27,T546+1,"m"))))&lt;0,0,IF(R547+S547+Q547=12,0,IF(T546&gt;$G$28,12-DATEDIF($G$28,T546+1,"m"),IF(T546&lt;$G$27,0,DATEDIF($G$27,T546+1,"m")))))</f>
        <v>0</v>
      </c>
      <c r="U547" s="424">
        <f>IF(IF(S547+T547+R547+Q547=12,0,IF(U546&gt;$G$28,12-DATEDIF($G$28,U546+1,"m"),IF(U546&lt;$G$27,0,DATEDIF($G$27,U546+1,"m"))))&lt;0,0,IF(S547+T547+R547+Q547=12,0,IF(U546&gt;$G$28,12-DATEDIF($G$28,U546+1,"m"),IF(U546&lt;$G$27,0,DATEDIF($G$27,U546+1,"m")))))</f>
        <v>0</v>
      </c>
      <c r="V547" s="424">
        <f>IF(IF(T547+U547+S547+R547+Q547=12,0,IF(V546&gt;$G$28,12-DATEDIF($G$28,V546+1,"m"),IF(V546&lt;$G$27,0,DATEDIF($G$27,V546+1,"m"))))&lt;0,0,IF(T547+U547+S547+R547+Q547=12,0,IF(V546&gt;$G$28,12-DATEDIF($G$28,V546+1,"m"),IF(V546&lt;$G$27,0,DATEDIF($G$27,V546+1,"m")))))</f>
        <v>0</v>
      </c>
      <c r="W547" s="424">
        <f>IF(IF(U547+V547+T547+S547+R547+Q547=12,0,IF(W546&gt;$G$28,12-DATEDIF($G$28,W546+1,"m"),IF(W546&lt;$G$27,0,DATEDIF($G$27,W546+1,"m"))))&lt;0,0,IF(U547+V547+T547+S547+R547+Q547=12,0,IF(W546&gt;$G$28,12-DATEDIF($G$28,W546+1,"m"),IF(W546&lt;$G$27,0,DATEDIF($G$27,W546+1,"m")))))</f>
        <v>0</v>
      </c>
      <c r="X547" s="424">
        <f>IF(IF(V547+W547+U547+T547+S547+R547+Q547=12,0,IF(X546&gt;$G$28,12-DATEDIF($G$28,X546+1,"m"),IF(X546&lt;$G$27,0,DATEDIF($G$27,X546+1,"m"))))&lt;0,0,IF(V547+W547+U547+T547+S547+R547+Q547=12,0,IF(X546&gt;$G$28,12-DATEDIF($G$28,X546+1,"m"),IF(X546&lt;$G$27,0,DATEDIF($G$27,X546+1,"m")))))</f>
        <v>0</v>
      </c>
      <c r="Y547" s="424">
        <f>IF(IF(W547+X547+V547+U547+T547+S547+R547+Q547=12,0,IF(Y546&gt;$G$28,12-DATEDIF($G$28,Y546+1,"m"),IF(Y546&lt;$G$27,0,DATEDIF($G$27,Y546+1,"m"))))&lt;0,0,IF(W547+X547+V547+U547+T547+S547+R547+Q547=12,0,IF(Y546&gt;$G$28,12-DATEDIF($G$28,Y546+1,"m"),IF(Y546&lt;$G$27,0,DATEDIF($G$27,Y546+1,"m")))))</f>
        <v>0</v>
      </c>
      <c r="Z547" s="424">
        <f>IF(IF(X547+Y547+W547+V547+U547+T547+S547+R547+Q547=12,0,IF(Z546&gt;$G$28,12-DATEDIF($G$28,Z546+1,"m"),IF(Z546&lt;$G$27,0,DATEDIF($G$27,Z546+1,"m"))))&lt;0,0,IF(X547+Y547+W547+V547+U547+T547+S547+R547+Q547=12,0,IF(Z546&gt;$G$28,12-DATEDIF($G$28,Z546+1,"m"),IF(Z546&lt;$G$27,0,DATEDIF($G$27,Z546+1,"m")))))</f>
        <v>0</v>
      </c>
      <c r="AA547" s="414">
        <f>IF(IF(Q547+R547+S547+Y547+Z547+X547+W547+V547+U547+T547=12,0,IF(AA546&gt;$G$28,12-DATEDIF($G$28,AA546+1,"m"),IF(AA546&lt;$G$27,0,DATEDIF($G$27,AA546+1,"m"))))&lt;0,0,IF(Q547+R547+S547+Y547+Z547+X547+W547+V547+U547+T547=12,0,IF(AA546&gt;$G$28,12-DATEDIF($G$28,AA546+1,"m"),IF(AA546&lt;$G$27,0,DATEDIF($G$27,AA546+1,"m")))))</f>
        <v>0</v>
      </c>
      <c r="AB547" s="414">
        <f>IF(IF(Q547+R547+S547+T547+Z547+AA547+Y547+X547+W547+V547+U547=12,0,IF(AB546&gt;$G$28,12-DATEDIF($G$28,AB546+1,"m"),IF(AB546&lt;$G$27,0,DATEDIF($G$27,AB546+1,"m"))))&lt;0,0,IF(Q547+R547+S547+T547+Z547+AA547+Y547+X547+W547+V547+U547=12,0,IF(AB546&gt;$G$28,12-DATEDIF($G$28,AB546+1,"m"),IF(AB546&lt;$G$27,0,DATEDIF($G$27,AB546+1,"m")))))</f>
        <v>0</v>
      </c>
      <c r="AC547" s="414">
        <f>IF(IF(Q547+R547+S547+T547+U547+AA547+AB547+Z547+Y547+X547+W547+V547=12,0,IF(AC546&gt;$G$28,12-DATEDIF($G$28,AC546+1,"m"),IF(AC546&lt;$G$27,0,DATEDIF($G$27,AC546+1,"m"))))&lt;0,0,IF(Q547+R547+S547+T547+U547+AA547+AB547+Z547+Y547+X547+W547+V547=12,0,IF(AC546&gt;$G$28,12-DATEDIF($G$28,AC546+1,"m"),IF(AC546&lt;$G$27,0,DATEDIF($G$27,AC546+1,"m")))))</f>
        <v>0</v>
      </c>
      <c r="AD547" s="414">
        <f>IF(IF(Q547+R547+S547+T547+U547+V547+AB547+AC547+AA547+Z547+Y547+X547+W547=12,0,IF(AD546&gt;$G$28,12-DATEDIF($G$28,AD546+1,"m"),IF(AD546&lt;$G$27,0,DATEDIF($G$27,AD546+1,"m"))))&lt;0,0,IF(Q547+R547+S547+T547+U547+V547+AB547+AC547+AA547+Z547+Y547+X547+W547=12,0,IF(AD546&gt;$G$28,12-DATEDIF($G$28,AD546+1,"m"),IF(AD546&lt;$G$27,0,DATEDIF($G$27,AD546+1,"m")))))</f>
        <v>0</v>
      </c>
      <c r="AE547" s="414"/>
      <c r="AF547" s="414"/>
      <c r="AG547" s="414"/>
      <c r="AH547" s="423">
        <f>SUM(Q547:AG547)</f>
        <v>0</v>
      </c>
      <c r="AI547" s="414">
        <f t="shared" si="248"/>
        <v>0</v>
      </c>
      <c r="AJ547" s="414">
        <f t="shared" si="248"/>
        <v>0</v>
      </c>
      <c r="AK547" s="414">
        <f t="shared" si="248"/>
        <v>0</v>
      </c>
      <c r="AL547" s="414">
        <f t="shared" si="248"/>
        <v>0</v>
      </c>
      <c r="AM547" s="414">
        <f t="shared" si="248"/>
        <v>0</v>
      </c>
      <c r="AN547" s="414">
        <f t="shared" si="248"/>
        <v>0</v>
      </c>
      <c r="AO547" s="414">
        <f t="shared" si="248"/>
        <v>0</v>
      </c>
      <c r="AP547" s="414">
        <f t="shared" si="248"/>
        <v>0</v>
      </c>
      <c r="AQ547" s="414">
        <f t="shared" si="248"/>
        <v>0</v>
      </c>
      <c r="AR547" s="414">
        <f t="shared" si="248"/>
        <v>0</v>
      </c>
      <c r="AS547" s="414">
        <f t="shared" si="249"/>
        <v>0</v>
      </c>
      <c r="AT547" s="414">
        <f t="shared" si="249"/>
        <v>0</v>
      </c>
      <c r="AU547" s="414">
        <f t="shared" si="249"/>
        <v>0</v>
      </c>
      <c r="AV547" s="414">
        <f t="shared" si="249"/>
        <v>0</v>
      </c>
      <c r="AW547" s="414">
        <f t="shared" si="249"/>
        <v>0</v>
      </c>
      <c r="AX547" s="414">
        <f t="shared" si="249"/>
        <v>0</v>
      </c>
      <c r="AY547" s="414">
        <f t="shared" si="249"/>
        <v>0</v>
      </c>
      <c r="AZ547" s="414">
        <f>SUM(AI547:AY547)</f>
        <v>0</v>
      </c>
    </row>
    <row r="548" spans="16:52" hidden="1">
      <c r="P548" s="207">
        <f t="shared" si="247"/>
        <v>0</v>
      </c>
      <c r="Q548" s="415">
        <f>IF(Q547=0,0,(IF(($B$186+$C$186+$D$186+$E$186+$F$186+$G$186)&lt;=25000,(($G$186/+$AH547)*Q547)*VLOOKUP('1. SUMMARY'!$C$20,rate,Sheet1!T$21,0),((IF(($F$186+$B$186+$C$186+$D$186+$E$186)&gt;=25000,0,(((25000-($B$186+$C$186+$D$186+$E$186+$F$186))/+$AH547)*Q547)*(VLOOKUP('1. SUMMARY'!$C$20,rate,Sheet1!T$21,0))))))))</f>
        <v>0</v>
      </c>
      <c r="R548" s="415">
        <f>IF(R547=0,0,(IF(($B$186+$C$186+$D$186+$E$186+$F$186+$G$186)&lt;=25000,(($G$186/+$AH547)*R547)*VLOOKUP('1. SUMMARY'!$C$20,rate,Sheet1!U$21,0),((IF(($F$186+$B$186+$C$186+$D$186+$E$186)&gt;=25000,0,(((25000-($B$186+$C$186+$D$186+$E$186+$F$186))/+$AH547)*R547)*(VLOOKUP('1. SUMMARY'!$C$20,rate,Sheet1!U$21,0))))))))</f>
        <v>0</v>
      </c>
      <c r="S548" s="415">
        <f>IF(S547=0,0,(IF(($B$186+$C$186+$D$186+$E$186+$F$186+$G$186)&lt;=25000,(($G$186/+$AH547)*S547)*VLOOKUP('1. SUMMARY'!$C$20,rate,Sheet1!V$21,0),((IF(($F$186+$B$186+$C$186+$D$186+$E$186)&gt;=25000,0,(((25000-($B$186+$C$186+$D$186+$E$186+$F$186))/+$AH547)*S547)*(VLOOKUP('1. SUMMARY'!$C$20,rate,Sheet1!V$21,0))))))))</f>
        <v>0</v>
      </c>
      <c r="T548" s="415">
        <f>IF(T547=0,0,(IF(($B$186+$C$186+$D$186+$E$186+$F$186+$G$186)&lt;=25000,(($G$186/+$AH547)*T547)*VLOOKUP('1. SUMMARY'!$C$20,rate,Sheet1!W$21,0),((IF(($F$186+$B$186+$C$186+$D$186+$E$186)&gt;=25000,0,(((25000-($B$186+$C$186+$D$186+$E$186+$F$186))/+$AH547)*T547)*(VLOOKUP('1. SUMMARY'!$C$20,rate,Sheet1!W$21,0))))))))</f>
        <v>0</v>
      </c>
      <c r="U548" s="415">
        <f>IF(U547=0,0,(IF(($B$186+$C$186+$D$186+$E$186+$F$186+$G$186)&lt;=25000,(($G$186/+$AH547)*U547)*VLOOKUP('1. SUMMARY'!$C$20,rate,Sheet1!X$21,0),((IF(($F$186+$B$186+$C$186+$D$186+$E$186)&gt;=25000,0,(((25000-($B$186+$C$186+$D$186+$E$186+$F$186))/+$AH547)*U547)*(VLOOKUP('1. SUMMARY'!$C$20,rate,Sheet1!X$21,0))))))))</f>
        <v>0</v>
      </c>
      <c r="V548" s="415">
        <f>IF(V547=0,0,(IF(($B$186+$C$186+$D$186+$E$186+$F$186+$G$186)&lt;=25000,(($G$186/+$AH547)*V547)*VLOOKUP('1. SUMMARY'!$C$20,rate,Sheet1!Y$21,0),((IF(($F$186+$B$186+$C$186+$D$186+$E$186)&gt;=25000,0,(((25000-($B$186+$C$186+$D$186+$E$186+$F$186))/+$AH547)*V547)*(VLOOKUP('1. SUMMARY'!$C$20,rate,Sheet1!Y$21,0))))))))</f>
        <v>0</v>
      </c>
      <c r="W548" s="415">
        <f>IF(W547=0,0,(IF(($B$186+$C$186+$D$186+$E$186+$F$186+$G$186)&lt;=25000,(($G$186/+$AH547)*W547)*VLOOKUP('1. SUMMARY'!$C$20,rate,Sheet1!Z$21,0),((IF(($F$186+$B$186+$C$186+$D$186+$E$186)&gt;=25000,0,(((25000-($B$186+$C$186+$D$186+$E$186+$F$186))/+$AH547)*W547)*(VLOOKUP('1. SUMMARY'!$C$20,rate,Sheet1!Z$21,0))))))))</f>
        <v>0</v>
      </c>
      <c r="X548" s="415">
        <f>IF(X547=0,0,(IF(($B$186+$C$186+$D$186+$E$186+$F$186+$G$186)&lt;=25000,(($G$186/+$AH547)*X547)*VLOOKUP('1. SUMMARY'!$C$20,rate,Sheet1!AA$21,0),((IF(($F$186+$B$186+$C$186+$D$186+$E$186)&gt;=25000,0,(((25000-($B$186+$C$186+$D$186+$E$186+$F$186))/+$AH547)*X547)*(VLOOKUP('1. SUMMARY'!$C$20,rate,Sheet1!AA$21,0))))))))</f>
        <v>0</v>
      </c>
      <c r="Y548" s="415">
        <f>IF(Y547=0,0,(IF(($B$186+$C$186+$D$186+$E$186+$F$186+$G$186)&lt;=25000,(($G$186/+$AH547)*Y547)*VLOOKUP('1. SUMMARY'!$C$20,rate,Sheet1!AB$21,0),((IF(($F$186+$B$186+$C$186+$D$186+$E$186)&gt;=25000,0,(((25000-($B$186+$C$186+$D$186+$E$186+$F$186))/+$AH547)*Y547)*(VLOOKUP('1. SUMMARY'!$C$20,rate,Sheet1!AB$21,0))))))))</f>
        <v>0</v>
      </c>
      <c r="Z548" s="415">
        <f>IF(Z547=0,0,(IF(($B$186+$C$186+$D$186+$E$186+$F$186+$G$186)&lt;=25000,(($G$186/+$AH547)*Z547)*VLOOKUP('1. SUMMARY'!$C$20,rate,Sheet1!AC$21,0),((IF(($F$186+$B$186+$C$186+$D$186+$E$186)&gt;=25000,0,(((25000-($B$186+$C$186+$D$186+$E$186+$F$186))/+$AH547)*Z547)*(VLOOKUP('1. SUMMARY'!$C$20,rate,Sheet1!AC$21,0))))))))</f>
        <v>0</v>
      </c>
      <c r="AA548" s="415">
        <f>IF(AA547=0,0,(IF(($B$186+$C$186+$D$186+$E$186+$F$186+$G$186)&lt;=25000,(($G$186/+$AH547)*AA547)*VLOOKUP('1. SUMMARY'!$C$20,rate,Sheet1!AD$21,0),((IF(($F$186+$B$186+$C$186+$D$186+$E$186)&gt;=25000,0,(((25000-($B$186+$C$186+$D$186+$E$186+$F$186))/+$AH547)*AA547)*(VLOOKUP('1. SUMMARY'!$C$20,rate,Sheet1!AD$21,0))))))))</f>
        <v>0</v>
      </c>
      <c r="AB548" s="415">
        <f>IF(AB547=0,0,(IF(($B$186+$C$186+$D$186+$E$186+$F$186+$G$186)&lt;=25000,(($G$186/+$AH547)*AB547)*VLOOKUP('1. SUMMARY'!$C$20,rate,Sheet1!AE$21,0),((IF(($F$186+$B$186+$C$186+$D$186+$E$186)&gt;=25000,0,(((25000-($B$186+$C$186+$D$186+$E$186+$F$186))/+$AH547)*AB547)*(VLOOKUP('1. SUMMARY'!$C$20,rate,Sheet1!AE$21,0))))))))</f>
        <v>0</v>
      </c>
      <c r="AC548" s="415">
        <f>IF(AC547=0,0,(IF(($B$186+$C$186+$D$186+$E$186+$F$186+$G$186)&lt;=25000,(($G$186/+$AH547)*AC547)*VLOOKUP('1. SUMMARY'!$C$20,rate,Sheet1!AF$21,0),((IF(($F$186+$B$186+$C$186+$D$186+$E$186)&gt;=25000,0,(((25000-($B$186+$C$186+$D$186+$E$186+$F$186))/+$AH547)*AC547)*(VLOOKUP('1. SUMMARY'!$C$20,rate,Sheet1!AF$21,0))))))))</f>
        <v>0</v>
      </c>
      <c r="AD548" s="415">
        <f>IF(AD547=0,0,(IF(($B$186+$C$186+$D$186+$E$186+$F$186+$G$186)&lt;=25000,(($G$186/+$AH547)*AD547)*VLOOKUP('1. SUMMARY'!$C$20,rate,Sheet1!AG$21,0),((IF(($F$186+$B$186+$C$186+$D$186+$E$186)&gt;=25000,0,(((25000-($B$186+$C$186+$D$186+$E$186+$F$186))/+$AH547)*AD547)*(VLOOKUP('1. SUMMARY'!$C$20,rate,Sheet1!AG$21,0))))))))</f>
        <v>0</v>
      </c>
      <c r="AE548" s="415">
        <f>IF(AE547=0,0,(IF(($B$186+$C$186+$D$186+$E$186+$F$186+$G$186)&lt;=25000,(($G$186/+$AH547)*AE547)*VLOOKUP('1. SUMMARY'!$C$20,rate,Sheet1!AH$21,0),((IF(($F$186+$B$186+$C$186+$D$186+$E$186)&gt;=25000,0,(((25000-($B$186+$C$186+$D$186+$E$186+$F$186))/+$AH547)*AE547)*(VLOOKUP('1. SUMMARY'!$C$20,rate,Sheet1!AH$21,0))))))))</f>
        <v>0</v>
      </c>
      <c r="AF548" s="415">
        <f>IF(AF547=0,0,(IF(($B$186+$C$186+$D$186+$E$186+$F$186+$G$186)&lt;=25000,(($G$186/+$AH547)*AF547)*VLOOKUP('1. SUMMARY'!$C$20,rate,Sheet1!AI$21,0),((IF(($F$186+$B$186+$C$186+$D$186+$E$186)&gt;=25000,0,(((25000-($B$186+$C$186+$D$186+$E$186+$F$186))/+$AH547)*AF547)*(VLOOKUP('1. SUMMARY'!$C$20,rate,Sheet1!AI$21,0))))))))</f>
        <v>0</v>
      </c>
      <c r="AG548" s="415">
        <f>IF(AG547=0,0,(IF(($B$186+$C$186+$D$186+$E$186+$F$186+$G$186)&lt;=25000,(($G$186/+$AH547)*AG547)*VLOOKUP('1. SUMMARY'!$C$20,rate,Sheet1!AJ$21,0),((IF(($F$186+$B$186+$C$186+$D$186+$E$186)&gt;=25000,0,(((25000-($B$186+$C$186+$D$186+$E$186+$F$186))/+$AH547)*AG547)*(VLOOKUP('1. SUMMARY'!$C$20,rate,Sheet1!AJ$21,0))))))))</f>
        <v>0</v>
      </c>
      <c r="AH548" s="219">
        <f>SUM(Q548:AG548)</f>
        <v>0</v>
      </c>
      <c r="AI548" s="415">
        <f>IF(AI547=0,0,((+$G186/$AZ547)*AI547)*VLOOKUP('1. SUMMARY'!$C$20,rate,Sheet1!T$21,0))</f>
        <v>0</v>
      </c>
      <c r="AJ548" s="415">
        <f>IF(AJ547=0,0,((+$G186/$AZ547)*AJ547)*VLOOKUP('1. SUMMARY'!$C$20,rate,Sheet1!U$21,0))</f>
        <v>0</v>
      </c>
      <c r="AK548" s="415">
        <f>IF(AK547=0,0,((+$G186/$AZ547)*AK547)*VLOOKUP('1. SUMMARY'!$C$20,rate,Sheet1!V$21,0))</f>
        <v>0</v>
      </c>
      <c r="AL548" s="415">
        <f>IF(AL547=0,0,((+$G186/$AZ547)*AL547)*VLOOKUP('1. SUMMARY'!$C$20,rate,Sheet1!W$21,0))</f>
        <v>0</v>
      </c>
      <c r="AM548" s="415">
        <f>IF(AM547=0,0,((+$G186/$AZ547)*AM547)*VLOOKUP('1. SUMMARY'!$C$20,rate,Sheet1!X$21,0))</f>
        <v>0</v>
      </c>
      <c r="AN548" s="415">
        <f>IF(AN547=0,0,((+$G186/$AZ547)*AN547)*VLOOKUP('1. SUMMARY'!$C$20,rate,Sheet1!Y$21,0))</f>
        <v>0</v>
      </c>
      <c r="AO548" s="415">
        <f>IF(AO547=0,0,((+$G186/$AZ547)*AO547)*VLOOKUP('1. SUMMARY'!$C$20,rate,Sheet1!Z$21,0))</f>
        <v>0</v>
      </c>
      <c r="AP548" s="415">
        <f>IF(AP547=0,0,((+$G186/$AZ547)*AP547)*VLOOKUP('1. SUMMARY'!$C$20,rate,Sheet1!AA$21,0))</f>
        <v>0</v>
      </c>
      <c r="AQ548" s="415">
        <f>IF(AQ547=0,0,((+$G186/$AZ547)*AQ547)*VLOOKUP('1. SUMMARY'!$C$20,rate,Sheet1!AB$21,0))</f>
        <v>0</v>
      </c>
      <c r="AR548" s="415">
        <f>IF(AR547=0,0,((+$G186/$AZ547)*AR547)*VLOOKUP('1. SUMMARY'!$C$20,rate,Sheet1!AC$21,0))</f>
        <v>0</v>
      </c>
      <c r="AS548" s="415">
        <f>IF(AS547=0,0,((+$G186/$AZ547)*AS547)*VLOOKUP('1. SUMMARY'!$C$20,rate,Sheet1!AD$21,0))</f>
        <v>0</v>
      </c>
      <c r="AT548" s="415">
        <f>IF(AT547=0,0,((+$G186/$AZ547)*AT547)*VLOOKUP('1. SUMMARY'!$C$20,rate,Sheet1!AE$21,0))</f>
        <v>0</v>
      </c>
      <c r="AU548" s="415">
        <f>IF(AU547=0,0,((+$G186/$AZ547)*AU547)*VLOOKUP('1. SUMMARY'!$C$20,rate,Sheet1!AF$21,0))</f>
        <v>0</v>
      </c>
      <c r="AV548" s="415">
        <f>IF(AV547=0,0,((+$G186/$AZ547)*AV547)*VLOOKUP('1. SUMMARY'!$C$20,rate,Sheet1!AG$21,0))</f>
        <v>0</v>
      </c>
      <c r="AW548" s="415">
        <f>IF(AW547=0,0,((+$G186/$AZ547)*AW547)*VLOOKUP('1. SUMMARY'!$C$20,rate,Sheet1!AH$21,0))</f>
        <v>0</v>
      </c>
      <c r="AX548" s="415">
        <f>IF(AX547=0,0,((+$G186/$AZ547)*AX547)*VLOOKUP('1. SUMMARY'!$C$20,rate,Sheet1!AI$21,0))</f>
        <v>0</v>
      </c>
      <c r="AY548" s="415">
        <f>IF(AY547=0,0,((+$G186/$AZ547)*AY547)*VLOOKUP('1. SUMMARY'!$C$20,rate,Sheet1!AJ$21,0))</f>
        <v>0</v>
      </c>
      <c r="AZ548" s="415">
        <f>SUM(AI548:AY548)</f>
        <v>0</v>
      </c>
    </row>
    <row r="549" spans="16:52" hidden="1">
      <c r="P549" s="207">
        <f t="shared" si="247"/>
        <v>0</v>
      </c>
      <c r="Q549" s="415">
        <f>+Q548/VLOOKUP('1. SUMMARY'!$C$20,rate,Sheet1!T$21,0)</f>
        <v>0</v>
      </c>
      <c r="R549" s="415">
        <f>+R548/VLOOKUP('1. SUMMARY'!$C$20,rate,Sheet1!U$21,0)</f>
        <v>0</v>
      </c>
      <c r="S549" s="415">
        <f>+S548/VLOOKUP('1. SUMMARY'!$C$20,rate,Sheet1!V$21,0)</f>
        <v>0</v>
      </c>
      <c r="T549" s="415">
        <f>+T548/VLOOKUP('1. SUMMARY'!$C$20,rate,Sheet1!W$21,0)</f>
        <v>0</v>
      </c>
      <c r="U549" s="415">
        <f>+U548/VLOOKUP('1. SUMMARY'!$C$20,rate,Sheet1!X$21,0)</f>
        <v>0</v>
      </c>
      <c r="V549" s="415">
        <f>+V548/VLOOKUP('1. SUMMARY'!$C$20,rate,Sheet1!Y$21,0)</f>
        <v>0</v>
      </c>
      <c r="W549" s="415">
        <f>+W548/VLOOKUP('1. SUMMARY'!$C$20,rate,Sheet1!Z$21,0)</f>
        <v>0</v>
      </c>
      <c r="X549" s="415">
        <f>+X548/VLOOKUP('1. SUMMARY'!$C$20,rate,Sheet1!AA$21,0)</f>
        <v>0</v>
      </c>
      <c r="Y549" s="415">
        <f>+Y548/VLOOKUP('1. SUMMARY'!$C$20,rate,Sheet1!AB$21,0)</f>
        <v>0</v>
      </c>
      <c r="Z549" s="415">
        <f>+Z548/VLOOKUP('1. SUMMARY'!$C$20,rate,Sheet1!AC$21,0)</f>
        <v>0</v>
      </c>
      <c r="AA549" s="415">
        <f>+AA548/VLOOKUP('1. SUMMARY'!$C$20,rate,Sheet1!AD$21,0)</f>
        <v>0</v>
      </c>
      <c r="AB549" s="415">
        <f>+AB548/VLOOKUP('1. SUMMARY'!$C$20,rate,Sheet1!AE$21,0)</f>
        <v>0</v>
      </c>
      <c r="AC549" s="415">
        <f>+AC548/VLOOKUP('1. SUMMARY'!$C$20,rate,Sheet1!AF$21,0)</f>
        <v>0</v>
      </c>
      <c r="AD549" s="415">
        <f>+AD548/VLOOKUP('1. SUMMARY'!$C$20,rate,Sheet1!AG$21,0)</f>
        <v>0</v>
      </c>
      <c r="AE549" s="415">
        <f>+AE548/VLOOKUP('1. SUMMARY'!$C$20,rate,Sheet1!AH$21,0)</f>
        <v>0</v>
      </c>
      <c r="AF549" s="415">
        <f>+AF548/VLOOKUP('1. SUMMARY'!$C$20,rate,Sheet1!AI$21,0)</f>
        <v>0</v>
      </c>
      <c r="AG549" s="415">
        <f>+AG548/VLOOKUP('1. SUMMARY'!$C$20,rate,Sheet1!AJ$21,0)</f>
        <v>0</v>
      </c>
      <c r="AH549" s="219">
        <f>SUM(Q549:AG549)</f>
        <v>0</v>
      </c>
      <c r="AI549" s="415"/>
      <c r="AJ549" s="415"/>
      <c r="AK549" s="415"/>
      <c r="AL549" s="415"/>
      <c r="AM549" s="415"/>
      <c r="AN549" s="415"/>
      <c r="AO549" s="415"/>
      <c r="AP549" s="415"/>
      <c r="AQ549" s="415"/>
      <c r="AR549" s="415"/>
      <c r="AS549" s="415"/>
      <c r="AT549" s="415"/>
      <c r="AU549" s="415"/>
      <c r="AV549" s="415"/>
      <c r="AW549" s="415"/>
      <c r="AX549" s="415"/>
      <c r="AY549" s="415"/>
      <c r="AZ549" s="415"/>
    </row>
    <row r="550" spans="16:52" hidden="1">
      <c r="P550" s="207">
        <f t="shared" si="247"/>
        <v>0</v>
      </c>
      <c r="Q550" s="411">
        <f>Sheet1!$T$8</f>
        <v>44105</v>
      </c>
      <c r="R550" s="411">
        <f>Sheet1!$U$8</f>
        <v>44470</v>
      </c>
      <c r="S550" s="411">
        <f>Sheet1!$V$8</f>
        <v>44835</v>
      </c>
      <c r="T550" s="411">
        <f>Sheet1!$W$8</f>
        <v>45200</v>
      </c>
      <c r="U550" s="411">
        <f>Sheet1!$X$8</f>
        <v>45566</v>
      </c>
      <c r="V550" s="411">
        <f>Sheet1!$Y$8</f>
        <v>45931</v>
      </c>
      <c r="W550" s="411">
        <f>Sheet1!$Z$8</f>
        <v>46296</v>
      </c>
      <c r="X550" s="411">
        <f>Sheet1!$AA$8</f>
        <v>46661</v>
      </c>
      <c r="Y550" s="411">
        <f>Sheet1!$AB$8</f>
        <v>47027</v>
      </c>
      <c r="Z550" s="411">
        <f>Sheet1!$AC$8</f>
        <v>47392</v>
      </c>
      <c r="AA550" s="411">
        <f>$AA$5</f>
        <v>47757</v>
      </c>
      <c r="AB550" s="411">
        <f>$AB$5</f>
        <v>48122</v>
      </c>
      <c r="AC550" s="411">
        <f>$AC$5</f>
        <v>48488</v>
      </c>
      <c r="AD550" s="411">
        <f>$AD$5</f>
        <v>48853</v>
      </c>
      <c r="AE550" s="411">
        <f>$AE$5</f>
        <v>49218</v>
      </c>
      <c r="AF550" s="411">
        <f>$AF$5</f>
        <v>49583</v>
      </c>
      <c r="AG550" s="411">
        <f>$AG$5</f>
        <v>49949</v>
      </c>
      <c r="AH550" s="219"/>
      <c r="AI550" s="411">
        <f t="shared" ref="AI550:AR552" si="250">+Q550</f>
        <v>44105</v>
      </c>
      <c r="AJ550" s="411">
        <f t="shared" si="250"/>
        <v>44470</v>
      </c>
      <c r="AK550" s="411">
        <f t="shared" si="250"/>
        <v>44835</v>
      </c>
      <c r="AL550" s="411">
        <f t="shared" si="250"/>
        <v>45200</v>
      </c>
      <c r="AM550" s="411">
        <f t="shared" si="250"/>
        <v>45566</v>
      </c>
      <c r="AN550" s="411">
        <f t="shared" si="250"/>
        <v>45931</v>
      </c>
      <c r="AO550" s="411">
        <f t="shared" si="250"/>
        <v>46296</v>
      </c>
      <c r="AP550" s="411">
        <f t="shared" si="250"/>
        <v>46661</v>
      </c>
      <c r="AQ550" s="411">
        <f t="shared" si="250"/>
        <v>47027</v>
      </c>
      <c r="AR550" s="411">
        <f t="shared" si="250"/>
        <v>47392</v>
      </c>
      <c r="AS550" s="411">
        <f t="shared" ref="AS550:AY552" si="251">+AA550</f>
        <v>47757</v>
      </c>
      <c r="AT550" s="411">
        <f t="shared" si="251"/>
        <v>48122</v>
      </c>
      <c r="AU550" s="411">
        <f t="shared" si="251"/>
        <v>48488</v>
      </c>
      <c r="AV550" s="411">
        <f t="shared" si="251"/>
        <v>48853</v>
      </c>
      <c r="AW550" s="411">
        <f t="shared" si="251"/>
        <v>49218</v>
      </c>
      <c r="AX550" s="411">
        <f t="shared" si="251"/>
        <v>49583</v>
      </c>
      <c r="AY550" s="411">
        <f t="shared" si="251"/>
        <v>49949</v>
      </c>
      <c r="AZ550" s="411"/>
    </row>
    <row r="551" spans="16:52" hidden="1">
      <c r="P551" s="207">
        <f t="shared" si="247"/>
        <v>0</v>
      </c>
      <c r="Q551" s="411">
        <f>Sheet1!$T$9</f>
        <v>44469</v>
      </c>
      <c r="R551" s="411">
        <f>Sheet1!$U$9</f>
        <v>44834</v>
      </c>
      <c r="S551" s="411">
        <f>Sheet1!$V$9</f>
        <v>45199</v>
      </c>
      <c r="T551" s="411">
        <f>Sheet1!$W$9</f>
        <v>45565</v>
      </c>
      <c r="U551" s="411">
        <f>Sheet1!$X$9</f>
        <v>45930</v>
      </c>
      <c r="V551" s="411">
        <f>Sheet1!$Y$9</f>
        <v>46295</v>
      </c>
      <c r="W551" s="411">
        <f>Sheet1!$Z$9</f>
        <v>46660</v>
      </c>
      <c r="X551" s="411">
        <f>Sheet1!$AA$9</f>
        <v>47026</v>
      </c>
      <c r="Y551" s="411">
        <f>Sheet1!$AB$9</f>
        <v>47391</v>
      </c>
      <c r="Z551" s="411">
        <f>Sheet1!$AC$9</f>
        <v>47756</v>
      </c>
      <c r="AA551" s="411">
        <f>$AA$6</f>
        <v>48121</v>
      </c>
      <c r="AB551" s="411">
        <f>$AB$6</f>
        <v>48487</v>
      </c>
      <c r="AC551" s="411">
        <f>$AC$6</f>
        <v>48852</v>
      </c>
      <c r="AD551" s="411">
        <f>$AD$6</f>
        <v>49217</v>
      </c>
      <c r="AE551" s="411">
        <f>$AE$6</f>
        <v>49582</v>
      </c>
      <c r="AF551" s="411">
        <f>$AF$6</f>
        <v>49948</v>
      </c>
      <c r="AG551" s="411">
        <f>$AG$6</f>
        <v>50313</v>
      </c>
      <c r="AH551" s="219"/>
      <c r="AI551" s="411">
        <f t="shared" si="250"/>
        <v>44469</v>
      </c>
      <c r="AJ551" s="411">
        <f t="shared" si="250"/>
        <v>44834</v>
      </c>
      <c r="AK551" s="411">
        <f t="shared" si="250"/>
        <v>45199</v>
      </c>
      <c r="AL551" s="411">
        <f t="shared" si="250"/>
        <v>45565</v>
      </c>
      <c r="AM551" s="411">
        <f t="shared" si="250"/>
        <v>45930</v>
      </c>
      <c r="AN551" s="411">
        <f t="shared" si="250"/>
        <v>46295</v>
      </c>
      <c r="AO551" s="411">
        <f t="shared" si="250"/>
        <v>46660</v>
      </c>
      <c r="AP551" s="411">
        <f t="shared" si="250"/>
        <v>47026</v>
      </c>
      <c r="AQ551" s="411">
        <f t="shared" si="250"/>
        <v>47391</v>
      </c>
      <c r="AR551" s="411">
        <f t="shared" si="250"/>
        <v>47756</v>
      </c>
      <c r="AS551" s="411">
        <f t="shared" si="251"/>
        <v>48121</v>
      </c>
      <c r="AT551" s="411">
        <f t="shared" si="251"/>
        <v>48487</v>
      </c>
      <c r="AU551" s="411">
        <f t="shared" si="251"/>
        <v>48852</v>
      </c>
      <c r="AV551" s="411">
        <f t="shared" si="251"/>
        <v>49217</v>
      </c>
      <c r="AW551" s="411">
        <f t="shared" si="251"/>
        <v>49582</v>
      </c>
      <c r="AX551" s="411">
        <f t="shared" si="251"/>
        <v>49948</v>
      </c>
      <c r="AY551" s="411">
        <f t="shared" si="251"/>
        <v>50313</v>
      </c>
      <c r="AZ551" s="411"/>
    </row>
    <row r="552" spans="16:52" hidden="1">
      <c r="P552" s="207">
        <f t="shared" si="247"/>
        <v>0</v>
      </c>
      <c r="Q552" s="412">
        <f>IF(IF(Q551&lt;$H$27,0,DATEDIF($H$27,Q551+1,"m"))&lt;0,0,IF(Q551&lt;$H$27,0,DATEDIF($H$27,Q551+1,"m")))</f>
        <v>0</v>
      </c>
      <c r="R552" s="412">
        <f>IF(IF(Q552=12,0,IF(R551&gt;$H$28,12-DATEDIF($H$28,R551+1,"m"),IF(R551&lt;$H$27,0,DATEDIF($H$27,R551+1,"m"))))&lt;0,0,IF(Q552=12,0,IF(R551&gt;$H$28,12-DATEDIF($H$28,R551+1,"m"),IF(R551&lt;$H$27,0,DATEDIF($H$27,R551+1,"m")))))</f>
        <v>0</v>
      </c>
      <c r="S552" s="412">
        <f>IF(IF(Q552+R552=12,0,IF(S551&gt;$H$28,12-DATEDIF($H$28,S551+1,"m"),IF(S551&lt;$H$27,0,DATEDIF($H$27,S551+1,"m"))))&lt;0,0,IF(Q552+R552=12,0,IF(S551&gt;$H$28,12-DATEDIF($H$28,S551+1,"m"),IF(S551&lt;$H$27,0,DATEDIF($H$27,S551+1,"m")))))</f>
        <v>0</v>
      </c>
      <c r="T552" s="412">
        <f>IF(IF(R552+S552+Q552=12,0,IF(T551&gt;$H$28,12-DATEDIF($H$28,T551+1,"m"),IF(T551&lt;$H$27,0,DATEDIF($H$27,T551+1,"m"))))&lt;0,0,IF(R552+S552+Q552=12,0,IF(T551&gt;$H$28,12-DATEDIF($H$28,T551+1,"m"),IF(T551&lt;$H$27,0,DATEDIF($H$27,T551+1,"m")))))</f>
        <v>0</v>
      </c>
      <c r="U552" s="412">
        <f>IF(IF(S552+T552+R552+Q552=12,0,IF(U551&gt;$H$28,12-DATEDIF($H$28,U551+1,"m"),IF(U551&lt;$H$27,0,DATEDIF($H$27,U551+1,"m"))))&lt;0,0,IF(S552+T552+R552+Q552=12,0,IF(U551&gt;$H$28,12-DATEDIF($H$28,U551+1,"m"),IF(U551&lt;$H$27,0,DATEDIF($H$27,U551+1,"m")))))</f>
        <v>0</v>
      </c>
      <c r="V552" s="412">
        <f>IF(IF(T552+U552+S552+R552+Q552=12,0,IF(V551&gt;$H$28,12-DATEDIF($H$28,V551+1,"m"),IF(V551&lt;$H$27,0,DATEDIF($H$27,V551+1,"m"))))&lt;0,0,IF(T552+U552+S552+R552+Q552=12,0,IF(V551&gt;$H$28,12-DATEDIF($H$28,V551+1,"m"),IF(V551&lt;$H$27,0,DATEDIF($H$27,V551+1,"m")))))</f>
        <v>0</v>
      </c>
      <c r="W552" s="412">
        <f>IF(IF(U552+V552+T552+S552+R552+Q552=12,0,IF(W551&gt;$H$28,12-DATEDIF($H$28,W551+1,"m"),IF(W551&lt;$H$27,0,DATEDIF($H$27,W551+1,"m"))))&lt;0,0,IF(U552+V552+T552+S552+R552+Q552=12,0,IF(W551&gt;$H$28,12-DATEDIF($H$28,W551+1,"m"),IF(W551&lt;$H$27,0,DATEDIF($H$27,W551+1,"m")))))</f>
        <v>0</v>
      </c>
      <c r="X552" s="412">
        <f>IF(IF(V552+W552+U552+T552+S552+R552+Q552=12,0,IF(X551&gt;$H$28,12-DATEDIF($H$28,X551+1,"m"),IF(X551&lt;$H$27,0,DATEDIF($H$27,X551+1,"m"))))&lt;0,0,IF(V552+W552+U552+T552+S552+R552+Q552=12,0,IF(X551&gt;$H$28,12-DATEDIF($H$28,X551+1,"m"),IF(X551&lt;$H$27,0,DATEDIF($H$27,X551+1,"m")))))</f>
        <v>0</v>
      </c>
      <c r="Y552" s="412">
        <f>IF(IF(W552+X552+V552+U552+T552+S552+R552+Q552=12,0,IF(Y551&gt;$H$28,12-DATEDIF($H$28,Y551+1,"m"),IF(Y551&lt;$H$27,0,DATEDIF($H$27,Y551+1,"m"))))&lt;0,0,IF(W552+X552+V552+U552+T552+S552+R552+Q552=12,0,IF(Y551&gt;$H$28,12-DATEDIF($H$28,Y551+1,"m"),IF(Y551&lt;$H$27,0,DATEDIF($H$27,Y551+1,"m")))))</f>
        <v>0</v>
      </c>
      <c r="Z552" s="412">
        <f>IF(IF(X552+Y552+W552+V552+U552+T552+S552+R552+Q552=12,0,IF(Z551&gt;$H$28,12-DATEDIF($H$28,Z551+1,"m"),IF(Z551&lt;$H$27,0,DATEDIF($H$27,Z551+1,"m"))))&lt;0,0,IF(X552+Y552+W552+V552+U552+T552+S552+R552+Q552=12,0,IF(Z551&gt;$H$28,12-DATEDIF($H$28,Z551+1,"m"),IF(Z551&lt;$H$27,0,DATEDIF($H$27,Z551+1,"m")))))</f>
        <v>0</v>
      </c>
      <c r="AA552" s="412">
        <f>IF(IF(Q552+R552+S552+Y552+Z552+X552+W552+V552+U552+T552=12,0,IF(AA551&gt;$H$28,12-DATEDIF($H$28,AA551+1,"m"),IF(AA551&lt;$H$27,0,DATEDIF($H$27,AA551+1,"m"))))&lt;0,0,IF(Q552+R552+S552+Y552+Z552+X552+W552+V552+U552+T552=12,0,IF(AA551&gt;$H$28,12-DATEDIF($H$28,AA551+1,"m"),IF(AA551&lt;$H$27,0,DATEDIF($H$27,AA551+1,"m")))))</f>
        <v>0</v>
      </c>
      <c r="AB552" s="412">
        <f>IF(IF(Q552+R552+S552+T552+Z552+AA552+Y552+X552+W552+V552+U552=12,0,IF(AB551&gt;$H$28,12-DATEDIF($H$28,AB551+1,"m"),IF(AB551&lt;$H$27,0,DATEDIF($H$27,AB551+1,"m"))))&lt;0,0,IF(Q552+R552+S552+T552+Z552+AA552+Y552+X552+W552+V552+U552=12,0,IF(AB551&gt;$H$28,12-DATEDIF($H$28,AB551+1,"m"),IF(AB551&lt;$H$27,0,DATEDIF($H$27,AB551+1,"m")))))</f>
        <v>0</v>
      </c>
      <c r="AC552" s="412">
        <f>IF(IF(Q552+R552+S552+T552+U552+AA552+AB552+Z552+Y552+X552+W552+V552=12,0,IF(AC551&gt;$H$28,12-DATEDIF($H$28,AC551+1,"m"),IF(AC551&lt;$H$27,0,DATEDIF($H$27,AC551+1,"m"))))&lt;0,0,IF(Q552+R552+S552+T552+U552+AA552+AB552+Z552+Y552+X552+W552+V552=12,0,IF(AC551&gt;$H$28,12-DATEDIF($H$28,AC551+1,"m"),IF(AC551&lt;$H$27,0,DATEDIF($H$27,AC551+1,"m")))))</f>
        <v>0</v>
      </c>
      <c r="AD552" s="412">
        <f>IF(IF(Q552+R552+S552+T552+U552+V552+AB552+AC552+AA552+Z552+Y552+X552+W552=12,0,IF(AD551&gt;$H$28,12-DATEDIF($H$28,AD551+1,"m"),IF(AD551&lt;$H$27,0,DATEDIF($H$27,AD551+1,"m"))))&lt;0,0,IF(Q552+R552+S552+T552+U552+V552+AB552+AC552+AA552+Z552+Y552+X552+W552=12,0,IF(AD551&gt;$H$28,12-DATEDIF($H$28,AD551+1,"m"),IF(AD551&lt;$H$27,0,DATEDIF($H$27,AD551+1,"m")))))</f>
        <v>0</v>
      </c>
      <c r="AE552" s="412">
        <f>IF(IF(Q552+R552+S552+T552+U552+V552+W552+AC552+AD552+AB552+AA552+Z552+Y552+X552=12,0,IF(AE551&gt;$H$28,12-DATEDIF($H$28,AE551+1,"m"),IF(AE551&lt;$H$27,0,DATEDIF($H$27,AE551+1,"m"))))&lt;0,0,IF(Q552+R552+S552+T552+U552+V552+W552+AC552+AD552+AB552+AA552+Z552+Y552+X552=12,0,IF(AE551&gt;$H$28,12-DATEDIF($H$28,AE551+1,"m"),IF(AE551&lt;$H$27,0,DATEDIF($H$27,AE551+1,"m")))))</f>
        <v>0</v>
      </c>
      <c r="AF552" s="412">
        <f>IF(IF(Q552+R552+S552+T552+U552+V552+W552+X552+AD552+AE552+AC552+AB552+AA552+Z552+Y552=12,0,IF(AF551&gt;$H$28,12-DATEDIF($H$28,AF551+1,"m"),IF(AF551&lt;$H$27,0,DATEDIF($H$27,AF551+1,"m"))))&lt;0,0,IF(Q552+R552+S552+T552+U552+V552+W552+X552+AD552+AE552+AC552+AB552+AA552+Z552+Y552=12,0,IF(AF551&gt;$H$28,12-DATEDIF($H$28,AF551+1,"m"),IF(AF551&lt;$H$27,0,DATEDIF($H$27,AF551+1,"m")))))</f>
        <v>0</v>
      </c>
      <c r="AG552" s="412">
        <f>IF(IF(Q552+R552+S552+T552+U552+V552+W552+X552+Y552+AE552+AF552+AD552+AC552+AB552+AA552+Z552=12,0,IF(AG551&gt;$H$28,12-DATEDIF($H$28,AG551+1,"m"),IF(AG551&lt;$H$27,0,DATEDIF($H$27,AG551+1,"m"))))&lt;0,0,IF(Q552+R552+S552+T552+U552+V552+W552+X552+Y552+AE552+AF552+AD552+AC552+AB552+AA552+Z552=12,0,IF(AG551&gt;$H$28,12-DATEDIF($H$28,AG551+1,"m"),IF(AG551&lt;$H$27,0,DATEDIF($H$27,AG551+1,"m")))))</f>
        <v>0</v>
      </c>
      <c r="AH552" s="423">
        <f>SUM(Q552:AG552)</f>
        <v>0</v>
      </c>
      <c r="AI552" s="425">
        <f t="shared" si="250"/>
        <v>0</v>
      </c>
      <c r="AJ552" s="425">
        <f t="shared" si="250"/>
        <v>0</v>
      </c>
      <c r="AK552" s="425">
        <f t="shared" si="250"/>
        <v>0</v>
      </c>
      <c r="AL552" s="425">
        <f t="shared" si="250"/>
        <v>0</v>
      </c>
      <c r="AM552" s="425">
        <f t="shared" si="250"/>
        <v>0</v>
      </c>
      <c r="AN552" s="425">
        <f t="shared" si="250"/>
        <v>0</v>
      </c>
      <c r="AO552" s="425">
        <f t="shared" si="250"/>
        <v>0</v>
      </c>
      <c r="AP552" s="425">
        <f t="shared" si="250"/>
        <v>0</v>
      </c>
      <c r="AQ552" s="425">
        <f t="shared" si="250"/>
        <v>0</v>
      </c>
      <c r="AR552" s="425">
        <f t="shared" si="250"/>
        <v>0</v>
      </c>
      <c r="AS552" s="425">
        <f t="shared" si="251"/>
        <v>0</v>
      </c>
      <c r="AT552" s="425">
        <f t="shared" si="251"/>
        <v>0</v>
      </c>
      <c r="AU552" s="425">
        <f t="shared" si="251"/>
        <v>0</v>
      </c>
      <c r="AV552" s="425">
        <f t="shared" si="251"/>
        <v>0</v>
      </c>
      <c r="AW552" s="425">
        <f t="shared" si="251"/>
        <v>0</v>
      </c>
      <c r="AX552" s="425">
        <f t="shared" si="251"/>
        <v>0</v>
      </c>
      <c r="AY552" s="425">
        <f t="shared" si="251"/>
        <v>0</v>
      </c>
      <c r="AZ552" s="425">
        <f>SUM(AI552:AY552)</f>
        <v>0</v>
      </c>
    </row>
    <row r="553" spans="16:52" hidden="1">
      <c r="P553" s="207">
        <f t="shared" si="247"/>
        <v>0</v>
      </c>
      <c r="Q553" s="412">
        <f>IF(Q552=0,0,(IF(($B$186+$C$186+$D$186+$E$186+$F$186+$G$186+$H$186)&lt;=25000,(($H$186/+$AH552)*Q552)*VLOOKUP('1. SUMMARY'!$C$20,rate,Sheet1!T$21,0),((IF(($F$186+$B$186+$C$186+$D$186+$E$186+$G$186)&gt;=25000,0,(((25000-($B$186+$C$186+$D$186+$E$186+$F$186+$G$186))/+$AH552)*Q552)*(VLOOKUP('1. SUMMARY'!$C$20,rate,Sheet1!T$21,0))))))))</f>
        <v>0</v>
      </c>
      <c r="R553" s="412">
        <f>IF(R552=0,0,(IF(($B$186+$C$186+$D$186+$E$186+$F$186+$G$186+$H$186)&lt;=25000,(($H$186/+$AH552)*R552)*VLOOKUP('1. SUMMARY'!$C$20,rate,Sheet1!U$21,0),((IF(($F$186+$B$186+$C$186+$D$186+$E$186+$G$186)&gt;=25000,0,(((25000-($B$186+$C$186+$D$186+$E$186+$F$186+$G$186))/+$AH552)*R552)*(VLOOKUP('1. SUMMARY'!$C$20,rate,Sheet1!U$21,0))))))))</f>
        <v>0</v>
      </c>
      <c r="S553" s="412">
        <f>IF(S552=0,0,(IF(($B$186+$C$186+$D$186+$E$186+$F$186+$G$186+$H$186)&lt;=25000,(($H$186/+$AH552)*S552)*VLOOKUP('1. SUMMARY'!$C$20,rate,Sheet1!V$21,0),((IF(($F$186+$B$186+$C$186+$D$186+$E$186+$G$186)&gt;=25000,0,(((25000-($B$186+$C$186+$D$186+$E$186+$F$186+$G$186))/+$AH552)*S552)*(VLOOKUP('1. SUMMARY'!$C$20,rate,Sheet1!V$21,0))))))))</f>
        <v>0</v>
      </c>
      <c r="T553" s="412">
        <f>IF(T552=0,0,(IF(($B$186+$C$186+$D$186+$E$186+$F$186+$G$186+$H$186)&lt;=25000,(($H$186/+$AH552)*T552)*VLOOKUP('1. SUMMARY'!$C$20,rate,Sheet1!W$21,0),((IF(($F$186+$B$186+$C$186+$D$186+$E$186+$G$186)&gt;=25000,0,(((25000-($B$186+$C$186+$D$186+$E$186+$F$186+$G$186))/+$AH552)*T552)*(VLOOKUP('1. SUMMARY'!$C$20,rate,Sheet1!W$21,0))))))))</f>
        <v>0</v>
      </c>
      <c r="U553" s="412">
        <f>IF(U552=0,0,(IF(($B$186+$C$186+$D$186+$E$186+$F$186+$G$186+$H$186)&lt;=25000,(($H$186/+$AH552)*U552)*VLOOKUP('1. SUMMARY'!$C$20,rate,Sheet1!X$21,0),((IF(($F$186+$B$186+$C$186+$D$186+$E$186+$G$186)&gt;=25000,0,(((25000-($B$186+$C$186+$D$186+$E$186+$F$186+$G$186))/+$AH552)*U552)*(VLOOKUP('1. SUMMARY'!$C$20,rate,Sheet1!X$21,0))))))))</f>
        <v>0</v>
      </c>
      <c r="V553" s="412">
        <f>IF(V552=0,0,(IF(($B$186+$C$186+$D$186+$E$186+$F$186+$G$186+$H$186)&lt;=25000,(($H$186/+$AH552)*V552)*VLOOKUP('1. SUMMARY'!$C$20,rate,Sheet1!Y$21,0),((IF(($F$186+$B$186+$C$186+$D$186+$E$186+$G$186)&gt;=25000,0,(((25000-($B$186+$C$186+$D$186+$E$186+$F$186+$G$186))/+$AH552)*V552)*(VLOOKUP('1. SUMMARY'!$C$20,rate,Sheet1!Y$21,0))))))))</f>
        <v>0</v>
      </c>
      <c r="W553" s="412">
        <f>IF(W552=0,0,(IF(($B$186+$C$186+$D$186+$E$186+$F$186+$G$186+$H$186)&lt;=25000,(($H$186/+$AH552)*W552)*VLOOKUP('1. SUMMARY'!$C$20,rate,Sheet1!Z$21,0),((IF(($F$186+$B$186+$C$186+$D$186+$E$186+$G$186)&gt;=25000,0,(((25000-($B$186+$C$186+$D$186+$E$186+$F$186+$G$186))/+$AH552)*W552)*(VLOOKUP('1. SUMMARY'!$C$20,rate,Sheet1!Z$21,0))))))))</f>
        <v>0</v>
      </c>
      <c r="X553" s="412">
        <f>IF(X552=0,0,(IF(($B$186+$C$186+$D$186+$E$186+$F$186+$G$186+$H$186)&lt;=25000,(($H$186/+$AH552)*X552)*VLOOKUP('1. SUMMARY'!$C$20,rate,Sheet1!AA$21,0),((IF(($F$186+$B$186+$C$186+$D$186+$E$186+$G$186)&gt;=25000,0,(((25000-($B$186+$C$186+$D$186+$E$186+$F$186+$G$186))/+$AH552)*X552)*(VLOOKUP('1. SUMMARY'!$C$20,rate,Sheet1!AA$21,0))))))))</f>
        <v>0</v>
      </c>
      <c r="Y553" s="412">
        <f>IF(Y552=0,0,(IF(($B$186+$C$186+$D$186+$E$186+$F$186+$G$186+$H$186)&lt;=25000,(($H$186/+$AH552)*Y552)*VLOOKUP('1. SUMMARY'!$C$20,rate,Sheet1!AB$21,0),((IF(($F$186+$B$186+$C$186+$D$186+$E$186+$G$186)&gt;=25000,0,(((25000-($B$186+$C$186+$D$186+$E$186+$F$186+$G$186))/+$AH552)*Y552)*(VLOOKUP('1. SUMMARY'!$C$20,rate,Sheet1!AB$21,0))))))))</f>
        <v>0</v>
      </c>
      <c r="Z553" s="412">
        <f>IF(Z552=0,0,(IF(($B$186+$C$186+$D$186+$E$186+$F$186+$G$186+$H$186)&lt;=25000,(($H$186/+$AH552)*Z552)*VLOOKUP('1. SUMMARY'!$C$20,rate,Sheet1!AC$21,0),((IF(($F$186+$B$186+$C$186+$D$186+$E$186+$G$186)&gt;=25000,0,(((25000-($B$186+$C$186+$D$186+$E$186+$F$186+$G$186))/+$AH552)*Z552)*(VLOOKUP('1. SUMMARY'!$C$20,rate,Sheet1!AC$21,0))))))))</f>
        <v>0</v>
      </c>
      <c r="AA553" s="412">
        <f>IF(AA552=0,0,(IF(($B$186+$C$186+$D$186+$E$186+$F$186+$G$186+$H$186)&lt;=25000,(($H$186/+$AH552)*AA552)*VLOOKUP('1. SUMMARY'!$C$20,rate,Sheet1!AD$21,0),((IF(($F$186+$B$186+$C$186+$D$186+$E$186+$G$186)&gt;=25000,0,(((25000-($B$186+$C$186+$D$186+$E$186+$F$186+$G$186))/+$AH552)*AA552)*(VLOOKUP('1. SUMMARY'!$C$20,rate,Sheet1!AD$21,0))))))))</f>
        <v>0</v>
      </c>
      <c r="AB553" s="412">
        <f>IF(AB552=0,0,(IF(($B$186+$C$186+$D$186+$E$186+$F$186+$G$186+$H$186)&lt;=25000,(($H$186/+$AH552)*AB552)*VLOOKUP('1. SUMMARY'!$C$20,rate,Sheet1!AE$21,0),((IF(($F$186+$B$186+$C$186+$D$186+$E$186+$G$186)&gt;=25000,0,(((25000-($B$186+$C$186+$D$186+$E$186+$F$186+$G$186))/+$AH552)*AB552)*(VLOOKUP('1. SUMMARY'!$C$20,rate,Sheet1!AE$21,0))))))))</f>
        <v>0</v>
      </c>
      <c r="AC553" s="412">
        <f>IF(AC552=0,0,(IF(($B$186+$C$186+$D$186+$E$186+$F$186+$G$186+$H$186)&lt;=25000,(($H$186/+$AH552)*AC552)*VLOOKUP('1. SUMMARY'!$C$20,rate,Sheet1!AF$21,0),((IF(($F$186+$B$186+$C$186+$D$186+$E$186+$G$186)&gt;=25000,0,(((25000-($B$186+$C$186+$D$186+$E$186+$F$186+$G$186))/+$AH552)*AC552)*(VLOOKUP('1. SUMMARY'!$C$20,rate,Sheet1!AF$21,0))))))))</f>
        <v>0</v>
      </c>
      <c r="AD553" s="412">
        <f>IF(AD552=0,0,(IF(($B$186+$C$186+$D$186+$E$186+$F$186+$G$186+$H$186)&lt;=25000,(($H$186/+$AH552)*AD552)*VLOOKUP('1. SUMMARY'!$C$20,rate,Sheet1!AG$21,0),((IF(($F$186+$B$186+$C$186+$D$186+$E$186+$G$186)&gt;=25000,0,(((25000-($B$186+$C$186+$D$186+$E$186+$F$186+$G$186))/+$AH552)*AD552)*(VLOOKUP('1. SUMMARY'!$C$20,rate,Sheet1!AG$21,0))))))))</f>
        <v>0</v>
      </c>
      <c r="AE553" s="412">
        <f>IF(AE552=0,0,(IF(($B$186+$C$186+$D$186+$E$186+$F$186+$G$186+$H$186)&lt;=25000,(($H$186/+$AH552)*AE552)*VLOOKUP('1. SUMMARY'!$C$20,rate,Sheet1!AH$21,0),((IF(($F$186+$B$186+$C$186+$D$186+$E$186+$G$186)&gt;=25000,0,(((25000-($B$186+$C$186+$D$186+$E$186+$F$186+$G$186))/+$AH552)*AE552)*(VLOOKUP('1. SUMMARY'!$C$20,rate,Sheet1!AH$21,0))))))))</f>
        <v>0</v>
      </c>
      <c r="AF553" s="412">
        <f>IF(AF552=0,0,(IF(($B$186+$C$186+$D$186+$E$186+$F$186+$G$186+$H$186)&lt;=25000,(($H$186/+$AH552)*AF552)*VLOOKUP('1. SUMMARY'!$C$20,rate,Sheet1!AI$21,0),((IF(($F$186+$B$186+$C$186+$D$186+$E$186+$G$186)&gt;=25000,0,(((25000-($B$186+$C$186+$D$186+$E$186+$F$186+$G$186))/+$AH552)*AF552)*(VLOOKUP('1. SUMMARY'!$C$20,rate,Sheet1!AI$21,0))))))))</f>
        <v>0</v>
      </c>
      <c r="AG553" s="412">
        <f>IF(AG552=0,0,(IF(($B$186+$C$186+$D$186+$E$186+$F$186+$G$186+$H$186)&lt;=25000,(($H$186/+$AH552)*AG552)*VLOOKUP('1. SUMMARY'!$C$20,rate,Sheet1!AJ$21,0),((IF(($F$186+$B$186+$C$186+$D$186+$E$186+$G$186)&gt;=25000,0,(((25000-($B$186+$C$186+$D$186+$E$186+$F$186+$G$186))/+$AH552)*AG552)*(VLOOKUP('1. SUMMARY'!$C$20,rate,Sheet1!AJ$21,0))))))))</f>
        <v>0</v>
      </c>
      <c r="AH553" s="219">
        <f>SUM(Q553:AG553)</f>
        <v>0</v>
      </c>
      <c r="AI553" s="412">
        <f>IF(AI552=0,0,((+$H186/$AZ552)*AI552)*VLOOKUP('1. SUMMARY'!$C$20,rate,Sheet1!T$21,0))</f>
        <v>0</v>
      </c>
      <c r="AJ553" s="412">
        <f>IF(AJ552=0,0,((+$H186/$AZ552)*AJ552)*VLOOKUP('1. SUMMARY'!$C$20,rate,Sheet1!U$21,0))</f>
        <v>0</v>
      </c>
      <c r="AK553" s="412">
        <f>IF(AK552=0,0,((+$H186/$AZ552)*AK552)*VLOOKUP('1. SUMMARY'!$C$20,rate,Sheet1!V$21,0))</f>
        <v>0</v>
      </c>
      <c r="AL553" s="412">
        <f>IF(AL552=0,0,((+$H186/$AZ552)*AL552)*VLOOKUP('1. SUMMARY'!$C$20,rate,Sheet1!W$21,0))</f>
        <v>0</v>
      </c>
      <c r="AM553" s="412">
        <f>IF(AM552=0,0,((+$H186/$AZ552)*AM552)*VLOOKUP('1. SUMMARY'!$C$20,rate,Sheet1!X$21,0))</f>
        <v>0</v>
      </c>
      <c r="AN553" s="412">
        <f>IF(AN552=0,0,((+$H186/$AZ552)*AN552)*VLOOKUP('1. SUMMARY'!$C$20,rate,Sheet1!Y$21,0))</f>
        <v>0</v>
      </c>
      <c r="AO553" s="412">
        <f>IF(AO552=0,0,((+$H186/$AZ552)*AO552)*VLOOKUP('1. SUMMARY'!$C$20,rate,Sheet1!Z$21,0))</f>
        <v>0</v>
      </c>
      <c r="AP553" s="412">
        <f>IF(AP552=0,0,((+$H186/$AZ552)*AP552)*VLOOKUP('1. SUMMARY'!$C$20,rate,Sheet1!AA$21,0))</f>
        <v>0</v>
      </c>
      <c r="AQ553" s="412">
        <f>IF(AQ552=0,0,((+$H186/$AZ552)*AQ552)*VLOOKUP('1. SUMMARY'!$C$20,rate,Sheet1!AB$21,0))</f>
        <v>0</v>
      </c>
      <c r="AR553" s="412">
        <f>IF(AR552=0,0,((+$H186/$AZ552)*AR552)*VLOOKUP('1. SUMMARY'!$C$20,rate,Sheet1!AC$21,0))</f>
        <v>0</v>
      </c>
      <c r="AS553" s="412">
        <f>IF(AS552=0,0,((+$H186/$AZ552)*AS552)*VLOOKUP('1. SUMMARY'!$C$20,rate,Sheet1!AD$21,0))</f>
        <v>0</v>
      </c>
      <c r="AT553" s="412">
        <f>IF(AT552=0,0,((+$H186/$AZ552)*AT552)*VLOOKUP('1. SUMMARY'!$C$20,rate,Sheet1!AE$21,0))</f>
        <v>0</v>
      </c>
      <c r="AU553" s="412">
        <f>IF(AU552=0,0,((+$H186/$AZ552)*AU552)*VLOOKUP('1. SUMMARY'!$C$20,rate,Sheet1!AF$21,0))</f>
        <v>0</v>
      </c>
      <c r="AV553" s="412">
        <f>IF(AV552=0,0,((+$H186/$AZ552)*AV552)*VLOOKUP('1. SUMMARY'!$C$20,rate,Sheet1!AG$21,0))</f>
        <v>0</v>
      </c>
      <c r="AW553" s="412">
        <f>IF(AW552=0,0,((+$H186/$AZ552)*AW552)*VLOOKUP('1. SUMMARY'!$C$20,rate,Sheet1!AH$21,0))</f>
        <v>0</v>
      </c>
      <c r="AX553" s="412">
        <f>IF(AX552=0,0,((+$H186/$AZ552)*AX552)*VLOOKUP('1. SUMMARY'!$C$20,rate,Sheet1!AI$21,0))</f>
        <v>0</v>
      </c>
      <c r="AY553" s="412">
        <f>IF(AY552=0,0,((+$H186/$AZ552)*AY552)*VLOOKUP('1. SUMMARY'!$C$20,rate,Sheet1!AJ$21,0))</f>
        <v>0</v>
      </c>
      <c r="AZ553" s="412">
        <f>SUM(AI553:AY553)</f>
        <v>0</v>
      </c>
    </row>
    <row r="554" spans="16:52" hidden="1">
      <c r="P554" s="207">
        <f t="shared" si="247"/>
        <v>0</v>
      </c>
      <c r="Q554" s="412">
        <f>+Q553/VLOOKUP('1. SUMMARY'!$C$20,rate,Sheet1!T$21,0)</f>
        <v>0</v>
      </c>
      <c r="R554" s="412">
        <f>+R553/VLOOKUP('1. SUMMARY'!$C$20,rate,Sheet1!U$21,0)</f>
        <v>0</v>
      </c>
      <c r="S554" s="412">
        <f>+S553/VLOOKUP('1. SUMMARY'!$C$20,rate,Sheet1!V$21,0)</f>
        <v>0</v>
      </c>
      <c r="T554" s="412">
        <f>+T553/VLOOKUP('1. SUMMARY'!$C$20,rate,Sheet1!W$21,0)</f>
        <v>0</v>
      </c>
      <c r="U554" s="412">
        <f>+U553/VLOOKUP('1. SUMMARY'!$C$20,rate,Sheet1!X$21,0)</f>
        <v>0</v>
      </c>
      <c r="V554" s="412">
        <f>+V553/VLOOKUP('1. SUMMARY'!$C$20,rate,Sheet1!Y$21,0)</f>
        <v>0</v>
      </c>
      <c r="W554" s="412">
        <f>+W553/VLOOKUP('1. SUMMARY'!$C$20,rate,Sheet1!Z$21,0)</f>
        <v>0</v>
      </c>
      <c r="X554" s="412">
        <f>+X553/VLOOKUP('1. SUMMARY'!$C$20,rate,Sheet1!AA$21,0)</f>
        <v>0</v>
      </c>
      <c r="Y554" s="412">
        <f>+Y553/VLOOKUP('1. SUMMARY'!$C$20,rate,Sheet1!AB$21,0)</f>
        <v>0</v>
      </c>
      <c r="Z554" s="412">
        <f>+Z553/VLOOKUP('1. SUMMARY'!$C$20,rate,Sheet1!AC$21,0)</f>
        <v>0</v>
      </c>
      <c r="AA554" s="412">
        <f>+AA553/VLOOKUP('1. SUMMARY'!$C$20,rate,Sheet1!AD$21,0)</f>
        <v>0</v>
      </c>
      <c r="AB554" s="412">
        <f>+AB553/VLOOKUP('1. SUMMARY'!$C$20,rate,Sheet1!AE$21,0)</f>
        <v>0</v>
      </c>
      <c r="AC554" s="412">
        <f>+AC553/VLOOKUP('1. SUMMARY'!$C$20,rate,Sheet1!AF$21,0)</f>
        <v>0</v>
      </c>
      <c r="AD554" s="412">
        <f>+AD553/VLOOKUP('1. SUMMARY'!$C$20,rate,Sheet1!AG$21,0)</f>
        <v>0</v>
      </c>
      <c r="AE554" s="412">
        <f>+AE553/VLOOKUP('1. SUMMARY'!$C$20,rate,Sheet1!AH$21,0)</f>
        <v>0</v>
      </c>
      <c r="AF554" s="412">
        <f>+AF553/VLOOKUP('1. SUMMARY'!$C$20,rate,Sheet1!AI$21,0)</f>
        <v>0</v>
      </c>
      <c r="AG554" s="412">
        <f>+AG553/VLOOKUP('1. SUMMARY'!$C$20,rate,Sheet1!AJ$21,0)</f>
        <v>0</v>
      </c>
      <c r="AH554" s="219"/>
      <c r="AI554" s="412"/>
      <c r="AJ554" s="412"/>
      <c r="AK554" s="412"/>
      <c r="AL554" s="412"/>
      <c r="AM554" s="412"/>
      <c r="AN554" s="412"/>
      <c r="AO554" s="412"/>
      <c r="AP554" s="412"/>
      <c r="AQ554" s="412"/>
      <c r="AR554" s="412"/>
      <c r="AS554" s="412"/>
      <c r="AT554" s="412"/>
      <c r="AU554" s="412"/>
      <c r="AV554" s="412"/>
      <c r="AW554" s="412"/>
      <c r="AX554" s="412"/>
      <c r="AY554" s="412"/>
      <c r="AZ554" s="412"/>
    </row>
    <row r="555" spans="16:52" hidden="1">
      <c r="P555" s="207">
        <f t="shared" si="247"/>
        <v>0</v>
      </c>
      <c r="Q555" s="418">
        <f>Sheet1!$T$8</f>
        <v>44105</v>
      </c>
      <c r="R555" s="418">
        <f>Sheet1!$U$8</f>
        <v>44470</v>
      </c>
      <c r="S555" s="418">
        <f>Sheet1!$V$8</f>
        <v>44835</v>
      </c>
      <c r="T555" s="418">
        <f>Sheet1!$W$8</f>
        <v>45200</v>
      </c>
      <c r="U555" s="418">
        <f>Sheet1!$X$8</f>
        <v>45566</v>
      </c>
      <c r="V555" s="418">
        <f>Sheet1!$Y$8</f>
        <v>45931</v>
      </c>
      <c r="W555" s="418">
        <f>Sheet1!$Z$8</f>
        <v>46296</v>
      </c>
      <c r="X555" s="418">
        <f>Sheet1!$AA$8</f>
        <v>46661</v>
      </c>
      <c r="Y555" s="418">
        <f>Sheet1!$AB$8</f>
        <v>47027</v>
      </c>
      <c r="Z555" s="418">
        <f>Sheet1!$AC$8</f>
        <v>47392</v>
      </c>
      <c r="AA555" s="418">
        <f>$AA$5</f>
        <v>47757</v>
      </c>
      <c r="AB555" s="418">
        <f>$AB$5</f>
        <v>48122</v>
      </c>
      <c r="AC555" s="418">
        <f>$AC$5</f>
        <v>48488</v>
      </c>
      <c r="AD555" s="418">
        <f>$AD$5</f>
        <v>48853</v>
      </c>
      <c r="AE555" s="418">
        <f>$AE$5</f>
        <v>49218</v>
      </c>
      <c r="AF555" s="418">
        <f>$AF$5</f>
        <v>49583</v>
      </c>
      <c r="AG555" s="418">
        <f>$AG$5</f>
        <v>49949</v>
      </c>
      <c r="AH555" s="219"/>
      <c r="AI555" s="418">
        <f t="shared" ref="AI555:AR557" si="252">+Q555</f>
        <v>44105</v>
      </c>
      <c r="AJ555" s="418">
        <f t="shared" si="252"/>
        <v>44470</v>
      </c>
      <c r="AK555" s="418">
        <f t="shared" si="252"/>
        <v>44835</v>
      </c>
      <c r="AL555" s="418">
        <f t="shared" si="252"/>
        <v>45200</v>
      </c>
      <c r="AM555" s="418">
        <f t="shared" si="252"/>
        <v>45566</v>
      </c>
      <c r="AN555" s="418">
        <f t="shared" si="252"/>
        <v>45931</v>
      </c>
      <c r="AO555" s="418">
        <f t="shared" si="252"/>
        <v>46296</v>
      </c>
      <c r="AP555" s="418">
        <f t="shared" si="252"/>
        <v>46661</v>
      </c>
      <c r="AQ555" s="418">
        <f t="shared" si="252"/>
        <v>47027</v>
      </c>
      <c r="AR555" s="418">
        <f t="shared" si="252"/>
        <v>47392</v>
      </c>
      <c r="AS555" s="418">
        <f t="shared" ref="AS555:AY557" si="253">+AA555</f>
        <v>47757</v>
      </c>
      <c r="AT555" s="418">
        <f t="shared" si="253"/>
        <v>48122</v>
      </c>
      <c r="AU555" s="418">
        <f t="shared" si="253"/>
        <v>48488</v>
      </c>
      <c r="AV555" s="418">
        <f t="shared" si="253"/>
        <v>48853</v>
      </c>
      <c r="AW555" s="418">
        <f t="shared" si="253"/>
        <v>49218</v>
      </c>
      <c r="AX555" s="418">
        <f t="shared" si="253"/>
        <v>49583</v>
      </c>
      <c r="AY555" s="418">
        <f t="shared" si="253"/>
        <v>49949</v>
      </c>
      <c r="AZ555" s="418"/>
    </row>
    <row r="556" spans="16:52" hidden="1">
      <c r="P556" s="207">
        <f t="shared" si="247"/>
        <v>0</v>
      </c>
      <c r="Q556" s="418">
        <f>Sheet1!$T$9</f>
        <v>44469</v>
      </c>
      <c r="R556" s="418">
        <f>Sheet1!$U$9</f>
        <v>44834</v>
      </c>
      <c r="S556" s="418">
        <f>Sheet1!$V$9</f>
        <v>45199</v>
      </c>
      <c r="T556" s="418">
        <f>Sheet1!$W$9</f>
        <v>45565</v>
      </c>
      <c r="U556" s="418">
        <f>Sheet1!$X$9</f>
        <v>45930</v>
      </c>
      <c r="V556" s="418">
        <f>Sheet1!$Y$9</f>
        <v>46295</v>
      </c>
      <c r="W556" s="418">
        <f>Sheet1!$Z$9</f>
        <v>46660</v>
      </c>
      <c r="X556" s="418">
        <f>Sheet1!$AA$9</f>
        <v>47026</v>
      </c>
      <c r="Y556" s="418">
        <f>Sheet1!$AB$9</f>
        <v>47391</v>
      </c>
      <c r="Z556" s="418">
        <f>Sheet1!$AC$9</f>
        <v>47756</v>
      </c>
      <c r="AA556" s="418">
        <f>$AA$6</f>
        <v>48121</v>
      </c>
      <c r="AB556" s="418">
        <f>$AB$6</f>
        <v>48487</v>
      </c>
      <c r="AC556" s="418">
        <f>$AC$6</f>
        <v>48852</v>
      </c>
      <c r="AD556" s="418">
        <f>$AD$6</f>
        <v>49217</v>
      </c>
      <c r="AE556" s="418">
        <f>$AE$6</f>
        <v>49582</v>
      </c>
      <c r="AF556" s="418">
        <f>$AF$6</f>
        <v>49948</v>
      </c>
      <c r="AG556" s="418">
        <f>$AG$6</f>
        <v>50313</v>
      </c>
      <c r="AH556" s="219"/>
      <c r="AI556" s="418">
        <f t="shared" si="252"/>
        <v>44469</v>
      </c>
      <c r="AJ556" s="418">
        <f t="shared" si="252"/>
        <v>44834</v>
      </c>
      <c r="AK556" s="418">
        <f t="shared" si="252"/>
        <v>45199</v>
      </c>
      <c r="AL556" s="418">
        <f t="shared" si="252"/>
        <v>45565</v>
      </c>
      <c r="AM556" s="418">
        <f t="shared" si="252"/>
        <v>45930</v>
      </c>
      <c r="AN556" s="418">
        <f t="shared" si="252"/>
        <v>46295</v>
      </c>
      <c r="AO556" s="418">
        <f t="shared" si="252"/>
        <v>46660</v>
      </c>
      <c r="AP556" s="418">
        <f t="shared" si="252"/>
        <v>47026</v>
      </c>
      <c r="AQ556" s="418">
        <f t="shared" si="252"/>
        <v>47391</v>
      </c>
      <c r="AR556" s="418">
        <f t="shared" si="252"/>
        <v>47756</v>
      </c>
      <c r="AS556" s="418">
        <f t="shared" si="253"/>
        <v>48121</v>
      </c>
      <c r="AT556" s="418">
        <f t="shared" si="253"/>
        <v>48487</v>
      </c>
      <c r="AU556" s="418">
        <f t="shared" si="253"/>
        <v>48852</v>
      </c>
      <c r="AV556" s="418">
        <f t="shared" si="253"/>
        <v>49217</v>
      </c>
      <c r="AW556" s="418">
        <f t="shared" si="253"/>
        <v>49582</v>
      </c>
      <c r="AX556" s="418">
        <f t="shared" si="253"/>
        <v>49948</v>
      </c>
      <c r="AY556" s="418">
        <f t="shared" si="253"/>
        <v>50313</v>
      </c>
      <c r="AZ556" s="418"/>
    </row>
    <row r="557" spans="16:52" hidden="1">
      <c r="P557" s="207">
        <f t="shared" si="247"/>
        <v>0</v>
      </c>
      <c r="Q557" s="419">
        <f>IF(IF(Q556&lt;$I$27,0,DATEDIF($I$27,Q556+1,"m"))&lt;0,0,IF(Q556&lt;$I$27,0,DATEDIF($I$27,Q556+1,"m")))</f>
        <v>0</v>
      </c>
      <c r="R557" s="419">
        <f>IF(IF(Q557=12,0,IF(R556&gt;$I$28,12-DATEDIF($I$28,R556+1,"m"),IF(R556&lt;$I$27,0,DATEDIF($I$27,R556+1,"m"))))&lt;0,0,IF(Q557=12,0,IF(R556&gt;$I$28,12-DATEDIF($I$28,R556+1,"m"),IF(R556&lt;$I$27,0,DATEDIF($I$27,R556+1,"m")))))</f>
        <v>0</v>
      </c>
      <c r="S557" s="419">
        <f>IF(IF(Q557+R557=12,0,IF(S556&gt;$I$28,12-DATEDIF($I$28,S556+1,"m"),IF(S556&lt;$I$27,0,DATEDIF($I$27,S556+1,"m"))))&lt;0,0,IF(Q557+R557=12,0,IF(S556&gt;$I$28,12-DATEDIF($I$28,S556+1,"m"),IF(S556&lt;$I$27,0,DATEDIF($I$27,S556+1,"m")))))</f>
        <v>0</v>
      </c>
      <c r="T557" s="419">
        <f>IF(IF(R557+S557+Q557=12,0,IF(T556&gt;$I$28,12-DATEDIF($I$28,T556+1,"m"),IF(T556&lt;$I$27,0,DATEDIF($I$27,T556+1,"m"))))&lt;0,0,IF(R557+S557+Q557=12,0,IF(T556&gt;$I$28,12-DATEDIF($I$28,T556+1,"m"),IF(T556&lt;$I$27,0,DATEDIF($I$27,T556+1,"m")))))</f>
        <v>0</v>
      </c>
      <c r="U557" s="419">
        <f>IF(IF(S557+T557+R557+Q557=12,0,IF(U556&gt;$I$28,12-DATEDIF($I$28,U556+1,"m"),IF(U556&lt;$I$27,0,DATEDIF($I$27,U556+1,"m"))))&lt;0,0,IF(S557+T557+R557+Q557=12,0,IF(U556&gt;$I$28,12-DATEDIF($I$28,U556+1,"m"),IF(U556&lt;$I$27,0,DATEDIF($I$27,U556+1,"m")))))</f>
        <v>0</v>
      </c>
      <c r="V557" s="419">
        <f>IF(IF(T557+U557+S557+R557+Q557=12,0,IF(V556&gt;$I$28,12-DATEDIF($I$28,V556+1,"m"),IF(V556&lt;$I$27,0,DATEDIF($I$27,V556+1,"m"))))&lt;0,0,IF(T557+U557+S557+R557+Q557=12,0,IF(V556&gt;$I$28,12-DATEDIF($I$28,V556+1,"m"),IF(V556&lt;$I$27,0,DATEDIF($I$27,V556+1,"m")))))</f>
        <v>0</v>
      </c>
      <c r="W557" s="419">
        <f>IF(IF(U557+V557+T557+S557+R557+Q557=12,0,IF(W556&gt;$I$28,12-DATEDIF($I$28,W556+1,"m"),IF(W556&lt;$I$27,0,DATEDIF($I$27,W556+1,"m"))))&lt;0,0,IF(U557+V557+T557+S557+R557+Q557=12,0,IF(W556&gt;$I$28,12-DATEDIF($I$28,W556+1,"m"),IF(W556&lt;$I$27,0,DATEDIF($I$27,W556+1,"m")))))</f>
        <v>0</v>
      </c>
      <c r="X557" s="419">
        <f>IF(IF(V557+W557+U557+T557+S557+R557+Q557=12,0,IF(X556&gt;$I$28,12-DATEDIF($I$28,X556+1,"m"),IF(X556&lt;$I$27,0,DATEDIF($I$27,X556+1,"m"))))&lt;0,0,IF(V557+W557+U557+T557+S557+R557+Q557=12,0,IF(X556&gt;$I$28,12-DATEDIF($I$28,X556+1,"m"),IF(X556&lt;$I$27,0,DATEDIF($I$27,X556+1,"m")))))</f>
        <v>0</v>
      </c>
      <c r="Y557" s="419">
        <f>IF(IF(W557+X557+V557+U557+T557+S557+R557+Q557=12,0,IF(Y556&gt;$I$28,12-DATEDIF($I$28,Y556+1,"m"),IF(Y556&lt;$I$27,0,DATEDIF($I$27,Y556+1,"m"))))&lt;0,0,IF(W557+X557+V557+U557+T557+S557+R557+Q557=12,0,IF(Y556&gt;$I$28,12-DATEDIF($I$28,Y556+1,"m"),IF(Y556&lt;$I$27,0,DATEDIF($I$27,Y556+1,"m")))))</f>
        <v>0</v>
      </c>
      <c r="Z557" s="419">
        <f>IF(IF(X557+Y557+W557+V557+U557+T557+S557+R557+Q557=12,0,IF(Z556&gt;$I$28,12-DATEDIF($I$28,Z556+1,"m"),IF(Z556&lt;$I$27,0,DATEDIF($I$27,Z556+1,"m"))))&lt;0,0,IF(X557+Y557+W557+V557+U557+T557+S557+R557+Q557=12,0,IF(Z556&gt;$I$28,12-DATEDIF($I$28,Z556+1,"m"),IF(Z556&lt;$I$27,0,DATEDIF($I$27,Z556+1,"m")))))</f>
        <v>0</v>
      </c>
      <c r="AA557" s="419">
        <f>IF(IF(Q557+R557+S557+Y557+Z557+X557+W557+V557+U557+T557=12,0,IF(AA556&gt;$I$28,12-DATEDIF($I$28,AA556+1,"m"),IF(AA556&lt;$I$27,0,DATEDIF($I$27,AA556+1,"m"))))&lt;0,0,IF(Q557+R557+S557+Y557+Z557+X557+W557+V557+U557+T557=12,0,IF(AA556&gt;$I$28,12-DATEDIF($I$28,AA556+1,"m"),IF(AA556&lt;$I$27,0,DATEDIF($I$27,AA556+1,"m")))))</f>
        <v>0</v>
      </c>
      <c r="AB557" s="419">
        <f>IF(IF(Q557+R557+S557+T557+Z557+AA557+Y557+X557+W557+V557+U557=12,0,IF(AB556&gt;$I$28,12-DATEDIF($I$28,AB556+1,"m"),IF(AB556&lt;$I$27,0,DATEDIF($I$27,AB556+1,"m"))))&lt;0,0,IF(Q557+R557+S557+T557+Z557+AA557+Y557+X557+W557+V557+U557=12,0,IF(AB556&gt;$I$28,12-DATEDIF($I$28,AB556+1,"m"),IF(AB556&lt;$I$27,0,DATEDIF($I$27,AB556+1,"m")))))</f>
        <v>0</v>
      </c>
      <c r="AC557" s="419">
        <f>IF(IF(Q557+R557+S557+T557+U557+AA557+AB557+Z557+Y557+X557+W557+V557=12,0,IF(AC556&gt;$I$28,12-DATEDIF($I$28,AC556+1,"m"),IF(AC556&lt;$I$27,0,DATEDIF($I$27,AC556+1,"m"))))&lt;0,0,IF(Q557+R557+S557+T557+U557+AA557+AB557+Z557+Y557+X557+W557+V557=12,0,IF(AC556&gt;$I$28,12-DATEDIF($I$28,AC556+1,"m"),IF(AC556&lt;$I$27,0,DATEDIF($I$27,AC556+1,"m")))))</f>
        <v>0</v>
      </c>
      <c r="AD557" s="419">
        <f>IF(IF(Q557+R557+S557+T557+U557+V557+AB557+AC557+AA557+Z557+Y557+X557+W557=12,0,IF(AD556&gt;$I$28,12-DATEDIF($I$28,AD556+1,"m"),IF(AD556&lt;$I$27,0,DATEDIF($I$27,AD556+1,"m"))))&lt;0,0,IF(Q557+R557+S557+T557+U557+V557+AB557+AC557+AA557+Z557+Y557+X557+W557=12,0,IF(AD556&gt;$I$28,12-DATEDIF($I$28,AD556+1,"m"),IF(AD556&lt;$I$27,0,DATEDIF($I$27,AD556+1,"m")))))</f>
        <v>0</v>
      </c>
      <c r="AE557" s="419">
        <f>IF(IF(Q557+R557+S557+T557+U557+V557+W557+AC557+AD557+AB557+AA557+Z557+Y557+X557=12,0,IF(AE556&gt;$I$28,12-DATEDIF($I$28,AE556+1,"m"),IF(AE556&lt;$I$27,0,DATEDIF($I$27,AE556+1,"m"))))&lt;0,0,IF(Q557+R557+S557+T557+U557+V557+W557+AC557+AD557+AB557+AA557+Z557+Y557+X557=12,0,IF(AE556&gt;$I$28,12-DATEDIF($I$28,AE556+1,"m"),IF(AE556&lt;$I$27,0,DATEDIF($I$27,AE556+1,"m")))))</f>
        <v>0</v>
      </c>
      <c r="AF557" s="419">
        <f>IF(IF(Q557+R557+S557+T557+U557+V557+W557+X557+AD557+AE557+AC557+AB557+AA557+Z557+Y557=12,0,IF(AF556&gt;$I$28,12-DATEDIF($I$28,AF556+1,"m"),IF(AF556&lt;$I$27,0,DATEDIF($I$27,AF556+1,"m"))))&lt;0,0,IF(Q557+R557+S557+T557+U557+V557+W557+X557+AD557+AE557+AC557+AB557+AA557+Z557+Y557=12,0,IF(AF556&gt;$I$28,12-DATEDIF($I$28,AF556+1,"m"),IF(AF556&lt;$I$27,0,DATEDIF($I$27,AF556+1,"m")))))</f>
        <v>0</v>
      </c>
      <c r="AG557" s="419">
        <f>IF(IF(Q557+R557+S557+T557+U557+V557+W557+X557+Y557+AE557+AF557+AD557+AC557+AB557+AA557+Z557=12,0,IF(AG556&gt;$I$28,12-DATEDIF($I$28,AG556+1,"m"),IF(AG556&lt;$I$27,0,DATEDIF($I$27,AG556+1,"m"))))&lt;0,0,IF(Q557+R557+S557+T557+U557+V557+W557+X557+Y557+AE557+AF557+AD557+AC557+AB557+AA557+Z557=12,0,IF(AG556&gt;$I$28,12-DATEDIF($I$28,AG556+1,"m"),IF(AG556&lt;$I$27,0,DATEDIF($I$27,AG556+1,"m")))))</f>
        <v>0</v>
      </c>
      <c r="AH557" s="423">
        <f>SUM(Q557:AG557)</f>
        <v>0</v>
      </c>
      <c r="AI557" s="426">
        <f t="shared" si="252"/>
        <v>0</v>
      </c>
      <c r="AJ557" s="426">
        <f t="shared" si="252"/>
        <v>0</v>
      </c>
      <c r="AK557" s="426">
        <f t="shared" si="252"/>
        <v>0</v>
      </c>
      <c r="AL557" s="426">
        <f t="shared" si="252"/>
        <v>0</v>
      </c>
      <c r="AM557" s="426">
        <f t="shared" si="252"/>
        <v>0</v>
      </c>
      <c r="AN557" s="426">
        <f t="shared" si="252"/>
        <v>0</v>
      </c>
      <c r="AO557" s="426">
        <f t="shared" si="252"/>
        <v>0</v>
      </c>
      <c r="AP557" s="426">
        <f t="shared" si="252"/>
        <v>0</v>
      </c>
      <c r="AQ557" s="426">
        <f t="shared" si="252"/>
        <v>0</v>
      </c>
      <c r="AR557" s="426">
        <f t="shared" si="252"/>
        <v>0</v>
      </c>
      <c r="AS557" s="426">
        <f t="shared" si="253"/>
        <v>0</v>
      </c>
      <c r="AT557" s="426">
        <f t="shared" si="253"/>
        <v>0</v>
      </c>
      <c r="AU557" s="426">
        <f t="shared" si="253"/>
        <v>0</v>
      </c>
      <c r="AV557" s="426">
        <f t="shared" si="253"/>
        <v>0</v>
      </c>
      <c r="AW557" s="426">
        <f t="shared" si="253"/>
        <v>0</v>
      </c>
      <c r="AX557" s="426">
        <f t="shared" si="253"/>
        <v>0</v>
      </c>
      <c r="AY557" s="426">
        <f t="shared" si="253"/>
        <v>0</v>
      </c>
      <c r="AZ557" s="426">
        <f>SUM(AI557:AY557)</f>
        <v>0</v>
      </c>
    </row>
    <row r="558" spans="16:52" hidden="1">
      <c r="P558" s="207">
        <f t="shared" si="247"/>
        <v>0</v>
      </c>
      <c r="Q558" s="419">
        <f>IF(Q557=0,0,(IF(($B$186+$C$186+$D$186+$E$186+$F$186+$G$186+$H$186+$I$186)&lt;=25000,(($I$186/+$AH557)*Q557)*VLOOKUP('1. SUMMARY'!$C$20,rate,Sheet1!T$21,0),((IF(($F$186+$B$186+$C$186+$D$186+$E$186+$G$186+$H$186)&gt;=25000,0,(((25000-($B$186+$C$186+$D$186+$E$186+$F$186+$G$186+$H$186))/+$AH557)*Q557)*(VLOOKUP('1. SUMMARY'!$C$20,rate,Sheet1!T$21,0))))))))</f>
        <v>0</v>
      </c>
      <c r="R558" s="419">
        <f>IF(R557=0,0,(IF(($B$186+$C$186+$D$186+$E$186+$F$186+$G$186+$H$186+$I$186)&lt;=25000,(($I$186/+$AH557)*R557)*VLOOKUP('1. SUMMARY'!$C$20,rate,Sheet1!U$21,0),((IF(($F$186+$B$186+$C$186+$D$186+$E$186+$G$186+$H$186)&gt;=25000,0,(((25000-($B$186+$C$186+$D$186+$E$186+$F$186+$G$186+$H$186))/+$AH557)*R557)*(VLOOKUP('1. SUMMARY'!$C$20,rate,Sheet1!U$21,0))))))))</f>
        <v>0</v>
      </c>
      <c r="S558" s="419">
        <f>IF(S557=0,0,(IF(($B$186+$C$186+$D$186+$E$186+$F$186+$G$186+$H$186+$I$186)&lt;=25000,(($I$186/+$AH557)*S557)*VLOOKUP('1. SUMMARY'!$C$20,rate,Sheet1!V$21,0),((IF(($F$186+$B$186+$C$186+$D$186+$E$186+$G$186+$H$186)&gt;=25000,0,(((25000-($B$186+$C$186+$D$186+$E$186+$F$186+$G$186+$H$186))/+$AH557)*S557)*(VLOOKUP('1. SUMMARY'!$C$20,rate,Sheet1!V$21,0))))))))</f>
        <v>0</v>
      </c>
      <c r="T558" s="419">
        <f>IF(T557=0,0,(IF(($B$186+$C$186+$D$186+$E$186+$F$186+$G$186+$H$186+$I$186)&lt;=25000,(($I$186/+$AH557)*T557)*VLOOKUP('1. SUMMARY'!$C$20,rate,Sheet1!W$21,0),((IF(($F$186+$B$186+$C$186+$D$186+$E$186+$G$186+$H$186)&gt;=25000,0,(((25000-($B$186+$C$186+$D$186+$E$186+$F$186+$G$186+$H$186))/+$AH557)*T557)*(VLOOKUP('1. SUMMARY'!$C$20,rate,Sheet1!W$21,0))))))))</f>
        <v>0</v>
      </c>
      <c r="U558" s="419">
        <f>IF(U557=0,0,(IF(($B$186+$C$186+$D$186+$E$186+$F$186+$G$186+$H$186+$I$186)&lt;=25000,(($I$186/+$AH557)*U557)*VLOOKUP('1. SUMMARY'!$C$20,rate,Sheet1!X$21,0),((IF(($F$186+$B$186+$C$186+$D$186+$E$186+$G$186+$H$186)&gt;=25000,0,(((25000-($B$186+$C$186+$D$186+$E$186+$F$186+$G$186+$H$186))/+$AH557)*U557)*(VLOOKUP('1. SUMMARY'!$C$20,rate,Sheet1!X$21,0))))))))</f>
        <v>0</v>
      </c>
      <c r="V558" s="419">
        <f>IF(V557=0,0,(IF(($B$186+$C$186+$D$186+$E$186+$F$186+$G$186+$H$186+$I$186)&lt;=25000,(($I$186/+$AH557)*V557)*VLOOKUP('1. SUMMARY'!$C$20,rate,Sheet1!Y$21,0),((IF(($F$186+$B$186+$C$186+$D$186+$E$186+$G$186+$H$186)&gt;=25000,0,(((25000-($B$186+$C$186+$D$186+$E$186+$F$186+$G$186+$H$186))/+$AH557)*V557)*(VLOOKUP('1. SUMMARY'!$C$20,rate,Sheet1!Y$21,0))))))))</f>
        <v>0</v>
      </c>
      <c r="W558" s="419">
        <f>IF(W557=0,0,(IF(($B$186+$C$186+$D$186+$E$186+$F$186+$G$186+$H$186+$I$186)&lt;=25000,(($I$186/+$AH557)*W557)*VLOOKUP('1. SUMMARY'!$C$20,rate,Sheet1!Z$21,0),((IF(($F$186+$B$186+$C$186+$D$186+$E$186+$G$186+$H$186)&gt;=25000,0,(((25000-($B$186+$C$186+$D$186+$E$186+$F$186+$G$186+$H$186))/+$AH557)*W557)*(VLOOKUP('1. SUMMARY'!$C$20,rate,Sheet1!Z$21,0))))))))</f>
        <v>0</v>
      </c>
      <c r="X558" s="419">
        <f>IF(X557=0,0,(IF(($B$186+$C$186+$D$186+$E$186+$F$186+$G$186+$H$186+$I$186)&lt;=25000,(($I$186/+$AH557)*X557)*VLOOKUP('1. SUMMARY'!$C$20,rate,Sheet1!AA$21,0),((IF(($F$186+$B$186+$C$186+$D$186+$E$186+$G$186+$H$186)&gt;=25000,0,(((25000-($B$186+$C$186+$D$186+$E$186+$F$186+$G$186+$H$186))/+$AH557)*X557)*(VLOOKUP('1. SUMMARY'!$C$20,rate,Sheet1!AA$21,0))))))))</f>
        <v>0</v>
      </c>
      <c r="Y558" s="419">
        <f>IF(Y557=0,0,(IF(($B$186+$C$186+$D$186+$E$186+$F$186+$G$186+$H$186+$I$186)&lt;=25000,(($I$186/+$AH557)*Y557)*VLOOKUP('1. SUMMARY'!$C$20,rate,Sheet1!AB$21,0),((IF(($F$186+$B$186+$C$186+$D$186+$E$186+$G$186+$H$186)&gt;=25000,0,(((25000-($B$186+$C$186+$D$186+$E$186+$F$186+$G$186+$H$186))/+$AH557)*Y557)*(VLOOKUP('1. SUMMARY'!$C$20,rate,Sheet1!AB$21,0))))))))</f>
        <v>0</v>
      </c>
      <c r="Z558" s="419">
        <f>IF(Z557=0,0,(IF(($B$186+$C$186+$D$186+$E$186+$F$186+$G$186+$H$186+$I$186)&lt;=25000,(($I$186/+$AH557)*Z557)*VLOOKUP('1. SUMMARY'!$C$20,rate,Sheet1!AC$21,0),((IF(($F$186+$B$186+$C$186+$D$186+$E$186+$G$186+$H$186)&gt;=25000,0,(((25000-($B$186+$C$186+$D$186+$E$186+$F$186+$G$186+$H$186))/+$AH557)*Z557)*(VLOOKUP('1. SUMMARY'!$C$20,rate,Sheet1!AC$21,0))))))))</f>
        <v>0</v>
      </c>
      <c r="AA558" s="419">
        <f>IF(AA557=0,0,(IF(($B$186+$C$186+$D$186+$E$186+$F$186+$G$186+$H$186+$I$186)&lt;=25000,(($I$186/+$AH557)*AA557)*VLOOKUP('1. SUMMARY'!$C$20,rate,Sheet1!AD$21,0),((IF(($F$186+$B$186+$C$186+$D$186+$E$186+$G$186+$H$186)&gt;=25000,0,(((25000-($B$186+$C$186+$D$186+$E$186+$F$186+$G$186+$H$186))/+$AH557)*AA557)*(VLOOKUP('1. SUMMARY'!$C$20,rate,Sheet1!AD$21,0))))))))</f>
        <v>0</v>
      </c>
      <c r="AB558" s="419">
        <f>IF(AB557=0,0,(IF(($B$186+$C$186+$D$186+$E$186+$F$186+$G$186+$H$186+$I$186)&lt;=25000,(($I$186/+$AH557)*AB557)*VLOOKUP('1. SUMMARY'!$C$20,rate,Sheet1!AE$21,0),((IF(($F$186+$B$186+$C$186+$D$186+$E$186+$G$186+$H$186)&gt;=25000,0,(((25000-($B$186+$C$186+$D$186+$E$186+$F$186+$G$186+$H$186))/+$AH557)*AB557)*(VLOOKUP('1. SUMMARY'!$C$20,rate,Sheet1!AE$21,0))))))))</f>
        <v>0</v>
      </c>
      <c r="AC558" s="419">
        <f>IF(AC557=0,0,(IF(($B$186+$C$186+$D$186+$E$186+$F$186+$G$186+$H$186+$I$186)&lt;=25000,(($I$186/+$AH557)*AC557)*VLOOKUP('1. SUMMARY'!$C$20,rate,Sheet1!AF$21,0),((IF(($F$186+$B$186+$C$186+$D$186+$E$186+$G$186+$H$186)&gt;=25000,0,(((25000-($B$186+$C$186+$D$186+$E$186+$F$186+$G$186+$H$186))/+$AH557)*AC557)*(VLOOKUP('1. SUMMARY'!$C$20,rate,Sheet1!AF$21,0))))))))</f>
        <v>0</v>
      </c>
      <c r="AD558" s="419">
        <f>IF(AD557=0,0,(IF(($B$186+$C$186+$D$186+$E$186+$F$186+$G$186+$H$186+$I$186)&lt;=25000,(($I$186/+$AH557)*AD557)*VLOOKUP('1. SUMMARY'!$C$20,rate,Sheet1!AG$21,0),((IF(($F$186+$B$186+$C$186+$D$186+$E$186+$G$186+$H$186)&gt;=25000,0,(((25000-($B$186+$C$186+$D$186+$E$186+$F$186+$G$186+$H$186))/+$AH557)*AD557)*(VLOOKUP('1. SUMMARY'!$C$20,rate,Sheet1!AG$21,0))))))))</f>
        <v>0</v>
      </c>
      <c r="AE558" s="419">
        <f>IF(AE557=0,0,(IF(($B$186+$C$186+$D$186+$E$186+$F$186+$G$186+$H$186+$I$186)&lt;=25000,(($I$186/+$AH557)*AE557)*VLOOKUP('1. SUMMARY'!$C$20,rate,Sheet1!AH$21,0),((IF(($F$186+$B$186+$C$186+$D$186+$E$186+$G$186+$H$186)&gt;=25000,0,(((25000-($B$186+$C$186+$D$186+$E$186+$F$186+$G$186+$H$186))/+$AH557)*AE557)*(VLOOKUP('1. SUMMARY'!$C$20,rate,Sheet1!AH$21,0))))))))</f>
        <v>0</v>
      </c>
      <c r="AF558" s="419">
        <f>IF(AF557=0,0,(IF(($B$186+$C$186+$D$186+$E$186+$F$186+$G$186+$H$186+$I$186)&lt;=25000,(($I$186/+$AH557)*AF557)*VLOOKUP('1. SUMMARY'!$C$20,rate,Sheet1!AI$21,0),((IF(($F$186+$B$186+$C$186+$D$186+$E$186+$G$186+$H$186)&gt;=25000,0,(((25000-($B$186+$C$186+$D$186+$E$186+$F$186+$G$186+$H$186))/+$AH557)*AF557)*(VLOOKUP('1. SUMMARY'!$C$20,rate,Sheet1!AI$21,0))))))))</f>
        <v>0</v>
      </c>
      <c r="AG558" s="419">
        <f>IF(AG557=0,0,(IF(($B$186+$C$186+$D$186+$E$186+$F$186+$G$186+$H$186+$I$186)&lt;=25000,(($I$186/+$AH557)*AG557)*VLOOKUP('1. SUMMARY'!$C$20,rate,Sheet1!AJ$21,0),((IF(($F$186+$B$186+$C$186+$D$186+$E$186+$G$186+$H$186)&gt;=25000,0,(((25000-($B$186+$C$186+$D$186+$E$186+$F$186+$G$186+$H$186))/+$AH557)*AG557)*(VLOOKUP('1. SUMMARY'!$C$20,rate,Sheet1!AJ$21,0))))))))</f>
        <v>0</v>
      </c>
      <c r="AH558" s="219">
        <f>SUM(Q558:AG558)</f>
        <v>0</v>
      </c>
      <c r="AI558" s="419">
        <f>IF(AI557=0,0,((+$I186/$AZ557)*AI557)*VLOOKUP('1. SUMMARY'!$C$20,rate,Sheet1!T$21,0))</f>
        <v>0</v>
      </c>
      <c r="AJ558" s="419">
        <f>IF(AJ557=0,0,((+$I186/$AZ557)*AJ557)*VLOOKUP('1. SUMMARY'!$C$20,rate,Sheet1!U$21,0))</f>
        <v>0</v>
      </c>
      <c r="AK558" s="419">
        <f>IF(AK557=0,0,((+$I186/$AZ557)*AK557)*VLOOKUP('1. SUMMARY'!$C$20,rate,Sheet1!V$21,0))</f>
        <v>0</v>
      </c>
      <c r="AL558" s="419">
        <f>IF(AL557=0,0,((+$I186/$AZ557)*AL557)*VLOOKUP('1. SUMMARY'!$C$20,rate,Sheet1!W$21,0))</f>
        <v>0</v>
      </c>
      <c r="AM558" s="419">
        <f>IF(AM557=0,0,((+$I186/$AZ557)*AM557)*VLOOKUP('1. SUMMARY'!$C$20,rate,Sheet1!X$21,0))</f>
        <v>0</v>
      </c>
      <c r="AN558" s="419">
        <f>IF(AN557=0,0,((+$I186/$AZ557)*AN557)*VLOOKUP('1. SUMMARY'!$C$20,rate,Sheet1!Y$21,0))</f>
        <v>0</v>
      </c>
      <c r="AO558" s="419">
        <f>IF(AO557=0,0,((+$I186/$AZ557)*AO557)*VLOOKUP('1. SUMMARY'!$C$20,rate,Sheet1!Z$21,0))</f>
        <v>0</v>
      </c>
      <c r="AP558" s="419">
        <f>IF(AP557=0,0,((+$I186/$AZ557)*AP557)*VLOOKUP('1. SUMMARY'!$C$20,rate,Sheet1!AA$21,0))</f>
        <v>0</v>
      </c>
      <c r="AQ558" s="419">
        <f>IF(AQ557=0,0,((+$I186/$AZ557)*AQ557)*VLOOKUP('1. SUMMARY'!$C$20,rate,Sheet1!AB$21,0))</f>
        <v>0</v>
      </c>
      <c r="AR558" s="419">
        <f>IF(AR557=0,0,((+$I186/$AZ557)*AR557)*VLOOKUP('1. SUMMARY'!$C$20,rate,Sheet1!AC$21,0))</f>
        <v>0</v>
      </c>
      <c r="AS558" s="419">
        <f>IF(AS557=0,0,((+$I186/$AZ557)*AS557)*VLOOKUP('1. SUMMARY'!$C$20,rate,Sheet1!AD$21,0))</f>
        <v>0</v>
      </c>
      <c r="AT558" s="419">
        <f>IF(AT557=0,0,((+$I186/$AZ557)*AT557)*VLOOKUP('1. SUMMARY'!$C$20,rate,Sheet1!AE$21,0))</f>
        <v>0</v>
      </c>
      <c r="AU558" s="419">
        <f>IF(AU557=0,0,((+$I186/$AZ557)*AU557)*VLOOKUP('1. SUMMARY'!$C$20,rate,Sheet1!AF$21,0))</f>
        <v>0</v>
      </c>
      <c r="AV558" s="419">
        <f>IF(AV557=0,0,((+$I186/$AZ557)*AV557)*VLOOKUP('1. SUMMARY'!$C$20,rate,Sheet1!AG$21,0))</f>
        <v>0</v>
      </c>
      <c r="AW558" s="419">
        <f>IF(AW557=0,0,((+$I186/$AZ557)*AW557)*VLOOKUP('1. SUMMARY'!$C$20,rate,Sheet1!AH$21,0))</f>
        <v>0</v>
      </c>
      <c r="AX558" s="419">
        <f>IF(AX557=0,0,((+$I186/$AZ557)*AX557)*VLOOKUP('1. SUMMARY'!$C$20,rate,Sheet1!AI$21,0))</f>
        <v>0</v>
      </c>
      <c r="AY558" s="419">
        <f>IF(AY557=0,0,((+$I186/$AZ557)*AY557)*VLOOKUP('1. SUMMARY'!$C$20,rate,Sheet1!AJ$21,0))</f>
        <v>0</v>
      </c>
      <c r="AZ558" s="419">
        <f>SUM(AI558:AY558)</f>
        <v>0</v>
      </c>
    </row>
    <row r="559" spans="16:52" hidden="1">
      <c r="P559" s="207">
        <f t="shared" si="247"/>
        <v>0</v>
      </c>
      <c r="Q559" s="419">
        <f>+Q558/VLOOKUP('1. SUMMARY'!$C$20,rate,Sheet1!T$21,0)</f>
        <v>0</v>
      </c>
      <c r="R559" s="419">
        <f>+R558/VLOOKUP('1. SUMMARY'!$C$20,rate,Sheet1!U$21,0)</f>
        <v>0</v>
      </c>
      <c r="S559" s="419">
        <f>+S558/VLOOKUP('1. SUMMARY'!$C$20,rate,Sheet1!V$21,0)</f>
        <v>0</v>
      </c>
      <c r="T559" s="419">
        <f>+T558/VLOOKUP('1. SUMMARY'!$C$20,rate,Sheet1!W$21,0)</f>
        <v>0</v>
      </c>
      <c r="U559" s="419">
        <f>+U558/VLOOKUP('1. SUMMARY'!$C$20,rate,Sheet1!X$21,0)</f>
        <v>0</v>
      </c>
      <c r="V559" s="419">
        <f>+V558/VLOOKUP('1. SUMMARY'!$C$20,rate,Sheet1!Y$21,0)</f>
        <v>0</v>
      </c>
      <c r="W559" s="419">
        <f>+W558/VLOOKUP('1. SUMMARY'!$C$20,rate,Sheet1!Z$21,0)</f>
        <v>0</v>
      </c>
      <c r="X559" s="419">
        <f>+X558/VLOOKUP('1. SUMMARY'!$C$20,rate,Sheet1!AA$21,0)</f>
        <v>0</v>
      </c>
      <c r="Y559" s="419">
        <f>+Y558/VLOOKUP('1. SUMMARY'!$C$20,rate,Sheet1!AB$21,0)</f>
        <v>0</v>
      </c>
      <c r="Z559" s="419">
        <f>+Z558/VLOOKUP('1. SUMMARY'!$C$20,rate,Sheet1!AC$21,0)</f>
        <v>0</v>
      </c>
      <c r="AA559" s="419">
        <f>+AA558/VLOOKUP('1. SUMMARY'!$C$20,rate,Sheet1!AD$21,0)</f>
        <v>0</v>
      </c>
      <c r="AB559" s="419">
        <f>+AB558/VLOOKUP('1. SUMMARY'!$C$20,rate,Sheet1!AE$21,0)</f>
        <v>0</v>
      </c>
      <c r="AC559" s="419">
        <f>+AC558/VLOOKUP('1. SUMMARY'!$C$20,rate,Sheet1!AF$21,0)</f>
        <v>0</v>
      </c>
      <c r="AD559" s="419">
        <f>+AD558/VLOOKUP('1. SUMMARY'!$C$20,rate,Sheet1!AG$21,0)</f>
        <v>0</v>
      </c>
      <c r="AE559" s="419">
        <f>+AE558/VLOOKUP('1. SUMMARY'!$C$20,rate,Sheet1!AH$21,0)</f>
        <v>0</v>
      </c>
      <c r="AF559" s="419">
        <f>+AF558/VLOOKUP('1. SUMMARY'!$C$20,rate,Sheet1!AI$21,0)</f>
        <v>0</v>
      </c>
      <c r="AG559" s="419">
        <f>+AG558/VLOOKUP('1. SUMMARY'!$C$20,rate,Sheet1!AJ$21,0)</f>
        <v>0</v>
      </c>
      <c r="AH559" s="219"/>
      <c r="AI559" s="419"/>
      <c r="AJ559" s="419"/>
      <c r="AK559" s="419"/>
      <c r="AL559" s="419"/>
      <c r="AM559" s="419"/>
      <c r="AN559" s="419"/>
      <c r="AO559" s="419"/>
      <c r="AP559" s="419"/>
      <c r="AQ559" s="419"/>
      <c r="AR559" s="419"/>
      <c r="AS559" s="419"/>
      <c r="AT559" s="419"/>
      <c r="AU559" s="419"/>
      <c r="AV559" s="419"/>
      <c r="AW559" s="419"/>
      <c r="AX559" s="419"/>
      <c r="AY559" s="419"/>
      <c r="AZ559" s="419"/>
    </row>
    <row r="560" spans="16:52" hidden="1">
      <c r="Q560" s="416">
        <f>Sheet1!$T$8</f>
        <v>44105</v>
      </c>
      <c r="R560" s="416">
        <f>Sheet1!$U$8</f>
        <v>44470</v>
      </c>
      <c r="S560" s="416">
        <f>Sheet1!$V$8</f>
        <v>44835</v>
      </c>
      <c r="T560" s="416">
        <f>Sheet1!$W$8</f>
        <v>45200</v>
      </c>
      <c r="U560" s="416">
        <f>Sheet1!$X$8</f>
        <v>45566</v>
      </c>
      <c r="V560" s="416">
        <f>Sheet1!$Y$8</f>
        <v>45931</v>
      </c>
      <c r="W560" s="416">
        <f>Sheet1!$Z$8</f>
        <v>46296</v>
      </c>
      <c r="X560" s="416">
        <f>Sheet1!$AA$8</f>
        <v>46661</v>
      </c>
      <c r="Y560" s="416">
        <f>Sheet1!$AB$8</f>
        <v>47027</v>
      </c>
      <c r="Z560" s="416">
        <f>Sheet1!$AC$8</f>
        <v>47392</v>
      </c>
      <c r="AA560" s="416">
        <f>$AA$5</f>
        <v>47757</v>
      </c>
      <c r="AB560" s="416">
        <f>$AB$5</f>
        <v>48122</v>
      </c>
      <c r="AC560" s="416">
        <f>$AC$5</f>
        <v>48488</v>
      </c>
      <c r="AD560" s="416">
        <f>$AD$5</f>
        <v>48853</v>
      </c>
      <c r="AE560" s="416">
        <f>$AE$5</f>
        <v>49218</v>
      </c>
      <c r="AF560" s="416">
        <f>$AF$5</f>
        <v>49583</v>
      </c>
      <c r="AG560" s="416">
        <f>$AG$5</f>
        <v>49949</v>
      </c>
      <c r="AH560" s="219"/>
      <c r="AI560" s="416">
        <f t="shared" ref="AI560:AR562" si="254">+Q560</f>
        <v>44105</v>
      </c>
      <c r="AJ560" s="416">
        <f t="shared" si="254"/>
        <v>44470</v>
      </c>
      <c r="AK560" s="416">
        <f t="shared" si="254"/>
        <v>44835</v>
      </c>
      <c r="AL560" s="416">
        <f t="shared" si="254"/>
        <v>45200</v>
      </c>
      <c r="AM560" s="416">
        <f t="shared" si="254"/>
        <v>45566</v>
      </c>
      <c r="AN560" s="416">
        <f t="shared" si="254"/>
        <v>45931</v>
      </c>
      <c r="AO560" s="416">
        <f t="shared" si="254"/>
        <v>46296</v>
      </c>
      <c r="AP560" s="416">
        <f t="shared" si="254"/>
        <v>46661</v>
      </c>
      <c r="AQ560" s="416">
        <f t="shared" si="254"/>
        <v>47027</v>
      </c>
      <c r="AR560" s="416">
        <f t="shared" si="254"/>
        <v>47392</v>
      </c>
      <c r="AS560" s="416">
        <f t="shared" ref="AS560:AY562" si="255">+AA560</f>
        <v>47757</v>
      </c>
      <c r="AT560" s="416">
        <f t="shared" si="255"/>
        <v>48122</v>
      </c>
      <c r="AU560" s="416">
        <f t="shared" si="255"/>
        <v>48488</v>
      </c>
      <c r="AV560" s="416">
        <f t="shared" si="255"/>
        <v>48853</v>
      </c>
      <c r="AW560" s="416">
        <f t="shared" si="255"/>
        <v>49218</v>
      </c>
      <c r="AX560" s="416">
        <f t="shared" si="255"/>
        <v>49583</v>
      </c>
      <c r="AY560" s="416">
        <f t="shared" si="255"/>
        <v>49949</v>
      </c>
      <c r="AZ560" s="416"/>
    </row>
    <row r="561" spans="17:52" hidden="1">
      <c r="Q561" s="416">
        <f>Sheet1!$T$9</f>
        <v>44469</v>
      </c>
      <c r="R561" s="416">
        <f>Sheet1!$U$9</f>
        <v>44834</v>
      </c>
      <c r="S561" s="416">
        <f>Sheet1!$V$9</f>
        <v>45199</v>
      </c>
      <c r="T561" s="416">
        <f>Sheet1!$W$9</f>
        <v>45565</v>
      </c>
      <c r="U561" s="416">
        <f>Sheet1!$X$9</f>
        <v>45930</v>
      </c>
      <c r="V561" s="416">
        <f>Sheet1!$Y$9</f>
        <v>46295</v>
      </c>
      <c r="W561" s="416">
        <f>Sheet1!$Z$9</f>
        <v>46660</v>
      </c>
      <c r="X561" s="416">
        <f>Sheet1!$AA$9</f>
        <v>47026</v>
      </c>
      <c r="Y561" s="416">
        <f>Sheet1!$AB$9</f>
        <v>47391</v>
      </c>
      <c r="Z561" s="416">
        <f>Sheet1!$AC$9</f>
        <v>47756</v>
      </c>
      <c r="AA561" s="416">
        <f>$AA$6</f>
        <v>48121</v>
      </c>
      <c r="AB561" s="416">
        <f>$AB$6</f>
        <v>48487</v>
      </c>
      <c r="AC561" s="416">
        <f>$AC$6</f>
        <v>48852</v>
      </c>
      <c r="AD561" s="416">
        <f>$AD$6</f>
        <v>49217</v>
      </c>
      <c r="AE561" s="416">
        <f>$AE$6</f>
        <v>49582</v>
      </c>
      <c r="AF561" s="416">
        <f>$AF$6</f>
        <v>49948</v>
      </c>
      <c r="AG561" s="416">
        <f>$AG$6</f>
        <v>50313</v>
      </c>
      <c r="AH561" s="219"/>
      <c r="AI561" s="416">
        <f t="shared" si="254"/>
        <v>44469</v>
      </c>
      <c r="AJ561" s="416">
        <f t="shared" si="254"/>
        <v>44834</v>
      </c>
      <c r="AK561" s="416">
        <f t="shared" si="254"/>
        <v>45199</v>
      </c>
      <c r="AL561" s="416">
        <f t="shared" si="254"/>
        <v>45565</v>
      </c>
      <c r="AM561" s="416">
        <f t="shared" si="254"/>
        <v>45930</v>
      </c>
      <c r="AN561" s="416">
        <f t="shared" si="254"/>
        <v>46295</v>
      </c>
      <c r="AO561" s="416">
        <f t="shared" si="254"/>
        <v>46660</v>
      </c>
      <c r="AP561" s="416">
        <f t="shared" si="254"/>
        <v>47026</v>
      </c>
      <c r="AQ561" s="416">
        <f t="shared" si="254"/>
        <v>47391</v>
      </c>
      <c r="AR561" s="416">
        <f t="shared" si="254"/>
        <v>47756</v>
      </c>
      <c r="AS561" s="416">
        <f t="shared" si="255"/>
        <v>48121</v>
      </c>
      <c r="AT561" s="416">
        <f t="shared" si="255"/>
        <v>48487</v>
      </c>
      <c r="AU561" s="416">
        <f t="shared" si="255"/>
        <v>48852</v>
      </c>
      <c r="AV561" s="416">
        <f t="shared" si="255"/>
        <v>49217</v>
      </c>
      <c r="AW561" s="416">
        <f t="shared" si="255"/>
        <v>49582</v>
      </c>
      <c r="AX561" s="416">
        <f t="shared" si="255"/>
        <v>49948</v>
      </c>
      <c r="AY561" s="416">
        <f t="shared" si="255"/>
        <v>50313</v>
      </c>
      <c r="AZ561" s="416"/>
    </row>
    <row r="562" spans="17:52" hidden="1">
      <c r="Q562" s="417">
        <f>IF(IF(Q561&lt;$J$27,0,DATEDIF($J$27,Q561+1,"m"))&lt;0,0,IF(Q561&lt;$J$27,0,DATEDIF($J$27,Q561+1,"m")))</f>
        <v>0</v>
      </c>
      <c r="R562" s="417">
        <f>IF(IF(Q562=12,0,IF(R561&gt;$J$28,12-DATEDIF($J$28,R561+1,"m"),IF(R561&lt;$J$27,0,DATEDIF($J$27,R561+1,"m"))))&lt;0,0,IF(Q562=12,0,IF(R561&gt;$J$28,12-DATEDIF($J$28,R561+1,"m"),IF(R561&lt;$J$27,0,DATEDIF($J$27,R561+1,"m")))))</f>
        <v>0</v>
      </c>
      <c r="S562" s="417">
        <f>IF(IF(Q562+R562=12,0,IF(S561&gt;$J$28,12-DATEDIF($J$28,S561+1,"m"),IF(S561&lt;$J$27,0,DATEDIF($J$27,S561+1,"m"))))&lt;0,0,IF(Q562+R562=12,0,IF(S561&gt;$J$28,12-DATEDIF($J$28,S561+1,"m"),IF(S561&lt;$J$27,0,DATEDIF($J$27,S561+1,"m")))))</f>
        <v>0</v>
      </c>
      <c r="T562" s="417">
        <f>IF(IF(R562+S562+Q562=12,0,IF(T561&gt;$J$28,12-DATEDIF($J$28,T561+1,"m"),IF(T561&lt;$J$27,0,DATEDIF($J$27,T561+1,"m"))))&lt;0,0,IF(R562+S562+Q562=12,0,IF(T561&gt;$J$28,12-DATEDIF($J$28,T561+1,"m"),IF(T561&lt;$J$27,0,DATEDIF($J$27,T561+1,"m")))))</f>
        <v>0</v>
      </c>
      <c r="U562" s="417">
        <f>IF(IF(S562+T562+R562+Q562=12,0,IF(U561&gt;$J$28,12-DATEDIF($J$28,U561+1,"m"),IF(U561&lt;$J$27,0,DATEDIF($J$27,U561+1,"m"))))&lt;0,0,IF(S562+T562+R562+Q562=12,0,IF(U561&gt;$J$28,12-DATEDIF($J$28,U561+1,"m"),IF(U561&lt;$J$27,0,DATEDIF($J$27,U561+1,"m")))))</f>
        <v>0</v>
      </c>
      <c r="V562" s="417">
        <f>IF(IF(T562+U562+S562+R562+Q562=12,0,IF(V561&gt;$J$28,12-DATEDIF($J$28,V561+1,"m"),IF(V561&lt;$J$27,0,DATEDIF($J$27,V561+1,"m"))))&lt;0,0,IF(T562+U562+S562+R562+Q562=12,0,IF(V561&gt;$J$28,12-DATEDIF($J$28,V561+1,"m"),IF(V561&lt;$J$27,0,DATEDIF($J$27,V561+1,"m")))))</f>
        <v>0</v>
      </c>
      <c r="W562" s="417">
        <f>IF(IF(U562+V562+T562+S562+R562+Q562=12,0,IF(W561&gt;$J$28,12-DATEDIF($J$28,W561+1,"m"),IF(W561&lt;$J$27,0,DATEDIF($J$27,W561+1,"m"))))&lt;0,0,IF(U562+V562+T562+S562+R562+Q562=12,0,IF(W561&gt;$J$28,12-DATEDIF($J$28,W561+1,"m"),IF(W561&lt;$J$27,0,DATEDIF($J$27,W561+1,"m")))))</f>
        <v>0</v>
      </c>
      <c r="X562" s="417">
        <f>IF(IF(V562+W562+U562+T562+S562+R562+Q562=12,0,IF(X561&gt;$J$28,12-DATEDIF($J$28,X561+1,"m"),IF(X561&lt;$J$27,0,DATEDIF($J$27,X561+1,"m"))))&lt;0,0,IF(V562+W562+U562+T562+S562+R562+Q562=12,0,IF(X561&gt;$J$28,12-DATEDIF($J$28,X561+1,"m"),IF(X561&lt;$J$27,0,DATEDIF($J$27,X561+1,"m")))))</f>
        <v>0</v>
      </c>
      <c r="Y562" s="417">
        <f>IF(IF(W562+X562+V562+U562+T562+S562+R562+Q562=12,0,IF(Y561&gt;$J$28,12-DATEDIF($J$28,Y561+1,"m"),IF(Y561&lt;$J$27,0,DATEDIF($J$27,Y561+1,"m"))))&lt;0,0,IF(W562+X562+V562+U562+T562+S562+R562+Q562=12,0,IF(Y561&gt;$J$28,12-DATEDIF($J$28,Y561+1,"m"),IF(Y561&lt;$J$27,0,DATEDIF($J$27,Y561+1,"m")))))</f>
        <v>0</v>
      </c>
      <c r="Z562" s="417">
        <f>IF(IF(X562+Y562+W562+V562+U562+T562+S562+R562+Q562=12,0,IF(Z561&gt;$J$28,12-DATEDIF($J$28,Z561+1,"m"),IF(Z561&lt;$J$27,0,DATEDIF($J$27,Z561+1,"m"))))&lt;0,0,IF(X562+Y562+W562+V562+U562+T562+S562+R562+Q562=12,0,IF(Z561&gt;$J$28,12-DATEDIF($J$28,Z561+1,"m"),IF(Z561&lt;$J$27,0,DATEDIF($J$27,Z561+1,"m")))))</f>
        <v>0</v>
      </c>
      <c r="AA562" s="417">
        <f>IF(IF(Q562+R562+S562+Y562+Z562+X562+W562+V562+U562+T562=12,0,IF(AA561&gt;$J$28,12-DATEDIF($J$28,AA561+1,"m"),IF(AA561&lt;$J$27,0,DATEDIF($J$27,AA561+1,"m"))))&lt;0,0,IF(Q562+R562+S562+Y562+Z562+X562+W562+V562+U562+T562=12,0,IF(AA561&gt;$J$28,12-DATEDIF($J$28,AA561+1,"m"),IF(AA561&lt;$J$27,0,DATEDIF($J$27,AA561+1,"m")))))</f>
        <v>0</v>
      </c>
      <c r="AB562" s="417">
        <f>IF(IF(Q562+R562+S562+T562+Z562+AA562+Y562+X562+W562+V562+U562=12,0,IF(AB561&gt;$J$28,12-DATEDIF($J$28,AB561+1,"m"),IF(AB561&lt;$J$27,0,DATEDIF($J$27,AB561+1,"m"))))&lt;0,0,IF(Q562+R562+S562+T562+Z562+AA562+Y562+X562+W562+V562+U562=12,0,IF(AB561&gt;$J$28,12-DATEDIF($J$28,AB561+1,"m"),IF(AB561&lt;$J$27,0,DATEDIF($J$27,AB561+1,"m")))))</f>
        <v>0</v>
      </c>
      <c r="AC562" s="417">
        <f>IF(IF(Q562+R562+S562+T562+U562+AA562+AB562+Z562+Y562+X562+W562+V562=12,0,IF(AC561&gt;$J$28,12-DATEDIF($J$28,AC561+1,"m"),IF(AC561&lt;$J$27,0,DATEDIF($J$27,AC561+1,"m"))))&lt;0,0,IF(Q562+R562+S562+T562+U562+AA562+AB562+Z562+Y562+X562+W562+V562=12,0,IF(AC561&gt;$J$28,12-DATEDIF($J$28,AC561+1,"m"),IF(AC561&lt;$J$27,0,DATEDIF($J$27,AC561+1,"m")))))</f>
        <v>0</v>
      </c>
      <c r="AD562" s="417">
        <f>IF(IF(Q562+R562+S562+T562+U562+V562+AB562+AC562+AA562+Z562+Y562+X562+W562=12,0,IF(AD561&gt;$J$28,12-DATEDIF($J$28,AD561+1,"m"),IF(AD561&lt;$J$27,0,DATEDIF($J$27,AD561+1,"m"))))&lt;0,0,IF(Q562+R562+S562+T562+U562+V562+AB562+AC562+AA562+Z562+Y562+X562+W562=12,0,IF(AD561&gt;$J$28,12-DATEDIF($J$28,AD561+1,"m"),IF(AD561&lt;$J$27,0,DATEDIF($J$27,AD561+1,"m")))))</f>
        <v>0</v>
      </c>
      <c r="AE562" s="417">
        <f>IF(IF(Q562+R562+S562+T562+U562+V562+W562+AC562+AD562+AB562+AA562+Z562+Y562+X562=12,0,IF(AE561&gt;$J$28,12-DATEDIF($J$28,AE561+1,"m"),IF(AE561&lt;$J$27,0,DATEDIF($J$27,AE561+1,"m"))))&lt;0,0,IF(Q562+R562+S562+T562+U562+V562+W562+AC562+AD562+AB562+AA562+Z562+Y562+X562=12,0,IF(AE561&gt;$J$28,12-DATEDIF($J$28,AE561+1,"m"),IF(AE561&lt;$J$27,0,DATEDIF($J$27,AE561+1,"m")))))</f>
        <v>0</v>
      </c>
      <c r="AF562" s="417">
        <f>IF(IF(Q562+R562+S562+T562+U562+V562+W562+X562+AD562+AE562+AC562+AB562+AA562+Z562+Y562=12,0,IF(AF561&gt;$J$28,12-DATEDIF($J$28,AF561+1,"m"),IF(AF561&lt;$J$27,0,DATEDIF($J$27,AF561+1,"m"))))&lt;0,0,IF(Q562+R562+S562+T562+U562+V562+W562+X562+AD562+AE562+AC562+AB562+AA562+Z562+Y562=12,0,IF(AF561&gt;$J$28,12-DATEDIF($J$28,AF561+1,"m"),IF(AF561&lt;$J$27,0,DATEDIF($J$27,AF561+1,"m")))))</f>
        <v>0</v>
      </c>
      <c r="AG562" s="417">
        <f>IF(IF(Q562+R562+S562+T562+U562+V562+W562+X562+Y562+AE562+AF562+AD562+AC562+AB562+AA562+Z562=12,0,IF(AG561&gt;$J$28,12-DATEDIF($J$28,AG561+1,"m"),IF(AG561&lt;$J$27,0,DATEDIF($J$27,AG561+1,"m"))))&lt;0,0,IF(Q562+R562+S562+T562+U562+V562+W562+X562+Y562+AE562+AF562+AD562+AC562+AB562+AA562+Z562=12,0,IF(AG561&gt;$J$28,12-DATEDIF($J$28,AG561+1,"m"),IF(AG561&lt;$J$27,0,DATEDIF($J$27,AG561+1,"m")))))</f>
        <v>0</v>
      </c>
      <c r="AH562" s="423">
        <f>SUM(Q562:AG562)</f>
        <v>0</v>
      </c>
      <c r="AI562" s="427">
        <f t="shared" si="254"/>
        <v>0</v>
      </c>
      <c r="AJ562" s="427">
        <f t="shared" si="254"/>
        <v>0</v>
      </c>
      <c r="AK562" s="427">
        <f t="shared" si="254"/>
        <v>0</v>
      </c>
      <c r="AL562" s="427">
        <f t="shared" si="254"/>
        <v>0</v>
      </c>
      <c r="AM562" s="427">
        <f t="shared" si="254"/>
        <v>0</v>
      </c>
      <c r="AN562" s="427">
        <f t="shared" si="254"/>
        <v>0</v>
      </c>
      <c r="AO562" s="427">
        <f t="shared" si="254"/>
        <v>0</v>
      </c>
      <c r="AP562" s="427">
        <f t="shared" si="254"/>
        <v>0</v>
      </c>
      <c r="AQ562" s="427">
        <f t="shared" si="254"/>
        <v>0</v>
      </c>
      <c r="AR562" s="427">
        <f t="shared" si="254"/>
        <v>0</v>
      </c>
      <c r="AS562" s="427">
        <f t="shared" si="255"/>
        <v>0</v>
      </c>
      <c r="AT562" s="427">
        <f t="shared" si="255"/>
        <v>0</v>
      </c>
      <c r="AU562" s="427">
        <f t="shared" si="255"/>
        <v>0</v>
      </c>
      <c r="AV562" s="427">
        <f t="shared" si="255"/>
        <v>0</v>
      </c>
      <c r="AW562" s="427">
        <f t="shared" si="255"/>
        <v>0</v>
      </c>
      <c r="AX562" s="427">
        <f t="shared" si="255"/>
        <v>0</v>
      </c>
      <c r="AY562" s="427">
        <f t="shared" si="255"/>
        <v>0</v>
      </c>
      <c r="AZ562" s="427">
        <f>SUM(AI562:AY562)</f>
        <v>0</v>
      </c>
    </row>
    <row r="563" spans="17:52" hidden="1">
      <c r="Q563" s="417">
        <f>IF(Q562=0,0,(IF(($B$186+$C$186+$D$186+$E$186+$F$186+$G$186+$H$186+$I$186+$J$186)&lt;=25000,(($J$186/+$AH562)*Q562)*VLOOKUP('1. SUMMARY'!$C$20,rate,Sheet1!T$21,0),((IF(($F$186+$B$186+$C$186+$D$186+$E$186+$G$186+$H$186+$I$186)&gt;=25000,0,(((25000-($B$186+$C$186+$D$186+$E$186+$F$186+$G$186+$H$186+$I$186))/+$AH562)*Q562)*(VLOOKUP('1. SUMMARY'!$C$20,rate,Sheet1!T$21,0))))))))</f>
        <v>0</v>
      </c>
      <c r="R563" s="417">
        <f>IF(R562=0,0,(IF(($B$186+$C$186+$D$186+$E$186+$F$186+$G$186+$H$186+$I$186+$J$186)&lt;=25000,(($J$186/+$AH562)*R562)*VLOOKUP('1. SUMMARY'!$C$20,rate,Sheet1!U$21,0),((IF(($F$186+$B$186+$C$186+$D$186+$E$186+$G$186+$H$186+$I$186)&gt;=25000,0,(((25000-($B$186+$C$186+$D$186+$E$186+$F$186+$G$186+$H$186+$I$186))/+$AH562)*R562)*(VLOOKUP('1. SUMMARY'!$C$20,rate,Sheet1!U$21,0))))))))</f>
        <v>0</v>
      </c>
      <c r="S563" s="417">
        <f>IF(S562=0,0,(IF(($B$186+$C$186+$D$186+$E$186+$F$186+$G$186+$H$186+$I$186+$J$186)&lt;=25000,(($J$186/+$AH562)*S562)*VLOOKUP('1. SUMMARY'!$C$20,rate,Sheet1!V$21,0),((IF(($F$186+$B$186+$C$186+$D$186+$E$186+$G$186+$H$186+$I$186)&gt;=25000,0,(((25000-($B$186+$C$186+$D$186+$E$186+$F$186+$G$186+$H$186+$I$186))/+$AH562)*S562)*(VLOOKUP('1. SUMMARY'!$C$20,rate,Sheet1!V$21,0))))))))</f>
        <v>0</v>
      </c>
      <c r="T563" s="417">
        <f>IF(T562=0,0,(IF(($B$186+$C$186+$D$186+$E$186+$F$186+$G$186+$H$186+$I$186+$J$186)&lt;=25000,(($J$186/+$AH562)*T562)*VLOOKUP('1. SUMMARY'!$C$20,rate,Sheet1!W$21,0),((IF(($F$186+$B$186+$C$186+$D$186+$E$186+$G$186+$H$186+$I$186)&gt;=25000,0,(((25000-($B$186+$C$186+$D$186+$E$186+$F$186+$G$186+$H$186+$I$186))/+$AH562)*T562)*(VLOOKUP('1. SUMMARY'!$C$20,rate,Sheet1!W$21,0))))))))</f>
        <v>0</v>
      </c>
      <c r="U563" s="417">
        <f>IF(U562=0,0,(IF(($B$186+$C$186+$D$186+$E$186+$F$186+$G$186+$H$186+$I$186+$J$186)&lt;=25000,(($J$186/+$AH562)*U562)*VLOOKUP('1. SUMMARY'!$C$20,rate,Sheet1!X$21,0),((IF(($F$186+$B$186+$C$186+$D$186+$E$186+$G$186+$H$186+$I$186)&gt;=25000,0,(((25000-($B$186+$C$186+$D$186+$E$186+$F$186+$G$186+$H$186+$I$186))/+$AH562)*U562)*(VLOOKUP('1. SUMMARY'!$C$20,rate,Sheet1!X$21,0))))))))</f>
        <v>0</v>
      </c>
      <c r="V563" s="417">
        <f>IF(V562=0,0,(IF(($B$186+$C$186+$D$186+$E$186+$F$186+$G$186+$H$186+$I$186+$J$186)&lt;=25000,(($J$186/+$AH562)*V562)*VLOOKUP('1. SUMMARY'!$C$20,rate,Sheet1!Y$21,0),((IF(($F$186+$B$186+$C$186+$D$186+$E$186+$G$186+$H$186+$I$186)&gt;=25000,0,(((25000-($B$186+$C$186+$D$186+$E$186+$F$186+$G$186+$H$186+$I$186))/+$AH562)*V562)*(VLOOKUP('1. SUMMARY'!$C$20,rate,Sheet1!Y$21,0))))))))</f>
        <v>0</v>
      </c>
      <c r="W563" s="417">
        <f>IF(W562=0,0,(IF(($B$186+$C$186+$D$186+$E$186+$F$186+$G$186+$H$186+$I$186+$J$186)&lt;=25000,(($J$186/+$AH562)*W562)*VLOOKUP('1. SUMMARY'!$C$20,rate,Sheet1!Z$21,0),((IF(($F$186+$B$186+$C$186+$D$186+$E$186+$G$186+$H$186+$I$186)&gt;=25000,0,(((25000-($B$186+$C$186+$D$186+$E$186+$F$186+$G$186+$H$186+$I$186))/+$AH562)*W562)*(VLOOKUP('1. SUMMARY'!$C$20,rate,Sheet1!Z$21,0))))))))</f>
        <v>0</v>
      </c>
      <c r="X563" s="417">
        <f>IF(X562=0,0,(IF(($B$186+$C$186+$D$186+$E$186+$F$186+$G$186+$H$186+$I$186+$J$186)&lt;=25000,(($J$186/+$AH562)*X562)*VLOOKUP('1. SUMMARY'!$C$20,rate,Sheet1!AA$21,0),((IF(($F$186+$B$186+$C$186+$D$186+$E$186+$G$186+$H$186+$I$186)&gt;=25000,0,(((25000-($B$186+$C$186+$D$186+$E$186+$F$186+$G$186+$H$186+$I$186))/+$AH562)*X562)*(VLOOKUP('1. SUMMARY'!$C$20,rate,Sheet1!AA$21,0))))))))</f>
        <v>0</v>
      </c>
      <c r="Y563" s="417">
        <f>IF(Y562=0,0,(IF(($B$186+$C$186+$D$186+$E$186+$F$186+$G$186+$H$186+$I$186+$J$186)&lt;=25000,(($J$186/+$AH562)*Y562)*VLOOKUP('1. SUMMARY'!$C$20,rate,Sheet1!AB$21,0),((IF(($F$186+$B$186+$C$186+$D$186+$E$186+$G$186+$H$186+$I$186)&gt;=25000,0,(((25000-($B$186+$C$186+$D$186+$E$186+$F$186+$G$186+$H$186+$I$186))/+$AH562)*Y562)*(VLOOKUP('1. SUMMARY'!$C$20,rate,Sheet1!AB$21,0))))))))</f>
        <v>0</v>
      </c>
      <c r="Z563" s="417">
        <f>IF(Z562=0,0,(IF(($B$186+$C$186+$D$186+$E$186+$F$186+$G$186+$H$186+$I$186+$J$186)&lt;=25000,(($J$186/+$AH562)*Z562)*VLOOKUP('1. SUMMARY'!$C$20,rate,Sheet1!AC$21,0),((IF(($F$186+$B$186+$C$186+$D$186+$E$186+$G$186+$H$186+$I$186)&gt;=25000,0,(((25000-($B$186+$C$186+$D$186+$E$186+$F$186+$G$186+$H$186+$I$186))/+$AH562)*Z562)*(VLOOKUP('1. SUMMARY'!$C$20,rate,Sheet1!AC$21,0))))))))</f>
        <v>0</v>
      </c>
      <c r="AA563" s="417">
        <f>IF(AA562=0,0,(IF(($B$186+$C$186+$D$186+$E$186+$F$186+$G$186+$H$186+$I$186+$J$186)&lt;=25000,(($J$186/+$AH562)*AA562)*VLOOKUP('1. SUMMARY'!$C$20,rate,Sheet1!AD$21,0),((IF(($F$186+$B$186+$C$186+$D$186+$E$186+$G$186+$H$186+$I$186)&gt;=25000,0,(((25000-($B$186+$C$186+$D$186+$E$186+$F$186+$G$186+$H$186+$I$186))/+$AH562)*AA562)*(VLOOKUP('1. SUMMARY'!$C$20,rate,Sheet1!AD$21,0))))))))</f>
        <v>0</v>
      </c>
      <c r="AB563" s="417">
        <f>IF(AB562=0,0,(IF(($B$186+$C$186+$D$186+$E$186+$F$186+$G$186+$H$186+$I$186+$J$186)&lt;=25000,(($J$186/+$AH562)*AB562)*VLOOKUP('1. SUMMARY'!$C$20,rate,Sheet1!AE$21,0),((IF(($F$186+$B$186+$C$186+$D$186+$E$186+$G$186+$H$186+$I$186)&gt;=25000,0,(((25000-($B$186+$C$186+$D$186+$E$186+$F$186+$G$186+$H$186+$I$186))/+$AH562)*AB562)*(VLOOKUP('1. SUMMARY'!$C$20,rate,Sheet1!AE$21,0))))))))</f>
        <v>0</v>
      </c>
      <c r="AC563" s="417">
        <f>IF(AC562=0,0,(IF(($B$186+$C$186+$D$186+$E$186+$F$186+$G$186+$H$186+$I$186+$J$186)&lt;=25000,(($J$186/+$AH562)*AC562)*VLOOKUP('1. SUMMARY'!$C$20,rate,Sheet1!AF$21,0),((IF(($F$186+$B$186+$C$186+$D$186+$E$186+$G$186+$H$186+$I$186)&gt;=25000,0,(((25000-($B$186+$C$186+$D$186+$E$186+$F$186+$G$186+$H$186+$I$186))/+$AH562)*AC562)*(VLOOKUP('1. SUMMARY'!$C$20,rate,Sheet1!AF$21,0))))))))</f>
        <v>0</v>
      </c>
      <c r="AD563" s="417">
        <f>IF(AD562=0,0,(IF(($B$186+$C$186+$D$186+$E$186+$F$186+$G$186+$H$186+$I$186+$J$186)&lt;=25000,(($J$186/+$AH562)*AD562)*VLOOKUP('1. SUMMARY'!$C$20,rate,Sheet1!AG$21,0),((IF(($F$186+$B$186+$C$186+$D$186+$E$186+$G$186+$H$186+$I$186)&gt;=25000,0,(((25000-($B$186+$C$186+$D$186+$E$186+$F$186+$G$186+$H$186+$I$186))/+$AH562)*AD562)*(VLOOKUP('1. SUMMARY'!$C$20,rate,Sheet1!AG$21,0))))))))</f>
        <v>0</v>
      </c>
      <c r="AE563" s="417">
        <f>IF(AE562=0,0,(IF(($B$186+$C$186+$D$186+$E$186+$F$186+$G$186+$H$186+$I$186+$J$186)&lt;=25000,(($J$186/+$AH562)*AE562)*VLOOKUP('1. SUMMARY'!$C$20,rate,Sheet1!AH$21,0),((IF(($F$186+$B$186+$C$186+$D$186+$E$186+$G$186+$H$186+$I$186)&gt;=25000,0,(((25000-($B$186+$C$186+$D$186+$E$186+$F$186+$G$186+$H$186+$I$186))/+$AH562)*AE562)*(VLOOKUP('1. SUMMARY'!$C$20,rate,Sheet1!AH$21,0))))))))</f>
        <v>0</v>
      </c>
      <c r="AF563" s="417">
        <f>IF(AF562=0,0,(IF(($B$186+$C$186+$D$186+$E$186+$F$186+$G$186+$H$186+$I$186+$J$186)&lt;=25000,(($J$186/+$AH562)*AF562)*VLOOKUP('1. SUMMARY'!$C$20,rate,Sheet1!AI$21,0),((IF(($F$186+$B$186+$C$186+$D$186+$E$186+$G$186+$H$186+$I$186)&gt;=25000,0,(((25000-($B$186+$C$186+$D$186+$E$186+$F$186+$G$186+$H$186+$I$186))/+$AH562)*AF562)*(VLOOKUP('1. SUMMARY'!$C$20,rate,Sheet1!AI$21,0))))))))</f>
        <v>0</v>
      </c>
      <c r="AG563" s="417">
        <f>IF(AG562=0,0,(IF(($B$186+$C$186+$D$186+$E$186+$F$186+$G$186+$H$186+$I$186+$J$186)&lt;=25000,(($J$186/+$AH562)*AG562)*VLOOKUP('1. SUMMARY'!$C$20,rate,Sheet1!AJ$21,0),((IF(($F$186+$B$186+$C$186+$D$186+$E$186+$G$186+$H$186+$I$186)&gt;=25000,0,(((25000-($B$186+$C$186+$D$186+$E$186+$F$186+$G$186+$H$186+$I$186))/+$AH562)*AG562)*(VLOOKUP('1. SUMMARY'!$C$20,rate,Sheet1!AJ$21,0))))))))</f>
        <v>0</v>
      </c>
      <c r="AH563" s="219">
        <f>SUM(Q563:AG563)</f>
        <v>0</v>
      </c>
      <c r="AI563" s="417">
        <f>IF(AI562=0,0,((+$J186/$AZ562)*AI562)*VLOOKUP('1. SUMMARY'!$C$20,rate,Sheet1!T$21,0))</f>
        <v>0</v>
      </c>
      <c r="AJ563" s="417">
        <f>IF(AJ562=0,0,((+$J186/$AZ562)*AJ562)*VLOOKUP('1. SUMMARY'!$C$20,rate,Sheet1!U$21,0))</f>
        <v>0</v>
      </c>
      <c r="AK563" s="417">
        <f>IF(AK562=0,0,((+$J186/$AZ562)*AK562)*VLOOKUP('1. SUMMARY'!$C$20,rate,Sheet1!V$21,0))</f>
        <v>0</v>
      </c>
      <c r="AL563" s="417">
        <f>IF(AL562=0,0,((+$J186/$AZ562)*AL562)*VLOOKUP('1. SUMMARY'!$C$20,rate,Sheet1!W$21,0))</f>
        <v>0</v>
      </c>
      <c r="AM563" s="417">
        <f>IF(AM562=0,0,((+$J186/$AZ562)*AM562)*VLOOKUP('1. SUMMARY'!$C$20,rate,Sheet1!X$21,0))</f>
        <v>0</v>
      </c>
      <c r="AN563" s="417">
        <f>IF(AN562=0,0,((+$J186/$AZ562)*AN562)*VLOOKUP('1. SUMMARY'!$C$20,rate,Sheet1!Y$21,0))</f>
        <v>0</v>
      </c>
      <c r="AO563" s="417">
        <f>IF(AO562=0,0,((+$J186/$AZ562)*AO562)*VLOOKUP('1. SUMMARY'!$C$20,rate,Sheet1!Z$21,0))</f>
        <v>0</v>
      </c>
      <c r="AP563" s="417">
        <f>IF(AP562=0,0,((+$J186/$AZ562)*AP562)*VLOOKUP('1. SUMMARY'!$C$20,rate,Sheet1!AA$21,0))</f>
        <v>0</v>
      </c>
      <c r="AQ563" s="417">
        <f>IF(AQ562=0,0,((+$J186/$AZ562)*AQ562)*VLOOKUP('1. SUMMARY'!$C$20,rate,Sheet1!AB$21,0))</f>
        <v>0</v>
      </c>
      <c r="AR563" s="417">
        <f>IF(AR562=0,0,((+$J186/$AZ562)*AR562)*VLOOKUP('1. SUMMARY'!$C$20,rate,Sheet1!AC$21,0))</f>
        <v>0</v>
      </c>
      <c r="AS563" s="417">
        <f>IF(AS562=0,0,((+$J186/$AZ562)*AS562)*VLOOKUP('1. SUMMARY'!$C$20,rate,Sheet1!AD$21,0))</f>
        <v>0</v>
      </c>
      <c r="AT563" s="417">
        <f>IF(AT562=0,0,((+$J186/$AZ562)*AT562)*VLOOKUP('1. SUMMARY'!$C$20,rate,Sheet1!AE$21,0))</f>
        <v>0</v>
      </c>
      <c r="AU563" s="417">
        <f>IF(AU562=0,0,((+$J186/$AZ562)*AU562)*VLOOKUP('1. SUMMARY'!$C$20,rate,Sheet1!AF$21,0))</f>
        <v>0</v>
      </c>
      <c r="AV563" s="417">
        <f>IF(AV562=0,0,((+$J186/$AZ562)*AV562)*VLOOKUP('1. SUMMARY'!$C$20,rate,Sheet1!AG$21,0))</f>
        <v>0</v>
      </c>
      <c r="AW563" s="417">
        <f>IF(AW562=0,0,((+$J186/$AZ562)*AW562)*VLOOKUP('1. SUMMARY'!$C$20,rate,Sheet1!AH$21,0))</f>
        <v>0</v>
      </c>
      <c r="AX563" s="417">
        <f>IF(AX562=0,0,((+$J186/$AZ562)*AX562)*VLOOKUP('1. SUMMARY'!$C$20,rate,Sheet1!AI$21,0))</f>
        <v>0</v>
      </c>
      <c r="AY563" s="417">
        <f>IF(AY562=0,0,((+$J186/$AZ562)*AY562)*VLOOKUP('1. SUMMARY'!$C$20,rate,Sheet1!AJ$21,0))</f>
        <v>0</v>
      </c>
      <c r="AZ563" s="417">
        <f>SUM(AI563:AY563)</f>
        <v>0</v>
      </c>
    </row>
    <row r="564" spans="17:52" hidden="1">
      <c r="Q564" s="417">
        <f>+Q563/VLOOKUP('1. SUMMARY'!$C$20,rate,Sheet1!T$21,0)</f>
        <v>0</v>
      </c>
      <c r="R564" s="417">
        <f>+R563/VLOOKUP('1. SUMMARY'!$C$20,rate,Sheet1!U$21,0)</f>
        <v>0</v>
      </c>
      <c r="S564" s="417">
        <f>+S563/VLOOKUP('1. SUMMARY'!$C$20,rate,Sheet1!V$21,0)</f>
        <v>0</v>
      </c>
      <c r="T564" s="417">
        <f>+T563/VLOOKUP('1. SUMMARY'!$C$20,rate,Sheet1!W$21,0)</f>
        <v>0</v>
      </c>
      <c r="U564" s="417">
        <f>+U563/VLOOKUP('1. SUMMARY'!$C$20,rate,Sheet1!X$21,0)</f>
        <v>0</v>
      </c>
      <c r="V564" s="417">
        <f>+V563/VLOOKUP('1. SUMMARY'!$C$20,rate,Sheet1!Y$21,0)</f>
        <v>0</v>
      </c>
      <c r="W564" s="417">
        <f>+W563/VLOOKUP('1. SUMMARY'!$C$20,rate,Sheet1!Z$21,0)</f>
        <v>0</v>
      </c>
      <c r="X564" s="417">
        <f>+X563/VLOOKUP('1. SUMMARY'!$C$20,rate,Sheet1!AA$21,0)</f>
        <v>0</v>
      </c>
      <c r="Y564" s="417">
        <f>+Y563/VLOOKUP('1. SUMMARY'!$C$20,rate,Sheet1!AB$21,0)</f>
        <v>0</v>
      </c>
      <c r="Z564" s="417">
        <f>+Z563/VLOOKUP('1. SUMMARY'!$C$20,rate,Sheet1!AC$21,0)</f>
        <v>0</v>
      </c>
      <c r="AA564" s="417">
        <f>+AA563/VLOOKUP('1. SUMMARY'!$C$20,rate,Sheet1!AD$21,0)</f>
        <v>0</v>
      </c>
      <c r="AB564" s="417">
        <f>+AB563/VLOOKUP('1. SUMMARY'!$C$20,rate,Sheet1!AE$21,0)</f>
        <v>0</v>
      </c>
      <c r="AC564" s="417">
        <f>+AC563/VLOOKUP('1. SUMMARY'!$C$20,rate,Sheet1!AF$21,0)</f>
        <v>0</v>
      </c>
      <c r="AD564" s="417">
        <f>+AD563/VLOOKUP('1. SUMMARY'!$C$20,rate,Sheet1!AG$21,0)</f>
        <v>0</v>
      </c>
      <c r="AE564" s="417">
        <f>+AE563/VLOOKUP('1. SUMMARY'!$C$20,rate,Sheet1!AH$21,0)</f>
        <v>0</v>
      </c>
      <c r="AF564" s="417">
        <f>+AF563/VLOOKUP('1. SUMMARY'!$C$20,rate,Sheet1!AI$21,0)</f>
        <v>0</v>
      </c>
      <c r="AG564" s="417">
        <f>+AG563/VLOOKUP('1. SUMMARY'!$C$20,rate,Sheet1!AJ$21,0)</f>
        <v>0</v>
      </c>
      <c r="AH564" s="219"/>
      <c r="AI564" s="417"/>
      <c r="AJ564" s="417"/>
      <c r="AK564" s="417"/>
      <c r="AL564" s="417"/>
      <c r="AM564" s="417"/>
      <c r="AN564" s="417"/>
      <c r="AO564" s="417"/>
      <c r="AP564" s="417"/>
      <c r="AQ564" s="417"/>
      <c r="AR564" s="417"/>
      <c r="AS564" s="417"/>
      <c r="AT564" s="417"/>
      <c r="AU564" s="417"/>
      <c r="AV564" s="417"/>
      <c r="AW564" s="417"/>
      <c r="AX564" s="417"/>
      <c r="AY564" s="417"/>
      <c r="AZ564" s="417"/>
    </row>
    <row r="565" spans="17:52" hidden="1">
      <c r="Q565" s="420">
        <f>Sheet1!$T$8</f>
        <v>44105</v>
      </c>
      <c r="R565" s="420">
        <f>Sheet1!$U$8</f>
        <v>44470</v>
      </c>
      <c r="S565" s="420">
        <f>Sheet1!$V$8</f>
        <v>44835</v>
      </c>
      <c r="T565" s="420">
        <f>Sheet1!$W$8</f>
        <v>45200</v>
      </c>
      <c r="U565" s="420">
        <f>Sheet1!$X$8</f>
        <v>45566</v>
      </c>
      <c r="V565" s="420">
        <f>Sheet1!$Y$8</f>
        <v>45931</v>
      </c>
      <c r="W565" s="420">
        <f>Sheet1!$Z$8</f>
        <v>46296</v>
      </c>
      <c r="X565" s="420">
        <f>Sheet1!$AA$8</f>
        <v>46661</v>
      </c>
      <c r="Y565" s="420">
        <f>Sheet1!$AB$8</f>
        <v>47027</v>
      </c>
      <c r="Z565" s="420">
        <f>Sheet1!$AC$8</f>
        <v>47392</v>
      </c>
      <c r="AA565" s="420">
        <f>$AA$5</f>
        <v>47757</v>
      </c>
      <c r="AB565" s="420">
        <f>$AB$5</f>
        <v>48122</v>
      </c>
      <c r="AC565" s="420">
        <f>$AC$5</f>
        <v>48488</v>
      </c>
      <c r="AD565" s="420">
        <f>$AD$5</f>
        <v>48853</v>
      </c>
      <c r="AE565" s="420">
        <f>$AE$5</f>
        <v>49218</v>
      </c>
      <c r="AF565" s="420">
        <f>$AF$5</f>
        <v>49583</v>
      </c>
      <c r="AG565" s="420">
        <f>$AG$5</f>
        <v>49949</v>
      </c>
      <c r="AH565" s="219"/>
      <c r="AI565" s="420">
        <f t="shared" ref="AI565:AR567" si="256">+Q565</f>
        <v>44105</v>
      </c>
      <c r="AJ565" s="420">
        <f t="shared" si="256"/>
        <v>44470</v>
      </c>
      <c r="AK565" s="420">
        <f t="shared" si="256"/>
        <v>44835</v>
      </c>
      <c r="AL565" s="420">
        <f t="shared" si="256"/>
        <v>45200</v>
      </c>
      <c r="AM565" s="420">
        <f t="shared" si="256"/>
        <v>45566</v>
      </c>
      <c r="AN565" s="420">
        <f t="shared" si="256"/>
        <v>45931</v>
      </c>
      <c r="AO565" s="420">
        <f t="shared" si="256"/>
        <v>46296</v>
      </c>
      <c r="AP565" s="420">
        <f t="shared" si="256"/>
        <v>46661</v>
      </c>
      <c r="AQ565" s="420">
        <f t="shared" si="256"/>
        <v>47027</v>
      </c>
      <c r="AR565" s="420">
        <f t="shared" si="256"/>
        <v>47392</v>
      </c>
      <c r="AS565" s="420">
        <f t="shared" ref="AS565:AY567" si="257">+AA565</f>
        <v>47757</v>
      </c>
      <c r="AT565" s="420">
        <f t="shared" si="257"/>
        <v>48122</v>
      </c>
      <c r="AU565" s="420">
        <f t="shared" si="257"/>
        <v>48488</v>
      </c>
      <c r="AV565" s="420">
        <f t="shared" si="257"/>
        <v>48853</v>
      </c>
      <c r="AW565" s="420">
        <f t="shared" si="257"/>
        <v>49218</v>
      </c>
      <c r="AX565" s="420">
        <f t="shared" si="257"/>
        <v>49583</v>
      </c>
      <c r="AY565" s="420">
        <f t="shared" si="257"/>
        <v>49949</v>
      </c>
      <c r="AZ565" s="420"/>
    </row>
    <row r="566" spans="17:52" hidden="1">
      <c r="Q566" s="420">
        <f>Sheet1!$T$9</f>
        <v>44469</v>
      </c>
      <c r="R566" s="420">
        <f>Sheet1!$U$9</f>
        <v>44834</v>
      </c>
      <c r="S566" s="420">
        <f>Sheet1!$V$9</f>
        <v>45199</v>
      </c>
      <c r="T566" s="420">
        <f>Sheet1!$W$9</f>
        <v>45565</v>
      </c>
      <c r="U566" s="420">
        <f>Sheet1!$X$9</f>
        <v>45930</v>
      </c>
      <c r="V566" s="420">
        <f>Sheet1!$Y$9</f>
        <v>46295</v>
      </c>
      <c r="W566" s="420">
        <f>Sheet1!$Z$9</f>
        <v>46660</v>
      </c>
      <c r="X566" s="420">
        <f>Sheet1!$AA$9</f>
        <v>47026</v>
      </c>
      <c r="Y566" s="420">
        <f>Sheet1!$AB$9</f>
        <v>47391</v>
      </c>
      <c r="Z566" s="420">
        <f>Sheet1!$AC$9</f>
        <v>47756</v>
      </c>
      <c r="AA566" s="420">
        <f>$AA$6</f>
        <v>48121</v>
      </c>
      <c r="AB566" s="420">
        <f>$AB$6</f>
        <v>48487</v>
      </c>
      <c r="AC566" s="420">
        <f>$AC$6</f>
        <v>48852</v>
      </c>
      <c r="AD566" s="420">
        <f>$AD$6</f>
        <v>49217</v>
      </c>
      <c r="AE566" s="420">
        <f>$AE$6</f>
        <v>49582</v>
      </c>
      <c r="AF566" s="420">
        <f>$AF$6</f>
        <v>49948</v>
      </c>
      <c r="AG566" s="420">
        <f>$AG$6</f>
        <v>50313</v>
      </c>
      <c r="AH566" s="219"/>
      <c r="AI566" s="420">
        <f t="shared" si="256"/>
        <v>44469</v>
      </c>
      <c r="AJ566" s="420">
        <f t="shared" si="256"/>
        <v>44834</v>
      </c>
      <c r="AK566" s="420">
        <f t="shared" si="256"/>
        <v>45199</v>
      </c>
      <c r="AL566" s="420">
        <f t="shared" si="256"/>
        <v>45565</v>
      </c>
      <c r="AM566" s="420">
        <f t="shared" si="256"/>
        <v>45930</v>
      </c>
      <c r="AN566" s="420">
        <f t="shared" si="256"/>
        <v>46295</v>
      </c>
      <c r="AO566" s="420">
        <f t="shared" si="256"/>
        <v>46660</v>
      </c>
      <c r="AP566" s="420">
        <f t="shared" si="256"/>
        <v>47026</v>
      </c>
      <c r="AQ566" s="420">
        <f t="shared" si="256"/>
        <v>47391</v>
      </c>
      <c r="AR566" s="420">
        <f t="shared" si="256"/>
        <v>47756</v>
      </c>
      <c r="AS566" s="420">
        <f t="shared" si="257"/>
        <v>48121</v>
      </c>
      <c r="AT566" s="420">
        <f t="shared" si="257"/>
        <v>48487</v>
      </c>
      <c r="AU566" s="420">
        <f t="shared" si="257"/>
        <v>48852</v>
      </c>
      <c r="AV566" s="420">
        <f t="shared" si="257"/>
        <v>49217</v>
      </c>
      <c r="AW566" s="420">
        <f t="shared" si="257"/>
        <v>49582</v>
      </c>
      <c r="AX566" s="420">
        <f t="shared" si="257"/>
        <v>49948</v>
      </c>
      <c r="AY566" s="420">
        <f t="shared" si="257"/>
        <v>50313</v>
      </c>
      <c r="AZ566" s="420"/>
    </row>
    <row r="567" spans="17:52" hidden="1">
      <c r="Q567" s="421">
        <f>IF(IF(Q566&lt;$K$27,0,DATEDIF($K$27,Q566+1,"m"))&lt;0,0,IF(Q566&lt;$K$27,0,DATEDIF($K$27,Q566+1,"m")))</f>
        <v>0</v>
      </c>
      <c r="R567" s="421">
        <f>IF(IF(Q567=12,0,IF(R566&gt;$K$28,12-DATEDIF($K$28,R566+1,"m"),IF(R566&lt;$K$27,0,DATEDIF($K$27,R566+1,"m"))))&lt;0,0,IF(Q567=12,0,IF(R566&gt;$K$28,12-DATEDIF($K$28,R566+1,"m"),IF(R566&lt;$K$27,0,DATEDIF($K$27,R566+1,"m")))))</f>
        <v>0</v>
      </c>
      <c r="S567" s="421">
        <f>IF(IF(Q567+R567=12,0,IF(S566&gt;$K$28,12-DATEDIF($K$28,S566+1,"m"),IF(S566&lt;$K$27,0,DATEDIF($K$27,S566+1,"m"))))&lt;0,0,IF(Q567+R567=12,0,IF(S566&gt;$K$28,12-DATEDIF($K$28,S566+1,"m"),IF(S566&lt;$K$27,0,DATEDIF($K$27,S566+1,"m")))))</f>
        <v>0</v>
      </c>
      <c r="T567" s="421">
        <f>IF(IF(R567+S567+Q567=12,0,IF(T566&gt;$K$28,12-DATEDIF($K$28,T566+1,"m"),IF(T566&lt;$K$27,0,DATEDIF($K$27,T566+1,"m"))))&lt;0,0,IF(R567+S567+Q567=12,0,IF(T566&gt;$K$28,12-DATEDIF($K$28,T566+1,"m"),IF(T566&lt;$K$27,0,DATEDIF($K$27,T566+1,"m")))))</f>
        <v>0</v>
      </c>
      <c r="U567" s="421">
        <f>IF(IF(S567+T567+R567+Q567=12,0,IF(U566&gt;$K$28,12-DATEDIF($K$28,U566+1,"m"),IF(U566&lt;$K$27,0,DATEDIF($K$27,U566+1,"m"))))&lt;0,0,IF(S567+T567+R567+Q567=12,0,IF(U566&gt;$K$28,12-DATEDIF($K$28,U566+1,"m"),IF(U566&lt;$K$27,0,DATEDIF($K$27,U566+1,"m")))))</f>
        <v>0</v>
      </c>
      <c r="V567" s="421">
        <f>IF(IF(T567+U567+S567+R567+Q567=12,0,IF(V566&gt;$K$28,12-DATEDIF($K$28,V566+1,"m"),IF(V566&lt;$K$27,0,DATEDIF($K$27,V566+1,"m"))))&lt;0,0,IF(T567+U567+S567+R567+Q567=12,0,IF(V566&gt;$K$28,12-DATEDIF($K$28,V566+1,"m"),IF(V566&lt;$K$27,0,DATEDIF($K$27,V566+1,"m")))))</f>
        <v>0</v>
      </c>
      <c r="W567" s="421">
        <f>IF(IF(U567+V567+T567+S567+R567+Q567=12,0,IF(W566&gt;$K$28,12-DATEDIF($K$28,W566+1,"m"),IF(W566&lt;$K$27,0,DATEDIF($K$27,W566+1,"m"))))&lt;0,0,IF(U567+V567+T567+S567+R567+Q567=12,0,IF(W566&gt;$K$28,12-DATEDIF($K$28,W566+1,"m"),IF(W566&lt;$K$27,0,DATEDIF($K$27,W566+1,"m")))))</f>
        <v>0</v>
      </c>
      <c r="X567" s="421">
        <f>IF(IF(V567+W567+U567+T567+S567+R567+Q567=12,0,IF(X566&gt;$K$28,12-DATEDIF($K$28,X566+1,"m"),IF(X566&lt;$K$27,0,DATEDIF($K$27,X566+1,"m"))))&lt;0,0,IF(V567+W567+U567+T567+S567+R567+Q567=12,0,IF(X566&gt;$K$28,12-DATEDIF($K$28,X566+1,"m"),IF(X566&lt;$K$27,0,DATEDIF($K$27,X566+1,"m")))))</f>
        <v>0</v>
      </c>
      <c r="Y567" s="421">
        <f>IF(IF(W567+X567+V567+U567+T567+S567+R567+Q567=12,0,IF(Y566&gt;$K$28,12-DATEDIF($K$28,Y566+1,"m"),IF(Y566&lt;$K$27,0,DATEDIF($K$27,Y566+1,"m"))))&lt;0,0,IF(W567+X567+V567+U567+T567+S567+R567+Q567=12,0,IF(Y566&gt;$K$28,12-DATEDIF($K$28,Y566+1,"m"),IF(Y566&lt;$K$27,0,DATEDIF($K$27,Y566+1,"m")))))</f>
        <v>0</v>
      </c>
      <c r="Z567" s="421">
        <f>IF(IF(X567+Y567+W567+V567+U567+T567+S567+R567+Q567=12,0,IF(Z566&gt;$K$28,12-DATEDIF($K$28,Z566+1,"m"),IF(Z566&lt;$K$27,0,DATEDIF($K$27,Z566+1,"m"))))&lt;0,0,IF(X567+Y567+W567+V567+U567+T567+S567+R567+Q567=12,0,IF(Z566&gt;$K$28,12-DATEDIF($K$28,Z566+1,"m"),IF(Z566&lt;$K$27,0,DATEDIF($K$27,Z566+1,"m")))))</f>
        <v>0</v>
      </c>
      <c r="AA567" s="421">
        <f>IF(IF(Q567+R567+S567+Y567+Z567+X567+W567+V567+U567+T567=12,0,IF(AA566&gt;$K$28,12-DATEDIF($K$28,AA566+1,"m"),IF(AA566&lt;$K$27,0,DATEDIF($K$27,AA566+1,"m"))))&lt;0,0,IF(Q567+R567+S567+Y567+Z567+X567+W567+V567+U567+T567=12,0,IF(AA566&gt;$K$28,12-DATEDIF($K$28,AA566+1,"m"),IF(AA566&lt;$K$27,0,DATEDIF($K$27,AA566+1,"m")))))</f>
        <v>0</v>
      </c>
      <c r="AB567" s="421">
        <f>IF(IF(Q567+R567+S567+T567+Z567+AA567+Y567+X567+W567+V567+U567=12,0,IF(AB566&gt;$K$28,12-DATEDIF($K$28,AB566+1,"m"),IF(AB566&lt;$K$27,0,DATEDIF($K$27,AB566+1,"m"))))&lt;0,0,IF(Q567+R567+S567+T567+Z567+AA567+Y567+X567+W567+V567+U567=12,0,IF(AB566&gt;$K$28,12-DATEDIF($K$28,AB566+1,"m"),IF(AB566&lt;$K$27,0,DATEDIF($K$27,AB566+1,"m")))))</f>
        <v>0</v>
      </c>
      <c r="AC567" s="421">
        <f>IF(IF(Q567+R567+S567+T567+U567+AA567+AB567+Z567+Y567+X567+W567+V567=12,0,IF(AC566&gt;$K$28,12-DATEDIF($K$28,AC566+1,"m"),IF(AC566&lt;$K$27,0,DATEDIF($K$27,AC566+1,"m"))))&lt;0,0,IF(Q567+R567+S567+T567+U567+AA567+AB567+Z567+Y567+X567+W567+V567=12,0,IF(AC566&gt;$K$28,12-DATEDIF($K$28,AC566+1,"m"),IF(AC566&lt;$K$27,0,DATEDIF($K$27,AC566+1,"m")))))</f>
        <v>0</v>
      </c>
      <c r="AD567" s="421">
        <f>IF(IF(Q567+R567+S567+T567+U567+V567+AB567+AC567+AA567+Z567+Y567+X567+W567=12,0,IF(AD566&gt;$K$28,12-DATEDIF($K$28,AD566+1,"m"),IF(AD566&lt;$K$27,0,DATEDIF($K$27,AD566+1,"m"))))&lt;0,0,IF(Q567+R567+S567+T567+U567+V567+AB567+AC567+AA567+Z567+Y567+X567+W567=12,0,IF(AD566&gt;$K$28,12-DATEDIF($K$28,AD566+1,"m"),IF(AD566&lt;$K$27,0,DATEDIF($K$27,AD566+1,"m")))))</f>
        <v>0</v>
      </c>
      <c r="AE567" s="421">
        <f>IF(IF(Q567+R567+S567+T567+U567+V567+W567+AC567+AD567+AB567+AA567+Z567+Y567+X567=12,0,IF(AE566&gt;$K$28,12-DATEDIF($K$28,AE566+1,"m"),IF(AE566&lt;$K$27,0,DATEDIF($K$27,AE566+1,"m"))))&lt;0,0,IF(Q567+R567+S567+T567+U567+V567+W567+AC567+AD567+AB567+AA567+Z567+Y567+X567=12,0,IF(AE566&gt;$K$28,12-DATEDIF($K$28,AE566+1,"m"),IF(AE566&lt;$K$27,0,DATEDIF($K$27,AE566+1,"m")))))</f>
        <v>0</v>
      </c>
      <c r="AF567" s="421">
        <f>IF(IF(Q567+R567+S567+T567+U567+V567+W567+X567+AD567+AE567+AC567+AB567+AA567+Z567+Y567=12,0,IF(AF566&gt;$K$28,12-DATEDIF($K$28,AF566+1,"m"),IF(AF566&lt;$K$27,0,DATEDIF($K$27,AF566+1,"m"))))&lt;0,0,IF(Q567+R567+S567+T567+U567+V567+W567+X567+AD567+AE567+AC567+AB567+AA567+Z567+Y567=12,0,IF(AF566&gt;$K$28,12-DATEDIF($K$28,AF566+1,"m"),IF(AF566&lt;$K$27,0,DATEDIF($K$27,AF566+1,"m")))))</f>
        <v>0</v>
      </c>
      <c r="AG567" s="421">
        <f>IF(IF(Q567+R567+S567+T567+U567+V567+W567+X567+Y567+AE567+AF567+AD567+AC567+AB567+AA567+Z567=12,0,IF(AG566&gt;$K$28,12-DATEDIF($K$28,AG566+1,"m"),IF(AG566&lt;$K$27,0,DATEDIF($K$27,AG566+1,"m"))))&lt;0,0,IF(Q567+R567+S567+T567+U567+V567+W567+X567+Y567+AE567+AF567+AD567+AC567+AB567+AA567+Z567=12,0,IF(AG566&gt;$K$28,12-DATEDIF($K$28,AG566+1,"m"),IF(AG566&lt;$K$27,0,DATEDIF($K$27,AG566+1,"m")))))</f>
        <v>0</v>
      </c>
      <c r="AH567" s="423">
        <f>SUM(Q567:AG567)</f>
        <v>0</v>
      </c>
      <c r="AI567" s="428">
        <f t="shared" si="256"/>
        <v>0</v>
      </c>
      <c r="AJ567" s="428">
        <f t="shared" si="256"/>
        <v>0</v>
      </c>
      <c r="AK567" s="428">
        <f t="shared" si="256"/>
        <v>0</v>
      </c>
      <c r="AL567" s="428">
        <f t="shared" si="256"/>
        <v>0</v>
      </c>
      <c r="AM567" s="428">
        <f t="shared" si="256"/>
        <v>0</v>
      </c>
      <c r="AN567" s="428">
        <f t="shared" si="256"/>
        <v>0</v>
      </c>
      <c r="AO567" s="428">
        <f t="shared" si="256"/>
        <v>0</v>
      </c>
      <c r="AP567" s="428">
        <f t="shared" si="256"/>
        <v>0</v>
      </c>
      <c r="AQ567" s="428">
        <f t="shared" si="256"/>
        <v>0</v>
      </c>
      <c r="AR567" s="428">
        <f t="shared" si="256"/>
        <v>0</v>
      </c>
      <c r="AS567" s="428">
        <f t="shared" si="257"/>
        <v>0</v>
      </c>
      <c r="AT567" s="428">
        <f t="shared" si="257"/>
        <v>0</v>
      </c>
      <c r="AU567" s="428">
        <f t="shared" si="257"/>
        <v>0</v>
      </c>
      <c r="AV567" s="428">
        <f t="shared" si="257"/>
        <v>0</v>
      </c>
      <c r="AW567" s="428">
        <f t="shared" si="257"/>
        <v>0</v>
      </c>
      <c r="AX567" s="428">
        <f t="shared" si="257"/>
        <v>0</v>
      </c>
      <c r="AY567" s="428">
        <f t="shared" si="257"/>
        <v>0</v>
      </c>
      <c r="AZ567" s="428">
        <f>SUM(AI567:AY567)</f>
        <v>0</v>
      </c>
    </row>
    <row r="568" spans="17:52" hidden="1">
      <c r="Q568" s="421">
        <f>IF(Q567=0,0,(IF(($B$186+$C$186+$D$186+$E$186+$F$186+$G$186+$H$186+$I$186+$J$186+$K$186)&lt;=25000,(($K$186/+$AH567)*Q567)*VLOOKUP('1. SUMMARY'!$C$20,rate,Sheet1!T$21,0),((IF(($F$186+$B$186+$C$186+$D$186+$E$186+$G$186+$H$186+$I$186+$J$186)&gt;=25000,0,(((25000-($B$186+$C$186+$D$186+$E$186+$F$186+$G$186+$H$186+$I$186+$J$186))/+$AH567)*Q567)*(VLOOKUP('1. SUMMARY'!$C$20,rate,Sheet1!T$21,0))))))))</f>
        <v>0</v>
      </c>
      <c r="R568" s="421">
        <f>IF(R567=0,0,(IF(($B$186+$C$186+$D$186+$E$186+$F$186+$G$186+$H$186+$I$186+$J$186+$K$186)&lt;=25000,(($K$186/+$AH567)*R567)*VLOOKUP('1. SUMMARY'!$C$20,rate,Sheet1!U$21,0),((IF(($F$186+$B$186+$C$186+$D$186+$E$186+$G$186+$H$186+$I$186+$J$186)&gt;=25000,0,(((25000-($B$186+$C$186+$D$186+$E$186+$F$186+$G$186+$H$186+$I$186+$J$186))/+$AH567)*R567)*(VLOOKUP('1. SUMMARY'!$C$20,rate,Sheet1!U$21,0))))))))</f>
        <v>0</v>
      </c>
      <c r="S568" s="421">
        <f>IF(S567=0,0,(IF(($B$186+$C$186+$D$186+$E$186+$F$186+$G$186+$H$186+$I$186+$J$186+$K$186)&lt;=25000,(($K$186/+$AH567)*S567)*VLOOKUP('1. SUMMARY'!$C$20,rate,Sheet1!V$21,0),((IF(($F$186+$B$186+$C$186+$D$186+$E$186+$G$186+$H$186+$I$186+$J$186)&gt;=25000,0,(((25000-($B$186+$C$186+$D$186+$E$186+$F$186+$G$186+$H$186+$I$186+$J$186))/+$AH567)*S567)*(VLOOKUP('1. SUMMARY'!$C$20,rate,Sheet1!V$21,0))))))))</f>
        <v>0</v>
      </c>
      <c r="T568" s="421">
        <f>IF(T567=0,0,(IF(($B$186+$C$186+$D$186+$E$186+$F$186+$G$186+$H$186+$I$186+$J$186+$K$186)&lt;=25000,(($K$186/+$AH567)*T567)*VLOOKUP('1. SUMMARY'!$C$20,rate,Sheet1!W$21,0),((IF(($F$186+$B$186+$C$186+$D$186+$E$186+$G$186+$H$186+$I$186+$J$186)&gt;=25000,0,(((25000-($B$186+$C$186+$D$186+$E$186+$F$186+$G$186+$H$186+$I$186+$J$186))/+$AH567)*T567)*(VLOOKUP('1. SUMMARY'!$C$20,rate,Sheet1!W$21,0))))))))</f>
        <v>0</v>
      </c>
      <c r="U568" s="421">
        <f>IF(U567=0,0,(IF(($B$186+$C$186+$D$186+$E$186+$F$186+$G$186+$H$186+$I$186+$J$186+$K$186)&lt;=25000,(($K$186/+$AH567)*U567)*VLOOKUP('1. SUMMARY'!$C$20,rate,Sheet1!X$21,0),((IF(($F$186+$B$186+$C$186+$D$186+$E$186+$G$186+$H$186+$I$186+$J$186)&gt;=25000,0,(((25000-($B$186+$C$186+$D$186+$E$186+$F$186+$G$186+$H$186+$I$186+$J$186))/+$AH567)*U567)*(VLOOKUP('1. SUMMARY'!$C$20,rate,Sheet1!X$21,0))))))))</f>
        <v>0</v>
      </c>
      <c r="V568" s="421">
        <f>IF(V567=0,0,(IF(($B$186+$C$186+$D$186+$E$186+$F$186+$G$186+$H$186+$I$186+$J$186+$K$186)&lt;=25000,(($K$186/+$AH567)*V567)*VLOOKUP('1. SUMMARY'!$C$20,rate,Sheet1!Y$21,0),((IF(($F$186+$B$186+$C$186+$D$186+$E$186+$G$186+$H$186+$I$186+$J$186)&gt;=25000,0,(((25000-($B$186+$C$186+$D$186+$E$186+$F$186+$G$186+$H$186+$I$186+$J$186))/+$AH567)*V567)*(VLOOKUP('1. SUMMARY'!$C$20,rate,Sheet1!Y$21,0))))))))</f>
        <v>0</v>
      </c>
      <c r="W568" s="421">
        <f>IF(W567=0,0,(IF(($B$186+$C$186+$D$186+$E$186+$F$186+$G$186+$H$186+$I$186+$J$186+$K$186)&lt;=25000,(($K$186/+$AH567)*W567)*VLOOKUP('1. SUMMARY'!$C$20,rate,Sheet1!Z$21,0),((IF(($F$186+$B$186+$C$186+$D$186+$E$186+$G$186+$H$186+$I$186+$J$186)&gt;=25000,0,(((25000-($B$186+$C$186+$D$186+$E$186+$F$186+$G$186+$H$186+$I$186+$J$186))/+$AH567)*W567)*(VLOOKUP('1. SUMMARY'!$C$20,rate,Sheet1!Z$21,0))))))))</f>
        <v>0</v>
      </c>
      <c r="X568" s="421">
        <f>IF(X567=0,0,(IF(($B$186+$C$186+$D$186+$E$186+$F$186+$G$186+$H$186+$I$186+$J$186+$K$186)&lt;=25000,(($K$186/+$AH567)*X567)*VLOOKUP('1. SUMMARY'!$C$20,rate,Sheet1!AA$21,0),((IF(($F$186+$B$186+$C$186+$D$186+$E$186+$G$186+$H$186+$I$186+$J$186)&gt;=25000,0,(((25000-($B$186+$C$186+$D$186+$E$186+$F$186+$G$186+$H$186+$I$186+$J$186))/+$AH567)*X567)*(VLOOKUP('1. SUMMARY'!$C$20,rate,Sheet1!AA$21,0))))))))</f>
        <v>0</v>
      </c>
      <c r="Y568" s="421">
        <f>IF(Y567=0,0,(IF(($B$186+$C$186+$D$186+$E$186+$F$186+$G$186+$H$186+$I$186+$J$186+$K$186)&lt;=25000,(($K$186/+$AH567)*Y567)*VLOOKUP('1. SUMMARY'!$C$20,rate,Sheet1!AB$21,0),((IF(($F$186+$B$186+$C$186+$D$186+$E$186+$G$186+$H$186+$I$186+$J$186)&gt;=25000,0,(((25000-($B$186+$C$186+$D$186+$E$186+$F$186+$G$186+$H$186+$I$186+$J$186))/+$AH567)*Y567)*(VLOOKUP('1. SUMMARY'!$C$20,rate,Sheet1!AB$21,0))))))))</f>
        <v>0</v>
      </c>
      <c r="Z568" s="421">
        <f>IF(Z567=0,0,(IF(($B$186+$C$186+$D$186+$E$186+$F$186+$G$186+$H$186+$I$186+$J$186+$K$186)&lt;=25000,(($K$186/+$AH567)*Z567)*VLOOKUP('1. SUMMARY'!$C$20,rate,Sheet1!AC$21,0),((IF(($F$186+$B$186+$C$186+$D$186+$E$186+$G$186+$H$186+$I$186+$J$186)&gt;=25000,0,(((25000-($B$186+$C$186+$D$186+$E$186+$F$186+$G$186+$H$186+$I$186+$J$186))/+$AH567)*Z567)*(VLOOKUP('1. SUMMARY'!$C$20,rate,Sheet1!AC$21,0))))))))</f>
        <v>0</v>
      </c>
      <c r="AA568" s="421">
        <f>IF(AA567=0,0,(IF(($B$186+$C$186+$D$186+$E$186+$F$186+$G$186+$H$186+$I$186+$J$186+$K$186)&lt;=25000,(($K$186/+$AH567)*AA567)*VLOOKUP('1. SUMMARY'!$C$20,rate,Sheet1!AD$21,0),((IF(($F$186+$B$186+$C$186+$D$186+$E$186+$G$186+$H$186+$I$186+$J$186)&gt;=25000,0,(((25000-($B$186+$C$186+$D$186+$E$186+$F$186+$G$186+$H$186+$I$186+$J$186))/+$AH567)*AA567)*(VLOOKUP('1. SUMMARY'!$C$20,rate,Sheet1!AD$21,0))))))))</f>
        <v>0</v>
      </c>
      <c r="AB568" s="421">
        <f>IF(AB567=0,0,(IF(($B$186+$C$186+$D$186+$E$186+$F$186+$G$186+$H$186+$I$186+$J$186+$K$186)&lt;=25000,(($K$186/+$AH567)*AB567)*VLOOKUP('1. SUMMARY'!$C$20,rate,Sheet1!AE$21,0),((IF(($F$186+$B$186+$C$186+$D$186+$E$186+$G$186+$H$186+$I$186+$J$186)&gt;=25000,0,(((25000-($B$186+$C$186+$D$186+$E$186+$F$186+$G$186+$H$186+$I$186+$J$186))/+$AH567)*AB567)*(VLOOKUP('1. SUMMARY'!$C$20,rate,Sheet1!AE$21,0))))))))</f>
        <v>0</v>
      </c>
      <c r="AC568" s="421">
        <f>IF(AC567=0,0,(IF(($B$186+$C$186+$D$186+$E$186+$F$186+$G$186+$H$186+$I$186+$J$186+$K$186)&lt;=25000,(($K$186/+$AH567)*AC567)*VLOOKUP('1. SUMMARY'!$C$20,rate,Sheet1!AF$21,0),((IF(($F$186+$B$186+$C$186+$D$186+$E$186+$G$186+$H$186+$I$186+$J$186)&gt;=25000,0,(((25000-($B$186+$C$186+$D$186+$E$186+$F$186+$G$186+$H$186+$I$186+$J$186))/+$AH567)*AC567)*(VLOOKUP('1. SUMMARY'!$C$20,rate,Sheet1!AF$21,0))))))))</f>
        <v>0</v>
      </c>
      <c r="AD568" s="421">
        <f>IF(AD567=0,0,(IF(($B$186+$C$186+$D$186+$E$186+$F$186+$G$186+$H$186+$I$186+$J$186+$K$186)&lt;=25000,(($K$186/+$AH567)*AD567)*VLOOKUP('1. SUMMARY'!$C$20,rate,Sheet1!AG$21,0),((IF(($F$186+$B$186+$C$186+$D$186+$E$186+$G$186+$H$186+$I$186+$J$186)&gt;=25000,0,(((25000-($B$186+$C$186+$D$186+$E$186+$F$186+$G$186+$H$186+$I$186+$J$186))/+$AH567)*AD567)*(VLOOKUP('1. SUMMARY'!$C$20,rate,Sheet1!AG$21,0))))))))</f>
        <v>0</v>
      </c>
      <c r="AE568" s="421">
        <f>IF(AE567=0,0,(IF(($B$186+$C$186+$D$186+$E$186+$F$186+$G$186+$H$186+$I$186+$J$186+$K$186)&lt;=25000,(($K$186/+$AH567)*AE567)*VLOOKUP('1. SUMMARY'!$C$20,rate,Sheet1!AH$21,0),((IF(($F$186+$B$186+$C$186+$D$186+$E$186+$G$186+$H$186+$I$186+$J$186)&gt;=25000,0,(((25000-($B$186+$C$186+$D$186+$E$186+$F$186+$G$186+$H$186+$I$186+$J$186))/+$AH567)*AE567)*(VLOOKUP('1. SUMMARY'!$C$20,rate,Sheet1!AH$21,0))))))))</f>
        <v>0</v>
      </c>
      <c r="AF568" s="421">
        <f>IF(AF567=0,0,(IF(($B$186+$C$186+$D$186+$E$186+$F$186+$G$186+$H$186+$I$186+$J$186+$K$186)&lt;=25000,(($K$186/+$AH567)*AF567)*VLOOKUP('1. SUMMARY'!$C$20,rate,Sheet1!AI$21,0),((IF(($F$186+$B$186+$C$186+$D$186+$E$186+$G$186+$H$186+$I$186+$J$186)&gt;=25000,0,(((25000-($B$186+$C$186+$D$186+$E$186+$F$186+$G$186+$H$186+$I$186+$J$186))/+$AH567)*AF567)*(VLOOKUP('1. SUMMARY'!$C$20,rate,Sheet1!AI$21,0))))))))</f>
        <v>0</v>
      </c>
      <c r="AG568" s="421">
        <f>IF(AG567=0,0,(IF(($B$186+$C$186+$D$186+$E$186+$F$186+$G$186+$H$186+$I$186+$J$186+$K$186)&lt;=25000,(($K$186/+$AH567)*AG567)*VLOOKUP('1. SUMMARY'!$C$20,rate,Sheet1!AJ$21,0),((IF(($F$186+$B$186+$C$186+$D$186+$E$186+$G$186+$H$186+$I$186+$J$186)&gt;=25000,0,(((25000-($B$186+$C$186+$D$186+$E$186+$F$186+$G$186+$H$186+$I$186+$J$186))/+$AH567)*AG567)*(VLOOKUP('1. SUMMARY'!$C$20,rate,Sheet1!AJ$21,0))))))))</f>
        <v>0</v>
      </c>
      <c r="AH568" s="219">
        <f>SUM(Q568:AG568)</f>
        <v>0</v>
      </c>
      <c r="AI568" s="421">
        <f>IF(AI567=0,0,((+$K186/$AZ567)*AI567)*VLOOKUP('1. SUMMARY'!$C$20,rate,Sheet1!T$21,0))</f>
        <v>0</v>
      </c>
      <c r="AJ568" s="421">
        <f>IF(AJ567=0,0,((+$K186/$AZ567)*AJ567)*VLOOKUP('1. SUMMARY'!$C$20,rate,Sheet1!U$21,0))</f>
        <v>0</v>
      </c>
      <c r="AK568" s="421">
        <f>IF(AK567=0,0,((+$K186/$AZ567)*AK567)*VLOOKUP('1. SUMMARY'!$C$20,rate,Sheet1!V$21,0))</f>
        <v>0</v>
      </c>
      <c r="AL568" s="421">
        <f>IF(AL567=0,0,((+$K186/$AZ567)*AL567)*VLOOKUP('1. SUMMARY'!$C$20,rate,Sheet1!W$21,0))</f>
        <v>0</v>
      </c>
      <c r="AM568" s="421">
        <f>IF(AM567=0,0,((+$K186/$AZ567)*AM567)*VLOOKUP('1. SUMMARY'!$C$20,rate,Sheet1!X$21,0))</f>
        <v>0</v>
      </c>
      <c r="AN568" s="421">
        <f>IF(AN567=0,0,((+$K186/$AZ567)*AN567)*VLOOKUP('1. SUMMARY'!$C$20,rate,Sheet1!Y$21,0))</f>
        <v>0</v>
      </c>
      <c r="AO568" s="421">
        <f>IF(AO567=0,0,((+$K186/$AZ567)*AO567)*VLOOKUP('1. SUMMARY'!$C$20,rate,Sheet1!Z$21,0))</f>
        <v>0</v>
      </c>
      <c r="AP568" s="421">
        <f>IF(AP567=0,0,((+$K186/$AZ567)*AP567)*VLOOKUP('1. SUMMARY'!$C$20,rate,Sheet1!AA$21,0))</f>
        <v>0</v>
      </c>
      <c r="AQ568" s="421">
        <f>IF(AQ567=0,0,((+$K186/$AZ567)*AQ567)*VLOOKUP('1. SUMMARY'!$C$20,rate,Sheet1!AB$21,0))</f>
        <v>0</v>
      </c>
      <c r="AR568" s="421">
        <f>IF(AR567=0,0,((+$K186/$AZ567)*AR567)*VLOOKUP('1. SUMMARY'!$C$20,rate,Sheet1!AC$21,0))</f>
        <v>0</v>
      </c>
      <c r="AS568" s="421">
        <f>IF(AS567=0,0,((+$K186/$AZ567)*AS567)*VLOOKUP('1. SUMMARY'!$C$20,rate,Sheet1!AD$21,0))</f>
        <v>0</v>
      </c>
      <c r="AT568" s="421">
        <f>IF(AT567=0,0,((+$K186/$AZ567)*AT567)*VLOOKUP('1. SUMMARY'!$C$20,rate,Sheet1!AE$21,0))</f>
        <v>0</v>
      </c>
      <c r="AU568" s="421">
        <f>IF(AU567=0,0,((+$K186/$AZ567)*AU567)*VLOOKUP('1. SUMMARY'!$C$20,rate,Sheet1!AF$21,0))</f>
        <v>0</v>
      </c>
      <c r="AV568" s="421">
        <f>IF(AV567=0,0,((+$K186/$AZ567)*AV567)*VLOOKUP('1. SUMMARY'!$C$20,rate,Sheet1!AG$21,0))</f>
        <v>0</v>
      </c>
      <c r="AW568" s="421">
        <f>IF(AW567=0,0,((+$K186/$AZ567)*AW567)*VLOOKUP('1. SUMMARY'!$C$20,rate,Sheet1!AH$21,0))</f>
        <v>0</v>
      </c>
      <c r="AX568" s="421">
        <f>IF(AX567=0,0,((+$K186/$AZ567)*AX567)*VLOOKUP('1. SUMMARY'!$C$20,rate,Sheet1!AI$21,0))</f>
        <v>0</v>
      </c>
      <c r="AY568" s="421">
        <f>IF(AY567=0,0,((+$K186/$AZ567)*AY567)*VLOOKUP('1. SUMMARY'!$C$20,rate,Sheet1!AJ$21,0))</f>
        <v>0</v>
      </c>
      <c r="AZ568" s="421">
        <f>SUM(AI568:AY568)</f>
        <v>0</v>
      </c>
    </row>
    <row r="569" spans="17:52" hidden="1">
      <c r="Q569" s="421">
        <f>+Q568/VLOOKUP('1. SUMMARY'!$C$20,rate,Sheet1!T$21,0)</f>
        <v>0</v>
      </c>
      <c r="R569" s="421">
        <f>+R568/VLOOKUP('1. SUMMARY'!$C$20,rate,Sheet1!U$21,0)</f>
        <v>0</v>
      </c>
      <c r="S569" s="421">
        <f>+S568/VLOOKUP('1. SUMMARY'!$C$20,rate,Sheet1!V$21,0)</f>
        <v>0</v>
      </c>
      <c r="T569" s="421">
        <f>+T568/VLOOKUP('1. SUMMARY'!$C$20,rate,Sheet1!W$21,0)</f>
        <v>0</v>
      </c>
      <c r="U569" s="421">
        <f>+U568/VLOOKUP('1. SUMMARY'!$C$20,rate,Sheet1!X$21,0)</f>
        <v>0</v>
      </c>
      <c r="V569" s="421">
        <f>+V568/VLOOKUP('1. SUMMARY'!$C$20,rate,Sheet1!Y$21,0)</f>
        <v>0</v>
      </c>
      <c r="W569" s="421">
        <f>+W568/VLOOKUP('1. SUMMARY'!$C$20,rate,Sheet1!Z$21,0)</f>
        <v>0</v>
      </c>
      <c r="X569" s="421">
        <f>+X568/VLOOKUP('1. SUMMARY'!$C$20,rate,Sheet1!AA$21,0)</f>
        <v>0</v>
      </c>
      <c r="Y569" s="421">
        <f>+Y568/VLOOKUP('1. SUMMARY'!$C$20,rate,Sheet1!AB$21,0)</f>
        <v>0</v>
      </c>
      <c r="Z569" s="421">
        <f>+Z568/VLOOKUP('1. SUMMARY'!$C$20,rate,Sheet1!AC$21,0)</f>
        <v>0</v>
      </c>
      <c r="AA569" s="421">
        <f>+AA568/VLOOKUP('1. SUMMARY'!$C$20,rate,Sheet1!AD$21,0)</f>
        <v>0</v>
      </c>
      <c r="AB569" s="421">
        <f>+AB568/VLOOKUP('1. SUMMARY'!$C$20,rate,Sheet1!AE$21,0)</f>
        <v>0</v>
      </c>
      <c r="AC569" s="421">
        <f>+AC568/VLOOKUP('1. SUMMARY'!$C$20,rate,Sheet1!AF$21,0)</f>
        <v>0</v>
      </c>
      <c r="AD569" s="421">
        <f>+AD568/VLOOKUP('1. SUMMARY'!$C$20,rate,Sheet1!AG$21,0)</f>
        <v>0</v>
      </c>
      <c r="AE569" s="421">
        <f>+AE568/VLOOKUP('1. SUMMARY'!$C$20,rate,Sheet1!AH$21,0)</f>
        <v>0</v>
      </c>
      <c r="AF569" s="421">
        <f>+AF568/VLOOKUP('1. SUMMARY'!$C$20,rate,Sheet1!AI$21,0)</f>
        <v>0</v>
      </c>
      <c r="AG569" s="421">
        <f>+AG568/VLOOKUP('1. SUMMARY'!$C$20,rate,Sheet1!AJ$21,0)</f>
        <v>0</v>
      </c>
      <c r="AH569" s="219"/>
      <c r="AI569" s="421"/>
      <c r="AJ569" s="421"/>
      <c r="AK569" s="421"/>
      <c r="AL569" s="421"/>
      <c r="AM569" s="421"/>
      <c r="AN569" s="421"/>
      <c r="AO569" s="421"/>
      <c r="AP569" s="421"/>
      <c r="AQ569" s="421"/>
      <c r="AR569" s="421"/>
      <c r="AS569" s="421"/>
      <c r="AT569" s="421"/>
      <c r="AU569" s="421"/>
      <c r="AV569" s="421"/>
      <c r="AW569" s="421"/>
      <c r="AX569" s="421"/>
      <c r="AY569" s="421"/>
      <c r="AZ569" s="421"/>
    </row>
    <row r="570" spans="17:52" hidden="1">
      <c r="Q570" s="396">
        <f>Sheet1!$T$8</f>
        <v>44105</v>
      </c>
      <c r="R570" s="396">
        <f>Sheet1!$U$8</f>
        <v>44470</v>
      </c>
      <c r="S570" s="396">
        <f>Sheet1!$V$8</f>
        <v>44835</v>
      </c>
      <c r="T570" s="396">
        <f>Sheet1!$W$8</f>
        <v>45200</v>
      </c>
      <c r="U570" s="396">
        <f>Sheet1!$X$8</f>
        <v>45566</v>
      </c>
      <c r="V570" s="396">
        <f>Sheet1!$Y$8</f>
        <v>45931</v>
      </c>
      <c r="W570" s="396">
        <f>Sheet1!$Z$8</f>
        <v>46296</v>
      </c>
      <c r="X570" s="396">
        <f>Sheet1!$AA$8</f>
        <v>46661</v>
      </c>
      <c r="Y570" s="396">
        <f>Sheet1!$AB$8</f>
        <v>47027</v>
      </c>
      <c r="Z570" s="396">
        <f>Sheet1!$AC$8</f>
        <v>47392</v>
      </c>
      <c r="AA570" s="396">
        <f>$AA$5</f>
        <v>47757</v>
      </c>
      <c r="AB570" s="396">
        <f>$AB$5</f>
        <v>48122</v>
      </c>
      <c r="AC570" s="396">
        <f>$AC$5</f>
        <v>48488</v>
      </c>
      <c r="AD570" s="396">
        <f>$AD$5</f>
        <v>48853</v>
      </c>
      <c r="AE570" s="396">
        <f>$AE$5</f>
        <v>49218</v>
      </c>
      <c r="AF570" s="396">
        <f>$AF$5</f>
        <v>49583</v>
      </c>
      <c r="AG570" s="396">
        <f>$AG$5</f>
        <v>49949</v>
      </c>
      <c r="AH570" s="211"/>
      <c r="AI570" s="396">
        <f t="shared" ref="AI570:AR572" si="258">+Q570</f>
        <v>44105</v>
      </c>
      <c r="AJ570" s="396">
        <f t="shared" si="258"/>
        <v>44470</v>
      </c>
      <c r="AK570" s="396">
        <f t="shared" si="258"/>
        <v>44835</v>
      </c>
      <c r="AL570" s="396">
        <f t="shared" si="258"/>
        <v>45200</v>
      </c>
      <c r="AM570" s="396">
        <f t="shared" si="258"/>
        <v>45566</v>
      </c>
      <c r="AN570" s="396">
        <f t="shared" si="258"/>
        <v>45931</v>
      </c>
      <c r="AO570" s="396">
        <f t="shared" si="258"/>
        <v>46296</v>
      </c>
      <c r="AP570" s="396">
        <f t="shared" si="258"/>
        <v>46661</v>
      </c>
      <c r="AQ570" s="396">
        <f t="shared" si="258"/>
        <v>47027</v>
      </c>
      <c r="AR570" s="396">
        <f t="shared" si="258"/>
        <v>47392</v>
      </c>
      <c r="AS570" s="396">
        <f t="shared" ref="AS570:AY572" si="259">+AA570</f>
        <v>47757</v>
      </c>
      <c r="AT570" s="396">
        <f t="shared" si="259"/>
        <v>48122</v>
      </c>
      <c r="AU570" s="396">
        <f t="shared" si="259"/>
        <v>48488</v>
      </c>
      <c r="AV570" s="396">
        <f t="shared" si="259"/>
        <v>48853</v>
      </c>
      <c r="AW570" s="396">
        <f t="shared" si="259"/>
        <v>49218</v>
      </c>
      <c r="AX570" s="396">
        <f t="shared" si="259"/>
        <v>49583</v>
      </c>
      <c r="AY570" s="396">
        <f t="shared" si="259"/>
        <v>49949</v>
      </c>
      <c r="AZ570" s="396"/>
    </row>
    <row r="571" spans="17:52" hidden="1">
      <c r="Q571" s="396">
        <f>Sheet1!$T$9</f>
        <v>44469</v>
      </c>
      <c r="R571" s="396">
        <f>Sheet1!$U$9</f>
        <v>44834</v>
      </c>
      <c r="S571" s="396">
        <f>Sheet1!$V$9</f>
        <v>45199</v>
      </c>
      <c r="T571" s="396">
        <f>Sheet1!$W$9</f>
        <v>45565</v>
      </c>
      <c r="U571" s="396">
        <f>Sheet1!$X$9</f>
        <v>45930</v>
      </c>
      <c r="V571" s="396">
        <f>Sheet1!$Y$9</f>
        <v>46295</v>
      </c>
      <c r="W571" s="396">
        <f>Sheet1!$Z$9</f>
        <v>46660</v>
      </c>
      <c r="X571" s="396">
        <f>Sheet1!$AA$9</f>
        <v>47026</v>
      </c>
      <c r="Y571" s="396">
        <f>Sheet1!$AB$9</f>
        <v>47391</v>
      </c>
      <c r="Z571" s="396">
        <f>Sheet1!$AC$9</f>
        <v>47756</v>
      </c>
      <c r="AA571" s="396">
        <f>$AA$6</f>
        <v>48121</v>
      </c>
      <c r="AB571" s="396">
        <f>$AB$6</f>
        <v>48487</v>
      </c>
      <c r="AC571" s="396">
        <f>$AC$6</f>
        <v>48852</v>
      </c>
      <c r="AD571" s="396">
        <f>$AD$6</f>
        <v>49217</v>
      </c>
      <c r="AE571" s="396">
        <f>$AE$6</f>
        <v>49582</v>
      </c>
      <c r="AF571" s="396">
        <f>$AF$6</f>
        <v>49948</v>
      </c>
      <c r="AG571" s="396">
        <f>$AG$6</f>
        <v>50313</v>
      </c>
      <c r="AH571" s="211"/>
      <c r="AI571" s="396">
        <f t="shared" si="258"/>
        <v>44469</v>
      </c>
      <c r="AJ571" s="396">
        <f t="shared" si="258"/>
        <v>44834</v>
      </c>
      <c r="AK571" s="396">
        <f t="shared" si="258"/>
        <v>45199</v>
      </c>
      <c r="AL571" s="396">
        <f t="shared" si="258"/>
        <v>45565</v>
      </c>
      <c r="AM571" s="396">
        <f t="shared" si="258"/>
        <v>45930</v>
      </c>
      <c r="AN571" s="396">
        <f t="shared" si="258"/>
        <v>46295</v>
      </c>
      <c r="AO571" s="396">
        <f t="shared" si="258"/>
        <v>46660</v>
      </c>
      <c r="AP571" s="396">
        <f t="shared" si="258"/>
        <v>47026</v>
      </c>
      <c r="AQ571" s="396">
        <f t="shared" si="258"/>
        <v>47391</v>
      </c>
      <c r="AR571" s="396">
        <f t="shared" si="258"/>
        <v>47756</v>
      </c>
      <c r="AS571" s="396">
        <f t="shared" si="259"/>
        <v>48121</v>
      </c>
      <c r="AT571" s="396">
        <f t="shared" si="259"/>
        <v>48487</v>
      </c>
      <c r="AU571" s="396">
        <f t="shared" si="259"/>
        <v>48852</v>
      </c>
      <c r="AV571" s="396">
        <f t="shared" si="259"/>
        <v>49217</v>
      </c>
      <c r="AW571" s="396">
        <f t="shared" si="259"/>
        <v>49582</v>
      </c>
      <c r="AX571" s="396">
        <f t="shared" si="259"/>
        <v>49948</v>
      </c>
      <c r="AY571" s="396">
        <f t="shared" si="259"/>
        <v>50313</v>
      </c>
      <c r="AZ571" s="396"/>
    </row>
    <row r="572" spans="17:52" hidden="1">
      <c r="Q572" s="397">
        <f>IF(IF(Q571&lt;$B$27,0,DATEDIF($B$27,Q571+1,"m"))&lt;0,0,IF(Q571&lt;$B$27,0,DATEDIF($B$27,Q571+1,"m")))</f>
        <v>1461</v>
      </c>
      <c r="R572" s="397">
        <f>IF(IF(Q572=12,0,IF(R571&gt;$B$28,12-DATEDIF($B$28,R571+1,"m"),IF(R571&lt;$B$27,0,DATEDIF($B$27,R571+1,"m"))))&lt;0,0,IF(Q572=12,0,IF(R571&gt;$B$28,12-DATEDIF($B$28,R571+1,"m"),IF(R571&lt;$B$27,0,DATEDIF($B$27,R571+1,"m")))))</f>
        <v>0</v>
      </c>
      <c r="S572" s="397">
        <f>IF(IF(Q572+R572=12,0,IF(S571&gt;$B$28,12-DATEDIF($B$28,S571+1,"m"),IF(S571&lt;$B$27,0,DATEDIF($B$27,S571+1,"m"))))&lt;0,0,IF(Q572+R572=12,0,IF(S571&gt;$B$28,12-DATEDIF($B$28,S571+1,"m"),IF(S571&lt;$B$27,0,DATEDIF($B$27,S571+1,"m")))))</f>
        <v>0</v>
      </c>
      <c r="T572" s="397">
        <f>IF(IF(R572+S572+Q572=12,0,IF(T571&gt;$B$28,12-DATEDIF($B$28,T571+1,"m"),IF(T571&lt;$B$27,0,DATEDIF($B$27,T571+1,"m"))))&lt;0,0,IF(R572+S572+Q572=12,0,IF(T571&gt;$B$28,12-DATEDIF($B$28,T571+1,"m"),IF(T571&lt;$B$27,0,DATEDIF($B$27,T571+1,"m")))))</f>
        <v>0</v>
      </c>
      <c r="U572" s="397">
        <f>IF(IF(S572+T572+R572+Q572=12,0,IF(U571&gt;$B$28,12-DATEDIF($B$28,U571+1,"m"),IF(U571&lt;$B$27,0,DATEDIF($B$27,U571+1,"m"))))&lt;0,0,IF(S572+T572+R572+Q572=12,0,IF(U571&gt;$B$28,12-DATEDIF($B$28,U571+1,"m"),IF(U571&lt;$B$27,0,DATEDIF($B$27,U571+1,"m")))))</f>
        <v>0</v>
      </c>
      <c r="V572" s="397">
        <f>IF(IF(T572+U572+S572+R572+Q572=12,0,IF(V571&gt;$B$28,12-DATEDIF($B$28,V571+1,"m"),IF(V571&lt;$B$27,0,DATEDIF($B$27,V571+1,"m"))))&lt;0,0,IF(T572+U572+S572+R572+Q572=12,0,IF(V571&gt;$B$28,12-DATEDIF($B$28,V571+1,"m"),IF(V571&lt;$B$27,0,DATEDIF($B$27,V571+1,"m")))))</f>
        <v>0</v>
      </c>
      <c r="W572" s="397">
        <f>IF(IF(U572+V572+T572+S572+R572+Q572=12,0,IF(W571&gt;$B$28,12-DATEDIF($B$28,W571+1,"m"),IF(W571&lt;$B$27,0,DATEDIF($B$27,W571+1,"m"))))&lt;0,0,IF(U572+V572+T572+S572+R572+Q572=12,0,IF(W571&gt;$B$28,12-DATEDIF($B$28,W571+1,"m"),IF(W571&lt;$B$27,0,DATEDIF($B$27,W571+1,"m")))))</f>
        <v>0</v>
      </c>
      <c r="X572" s="397">
        <f>IF(IF(V572+W572+U572+T572+S572+R572+Q572=12,0,IF(X571&gt;$B$28,12-DATEDIF($B$28,X571+1,"m"),IF(X571&lt;$B$27,0,DATEDIF($B$27,X571+1,"m"))))&lt;0,0,IF(V572+W572+U572+T572+S572+R572+Q572=12,0,IF(X571&gt;$B$28,12-DATEDIF($B$28,X571+1,"m"),IF(X571&lt;$B$27,0,DATEDIF($B$27,X571+1,"m")))))</f>
        <v>0</v>
      </c>
      <c r="Y572" s="397">
        <f>IF(IF(W572+X572+V572+U572+T572+S572+R572=12,0,IF(Y571&gt;$B$28,12-DATEDIF($B$28,Y571+1,"m"),IF(Y571&lt;$B$27,0,DATEDIF($B$27,Y571+1,"m"))))&lt;0,0,IF(W572+X572+V572+U572+T572+S572+R572=12,0,IF(Y571&gt;$B$28,12-DATEDIF($B$28,Y571+1,"m"),IF(Y571&lt;$B$27,0,DATEDIF($B$27,Y571+1,"m")))))</f>
        <v>0</v>
      </c>
      <c r="Z572" s="397">
        <f>IF(IF(X572+Y572+W572+V572+U572+T572+S572=12,0,IF(Z571&gt;$B$28,12-DATEDIF($B$28,Z571+1,"m"),IF(Z571&lt;$B$27,0,DATEDIF($B$27,Z571+1,"m"))))&lt;0,0,IF(X572+Y572+W572+V572+U572+T572+S572=12,0,IF(Z571&gt;$B$28,12-DATEDIF($B$28,Z571+1,"m"),IF(Z571&lt;$B$27,0,DATEDIF($B$27,Z571+1,"m")))))</f>
        <v>0</v>
      </c>
      <c r="AA572" s="397"/>
      <c r="AB572" s="397"/>
      <c r="AC572" s="397"/>
      <c r="AD572" s="397"/>
      <c r="AE572" s="397"/>
      <c r="AF572" s="397"/>
      <c r="AG572" s="397"/>
      <c r="AH572" s="423">
        <f>SUM(Q572:AG572)</f>
        <v>1461</v>
      </c>
      <c r="AI572" s="397">
        <f t="shared" si="258"/>
        <v>1461</v>
      </c>
      <c r="AJ572" s="397">
        <f t="shared" si="258"/>
        <v>0</v>
      </c>
      <c r="AK572" s="397">
        <f t="shared" si="258"/>
        <v>0</v>
      </c>
      <c r="AL572" s="397">
        <f t="shared" si="258"/>
        <v>0</v>
      </c>
      <c r="AM572" s="397">
        <f t="shared" si="258"/>
        <v>0</v>
      </c>
      <c r="AN572" s="397">
        <f t="shared" si="258"/>
        <v>0</v>
      </c>
      <c r="AO572" s="397">
        <f t="shared" si="258"/>
        <v>0</v>
      </c>
      <c r="AP572" s="397">
        <f t="shared" si="258"/>
        <v>0</v>
      </c>
      <c r="AQ572" s="397">
        <f t="shared" si="258"/>
        <v>0</v>
      </c>
      <c r="AR572" s="397">
        <f t="shared" si="258"/>
        <v>0</v>
      </c>
      <c r="AS572" s="397">
        <f t="shared" si="259"/>
        <v>0</v>
      </c>
      <c r="AT572" s="397">
        <f t="shared" si="259"/>
        <v>0</v>
      </c>
      <c r="AU572" s="397">
        <f t="shared" si="259"/>
        <v>0</v>
      </c>
      <c r="AV572" s="397">
        <f t="shared" si="259"/>
        <v>0</v>
      </c>
      <c r="AW572" s="397">
        <f t="shared" si="259"/>
        <v>0</v>
      </c>
      <c r="AX572" s="397">
        <f t="shared" si="259"/>
        <v>0</v>
      </c>
      <c r="AY572" s="397">
        <f t="shared" si="259"/>
        <v>0</v>
      </c>
      <c r="AZ572" s="397">
        <f>SUM(AI572:AY572)</f>
        <v>1461</v>
      </c>
    </row>
    <row r="573" spans="17:52" hidden="1">
      <c r="Q573" s="398">
        <f>IF(Q572=0,0,(IF($B$203&gt;25000,((25000/+$AH572)*Q572)*VLOOKUP('1. SUMMARY'!$C$20,rate,Sheet1!T$21,0),(($B$203/+$AH572)*Q572)*VLOOKUP('1. SUMMARY'!$C$20,rate,Sheet1!T$21,0))))</f>
        <v>0</v>
      </c>
      <c r="R573" s="398">
        <f>IF(R572=0,0,(IF($B$203&gt;25000,((25000/+$AH572)*R572)*VLOOKUP('1. SUMMARY'!$C$20,rate,Sheet1!U$21,0),(($B$203/+$AH572)*R572)*VLOOKUP('1. SUMMARY'!$C$20,rate,Sheet1!U$21,0))))</f>
        <v>0</v>
      </c>
      <c r="S573" s="398">
        <f>IF(S572=0,0,(IF($B$203&gt;25000,((25000/+$AH572)*S572)*VLOOKUP('1. SUMMARY'!$C$20,rate,Sheet1!V$21,0),(($B$203/+$AH572)*S572)*VLOOKUP('1. SUMMARY'!$C$20,rate,Sheet1!V$21,0))))</f>
        <v>0</v>
      </c>
      <c r="T573" s="398">
        <f>IF(T572=0,0,(IF($B$203&gt;25000,((25000/+$AH572)*T572)*VLOOKUP('1. SUMMARY'!$C$20,rate,Sheet1!W$21,0),(($B$203/+$AH572)*T572)*VLOOKUP('1. SUMMARY'!$C$20,rate,Sheet1!W$21,0))))</f>
        <v>0</v>
      </c>
      <c r="U573" s="398">
        <f>IF(U572=0,0,(IF($B$203&gt;25000,((25000/+$AH572)*U572)*VLOOKUP('1. SUMMARY'!$C$20,rate,Sheet1!X$21,0),(($B$203/+$AH572)*U572)*VLOOKUP('1. SUMMARY'!$C$20,rate,Sheet1!X$21,0))))</f>
        <v>0</v>
      </c>
      <c r="V573" s="398">
        <f>IF(V572=0,0,(IF($B$203&gt;25000,((25000/+$AH572)*V572)*VLOOKUP('1. SUMMARY'!$C$20,rate,Sheet1!Y$21,0),(($B$203/+$AH572)*V572)*VLOOKUP('1. SUMMARY'!$C$20,rate,Sheet1!Y$21,0))))</f>
        <v>0</v>
      </c>
      <c r="W573" s="398">
        <f>IF(W572=0,0,(IF($B$203&gt;25000,((25000/+$AH572)*W572)*VLOOKUP('1. SUMMARY'!$C$20,rate,Sheet1!Z$21,0),(($B$203/+$AH572)*W572)*VLOOKUP('1. SUMMARY'!$C$20,rate,Sheet1!Z$21,0))))</f>
        <v>0</v>
      </c>
      <c r="X573" s="398">
        <f>IF(X572=0,0,(IF($B$203&gt;25000,((25000/+$AH572)*X572)*VLOOKUP('1. SUMMARY'!$C$20,rate,Sheet1!AA$21,0),(($B$203/+$AH572)*X572)*VLOOKUP('1. SUMMARY'!$C$20,rate,Sheet1!AA$21,0))))</f>
        <v>0</v>
      </c>
      <c r="Y573" s="398">
        <f>IF(Y572=0,0,(IF($B$203&gt;25000,((25000/+$AH572)*Y572)*VLOOKUP('1. SUMMARY'!$C$20,rate,Sheet1!AB$21,0),(($B$203/+$AH572)*Y572)*VLOOKUP('1. SUMMARY'!$C$20,rate,Sheet1!AB$21,0))))</f>
        <v>0</v>
      </c>
      <c r="Z573" s="398">
        <f>IF(Z572=0,0,(IF($B$203&gt;25000,((25000/+$AH572)*Z572)*VLOOKUP('1. SUMMARY'!$C$20,rate,Sheet1!AC$21,0),(($B$203/+$AH572)*Z572)*VLOOKUP('1. SUMMARY'!$C$20,rate,Sheet1!AC$21,0))))</f>
        <v>0</v>
      </c>
      <c r="AA573" s="398">
        <f>IF(AA572=0,0,(IF($B$203&gt;25000,((25000/+$AH572)*AA572)*VLOOKUP('1. SUMMARY'!$C$20,rate,Sheet1!AD$21,0),(($B$203/+$AH572)*AA572)*VLOOKUP('1. SUMMARY'!$C$20,rate,Sheet1!AD$21,0))))</f>
        <v>0</v>
      </c>
      <c r="AB573" s="398">
        <f>IF(AB572=0,0,(IF($B$203&gt;25000,((25000/+$AH572)*AB572)*VLOOKUP('1. SUMMARY'!$C$20,rate,Sheet1!AE$21,0),(($B$203/+$AH572)*AB572)*VLOOKUP('1. SUMMARY'!$C$20,rate,Sheet1!AE$21,0))))</f>
        <v>0</v>
      </c>
      <c r="AC573" s="398">
        <f>IF(AC572=0,0,(IF($B$203&gt;25000,((25000/+$AH572)*AC572)*VLOOKUP('1. SUMMARY'!$C$20,rate,Sheet1!AF$21,0),(($B$203/+$AH572)*AC572)*VLOOKUP('1. SUMMARY'!$C$20,rate,Sheet1!AF$21,0))))</f>
        <v>0</v>
      </c>
      <c r="AD573" s="398">
        <f>IF(AD572=0,0,(IF($B$203&gt;25000,((25000/+$AH572)*AD572)*VLOOKUP('1. SUMMARY'!$C$20,rate,Sheet1!AG$21,0),(($B$203/+$AH572)*AD572)*VLOOKUP('1. SUMMARY'!$C$20,rate,Sheet1!AG$21,0))))</f>
        <v>0</v>
      </c>
      <c r="AE573" s="398">
        <f>IF(AE572=0,0,(IF($B$203&gt;25000,((25000/+$AH572)*AE572)*VLOOKUP('1. SUMMARY'!$C$20,rate,Sheet1!AH$21,0),(($B$203/+$AH572)*AE572)*VLOOKUP('1. SUMMARY'!$C$20,rate,Sheet1!AH$21,0))))</f>
        <v>0</v>
      </c>
      <c r="AF573" s="398">
        <f>IF(AF572=0,0,(IF($B$203&gt;25000,((25000/+$AH572)*AF572)*VLOOKUP('1. SUMMARY'!$C$20,rate,Sheet1!AI$21,0),(($B$203/+$AH572)*AF572)*VLOOKUP('1. SUMMARY'!$C$20,rate,Sheet1!AI$21,0))))</f>
        <v>0</v>
      </c>
      <c r="AG573" s="398">
        <f>IF(AG572=0,0,(IF($B$203&gt;25000,((25000/+$AH572)*AG572)*VLOOKUP('1. SUMMARY'!$C$20,rate,Sheet1!AJ$21,0),(($B$203/+$AH572)*AG572)*VLOOKUP('1. SUMMARY'!$C$20,rate,Sheet1!AJ$21,0))))</f>
        <v>0</v>
      </c>
      <c r="AH573" s="219">
        <f>SUM(Q573:AG573)</f>
        <v>0</v>
      </c>
      <c r="AI573" s="398">
        <f>IF(Q572=0,0,((+$B203/$AZ572)*AI572)*VLOOKUP('1. SUMMARY'!$C$20,rate,Sheet1!T$21,0))</f>
        <v>0</v>
      </c>
      <c r="AJ573" s="398">
        <f>IF(R572=0,0,((+$B203/$AZ572)*AJ572)*VLOOKUP('1. SUMMARY'!$C$20,rate,Sheet1!U$21,0))</f>
        <v>0</v>
      </c>
      <c r="AK573" s="398">
        <f>IF(S572=0,0,((+$B203/$AZ572)*AK572)*VLOOKUP('1. SUMMARY'!$C$20,rate,Sheet1!V$21,0))</f>
        <v>0</v>
      </c>
      <c r="AL573" s="398">
        <f>IF(T572=0,0,((+$B203/$AZ572)*AL572)*VLOOKUP('1. SUMMARY'!$C$20,rate,Sheet1!W$21,0))</f>
        <v>0</v>
      </c>
      <c r="AM573" s="398">
        <f>IF(U572=0,0,((+$B203/$AZ572)*AM572)*VLOOKUP('1. SUMMARY'!$C$20,rate,Sheet1!X$21,0))</f>
        <v>0</v>
      </c>
      <c r="AN573" s="398">
        <f>IF(V572=0,0,((+$B203/$AZ572)*AN572)*VLOOKUP('1. SUMMARY'!$C$20,rate,Sheet1!Y$21,0))</f>
        <v>0</v>
      </c>
      <c r="AO573" s="398">
        <f>IF(W572=0,0,((+$B203/$AZ572)*AO572)*VLOOKUP('1. SUMMARY'!$C$20,rate,Sheet1!Z$21,0))</f>
        <v>0</v>
      </c>
      <c r="AP573" s="398">
        <f>IF(X572=0,0,((+$B203/$AZ572)*AP572)*VLOOKUP('1. SUMMARY'!$C$20,rate,Sheet1!AA$21,0))</f>
        <v>0</v>
      </c>
      <c r="AQ573" s="398">
        <f>IF(Y572=0,0,((+$B203/$AZ572)*AQ572)*VLOOKUP('1. SUMMARY'!$C$20,rate,Sheet1!AB$21,0))</f>
        <v>0</v>
      </c>
      <c r="AR573" s="398">
        <f>IF(Z572=0,0,((+$B203/$AZ572)*AR572)*VLOOKUP('1. SUMMARY'!$C$20,rate,Sheet1!AC$21,0))</f>
        <v>0</v>
      </c>
      <c r="AS573" s="398">
        <f>IF(AA572=0,0,((+$B203/$AZ572)*AS572)*VLOOKUP('1. SUMMARY'!$C$20,rate,Sheet1!AD$21,0))</f>
        <v>0</v>
      </c>
      <c r="AT573" s="398">
        <f>IF(AB572=0,0,((+$B203/$AZ572)*AT572)*VLOOKUP('1. SUMMARY'!$C$20,rate,Sheet1!AE$21,0))</f>
        <v>0</v>
      </c>
      <c r="AU573" s="398">
        <f>IF(AC572=0,0,((+$B203/$AZ572)*AU572)*VLOOKUP('1. SUMMARY'!$C$20,rate,Sheet1!AF$21,0))</f>
        <v>0</v>
      </c>
      <c r="AV573" s="398">
        <f>IF(AD572=0,0,((+$B203/$AZ572)*AV572)*VLOOKUP('1. SUMMARY'!$C$20,rate,Sheet1!AG$21,0))</f>
        <v>0</v>
      </c>
      <c r="AW573" s="398">
        <f>IF(AE572=0,0,((+$B203/$AZ572)*AW572)*VLOOKUP('1. SUMMARY'!$C$20,rate,Sheet1!AH$21,0))</f>
        <v>0</v>
      </c>
      <c r="AX573" s="398">
        <f>IF(AF572=0,0,((+$B203/$AZ572)*AX572)*VLOOKUP('1. SUMMARY'!$C$20,rate,Sheet1!AI$21,0))</f>
        <v>0</v>
      </c>
      <c r="AY573" s="398">
        <f>IF(AG572=0,0,((+$B203/$AZ572)*AY572)*VLOOKUP('1. SUMMARY'!$C$20,rate,Sheet1!AJ$21,0))</f>
        <v>0</v>
      </c>
      <c r="AZ573" s="398">
        <f>SUM(AI573:AY573)</f>
        <v>0</v>
      </c>
    </row>
    <row r="574" spans="17:52" hidden="1">
      <c r="Q574" s="398">
        <f>+Q573/VLOOKUP('1. SUMMARY'!$C$20,rate,Sheet1!T$21,0)</f>
        <v>0</v>
      </c>
      <c r="R574" s="398">
        <f>+R573/VLOOKUP('1. SUMMARY'!$C$20,rate,Sheet1!U$21,0)</f>
        <v>0</v>
      </c>
      <c r="S574" s="398">
        <f>+S573/VLOOKUP('1. SUMMARY'!$C$20,rate,Sheet1!V$21,0)</f>
        <v>0</v>
      </c>
      <c r="T574" s="398">
        <f>+T573/VLOOKUP('1. SUMMARY'!$C$20,rate,Sheet1!W$21,0)</f>
        <v>0</v>
      </c>
      <c r="U574" s="398">
        <f>+U573/VLOOKUP('1. SUMMARY'!$C$20,rate,Sheet1!X$21,0)</f>
        <v>0</v>
      </c>
      <c r="V574" s="398">
        <f>+V573/VLOOKUP('1. SUMMARY'!$C$20,rate,Sheet1!Y$21,0)</f>
        <v>0</v>
      </c>
      <c r="W574" s="398">
        <f>+W573/VLOOKUP('1. SUMMARY'!$C$20,rate,Sheet1!Z$21,0)</f>
        <v>0</v>
      </c>
      <c r="X574" s="398">
        <f>+X573/VLOOKUP('1. SUMMARY'!$C$20,rate,Sheet1!AA$21,0)</f>
        <v>0</v>
      </c>
      <c r="Y574" s="398">
        <f>+Y573/VLOOKUP('1. SUMMARY'!$C$20,rate,Sheet1!AB$21,0)</f>
        <v>0</v>
      </c>
      <c r="Z574" s="398">
        <f>+Z573/VLOOKUP('1. SUMMARY'!$C$20,rate,Sheet1!AC$21,0)</f>
        <v>0</v>
      </c>
      <c r="AA574" s="398">
        <f>+AA573/VLOOKUP('1. SUMMARY'!$C$20,rate,Sheet1!AD$21,0)</f>
        <v>0</v>
      </c>
      <c r="AB574" s="398">
        <f>+AB573/VLOOKUP('1. SUMMARY'!$C$20,rate,Sheet1!AE$21,0)</f>
        <v>0</v>
      </c>
      <c r="AC574" s="398">
        <f>+AC573/VLOOKUP('1. SUMMARY'!$C$20,rate,Sheet1!AF$21,0)</f>
        <v>0</v>
      </c>
      <c r="AD574" s="398">
        <f>+AD573/VLOOKUP('1. SUMMARY'!$C$20,rate,Sheet1!AG$21,0)</f>
        <v>0</v>
      </c>
      <c r="AE574" s="398">
        <f>+AE573/VLOOKUP('1. SUMMARY'!$C$20,rate,Sheet1!AH$21,0)</f>
        <v>0</v>
      </c>
      <c r="AF574" s="398">
        <f>+AF573/VLOOKUP('1. SUMMARY'!$C$20,rate,Sheet1!AI$21,0)</f>
        <v>0</v>
      </c>
      <c r="AG574" s="398">
        <f>+AG573/VLOOKUP('1. SUMMARY'!$C$20,rate,Sheet1!AJ$21,0)</f>
        <v>0</v>
      </c>
      <c r="AH574" s="219"/>
      <c r="AI574" s="398">
        <v>0</v>
      </c>
      <c r="AJ574" s="398">
        <v>0</v>
      </c>
      <c r="AK574" s="398">
        <v>0</v>
      </c>
      <c r="AL574" s="398">
        <v>0</v>
      </c>
      <c r="AM574" s="398">
        <v>0</v>
      </c>
      <c r="AN574" s="398">
        <v>0</v>
      </c>
      <c r="AO574" s="398">
        <v>0</v>
      </c>
      <c r="AP574" s="398">
        <v>0</v>
      </c>
      <c r="AQ574" s="398"/>
      <c r="AR574" s="398"/>
      <c r="AS574" s="398"/>
      <c r="AT574" s="398"/>
      <c r="AU574" s="398"/>
      <c r="AV574" s="398"/>
      <c r="AW574" s="398"/>
      <c r="AX574" s="398"/>
      <c r="AY574" s="398"/>
      <c r="AZ574" s="398"/>
    </row>
    <row r="575" spans="17:52" hidden="1">
      <c r="Q575" s="402">
        <f>Sheet1!$T$8</f>
        <v>44105</v>
      </c>
      <c r="R575" s="402">
        <f>Sheet1!$U$8</f>
        <v>44470</v>
      </c>
      <c r="S575" s="402">
        <f>Sheet1!$V$8</f>
        <v>44835</v>
      </c>
      <c r="T575" s="402">
        <f>Sheet1!$W$8</f>
        <v>45200</v>
      </c>
      <c r="U575" s="402">
        <f>Sheet1!$X$8</f>
        <v>45566</v>
      </c>
      <c r="V575" s="402">
        <f>Sheet1!$Y$8</f>
        <v>45931</v>
      </c>
      <c r="W575" s="402">
        <f>Sheet1!$Z$8</f>
        <v>46296</v>
      </c>
      <c r="X575" s="402">
        <f>Sheet1!$AA$8</f>
        <v>46661</v>
      </c>
      <c r="Y575" s="402">
        <f>Sheet1!$AB$8</f>
        <v>47027</v>
      </c>
      <c r="Z575" s="402">
        <f>Sheet1!$AC$8</f>
        <v>47392</v>
      </c>
      <c r="AA575" s="402">
        <f>$AA$5</f>
        <v>47757</v>
      </c>
      <c r="AB575" s="402">
        <f>$AB$5</f>
        <v>48122</v>
      </c>
      <c r="AC575" s="402">
        <f>$AC$5</f>
        <v>48488</v>
      </c>
      <c r="AD575" s="402">
        <f>$AD$5</f>
        <v>48853</v>
      </c>
      <c r="AE575" s="402">
        <f>$AE$5</f>
        <v>49218</v>
      </c>
      <c r="AF575" s="402">
        <f>$AF$5</f>
        <v>49583</v>
      </c>
      <c r="AG575" s="402">
        <f>$AG$5</f>
        <v>49949</v>
      </c>
      <c r="AH575" s="211"/>
      <c r="AI575" s="402">
        <f t="shared" ref="AI575:AR577" si="260">+Q575</f>
        <v>44105</v>
      </c>
      <c r="AJ575" s="402">
        <f t="shared" si="260"/>
        <v>44470</v>
      </c>
      <c r="AK575" s="402">
        <f t="shared" si="260"/>
        <v>44835</v>
      </c>
      <c r="AL575" s="402">
        <f t="shared" si="260"/>
        <v>45200</v>
      </c>
      <c r="AM575" s="402">
        <f t="shared" si="260"/>
        <v>45566</v>
      </c>
      <c r="AN575" s="402">
        <f t="shared" si="260"/>
        <v>45931</v>
      </c>
      <c r="AO575" s="402">
        <f t="shared" si="260"/>
        <v>46296</v>
      </c>
      <c r="AP575" s="402">
        <f t="shared" si="260"/>
        <v>46661</v>
      </c>
      <c r="AQ575" s="402">
        <f t="shared" si="260"/>
        <v>47027</v>
      </c>
      <c r="AR575" s="402">
        <f t="shared" si="260"/>
        <v>47392</v>
      </c>
      <c r="AS575" s="402">
        <f t="shared" ref="AS575:AY577" si="261">+AA575</f>
        <v>47757</v>
      </c>
      <c r="AT575" s="402">
        <f t="shared" si="261"/>
        <v>48122</v>
      </c>
      <c r="AU575" s="402">
        <f t="shared" si="261"/>
        <v>48488</v>
      </c>
      <c r="AV575" s="402">
        <f t="shared" si="261"/>
        <v>48853</v>
      </c>
      <c r="AW575" s="402">
        <f t="shared" si="261"/>
        <v>49218</v>
      </c>
      <c r="AX575" s="402">
        <f t="shared" si="261"/>
        <v>49583</v>
      </c>
      <c r="AY575" s="402">
        <f t="shared" si="261"/>
        <v>49949</v>
      </c>
      <c r="AZ575" s="402"/>
    </row>
    <row r="576" spans="17:52" hidden="1">
      <c r="Q576" s="402">
        <f>Sheet1!$T$9</f>
        <v>44469</v>
      </c>
      <c r="R576" s="402">
        <f>Sheet1!$U$9</f>
        <v>44834</v>
      </c>
      <c r="S576" s="402">
        <f>Sheet1!$V$9</f>
        <v>45199</v>
      </c>
      <c r="T576" s="402">
        <f>Sheet1!$W$9</f>
        <v>45565</v>
      </c>
      <c r="U576" s="402">
        <f>Sheet1!$X$9</f>
        <v>45930</v>
      </c>
      <c r="V576" s="402">
        <f>Sheet1!$Y$9</f>
        <v>46295</v>
      </c>
      <c r="W576" s="402">
        <f>Sheet1!$Z$9</f>
        <v>46660</v>
      </c>
      <c r="X576" s="402">
        <f>Sheet1!$AA$9</f>
        <v>47026</v>
      </c>
      <c r="Y576" s="402">
        <f>Sheet1!$AB$9</f>
        <v>47391</v>
      </c>
      <c r="Z576" s="402">
        <f>Sheet1!$AC$9</f>
        <v>47756</v>
      </c>
      <c r="AA576" s="402">
        <f>$AA$6</f>
        <v>48121</v>
      </c>
      <c r="AB576" s="402">
        <f>$AB$6</f>
        <v>48487</v>
      </c>
      <c r="AC576" s="402">
        <f>$AC$6</f>
        <v>48852</v>
      </c>
      <c r="AD576" s="402">
        <f>$AD$6</f>
        <v>49217</v>
      </c>
      <c r="AE576" s="402">
        <f>$AE$6</f>
        <v>49582</v>
      </c>
      <c r="AF576" s="402">
        <f>$AF$6</f>
        <v>49948</v>
      </c>
      <c r="AG576" s="402">
        <f>$AG$6</f>
        <v>50313</v>
      </c>
      <c r="AH576" s="211"/>
      <c r="AI576" s="402">
        <f t="shared" si="260"/>
        <v>44469</v>
      </c>
      <c r="AJ576" s="402">
        <f t="shared" si="260"/>
        <v>44834</v>
      </c>
      <c r="AK576" s="402">
        <f t="shared" si="260"/>
        <v>45199</v>
      </c>
      <c r="AL576" s="402">
        <f t="shared" si="260"/>
        <v>45565</v>
      </c>
      <c r="AM576" s="402">
        <f t="shared" si="260"/>
        <v>45930</v>
      </c>
      <c r="AN576" s="402">
        <f t="shared" si="260"/>
        <v>46295</v>
      </c>
      <c r="AO576" s="402">
        <f t="shared" si="260"/>
        <v>46660</v>
      </c>
      <c r="AP576" s="402">
        <f t="shared" si="260"/>
        <v>47026</v>
      </c>
      <c r="AQ576" s="402">
        <f t="shared" si="260"/>
        <v>47391</v>
      </c>
      <c r="AR576" s="402">
        <f t="shared" si="260"/>
        <v>47756</v>
      </c>
      <c r="AS576" s="402">
        <f t="shared" si="261"/>
        <v>48121</v>
      </c>
      <c r="AT576" s="402">
        <f t="shared" si="261"/>
        <v>48487</v>
      </c>
      <c r="AU576" s="402">
        <f t="shared" si="261"/>
        <v>48852</v>
      </c>
      <c r="AV576" s="402">
        <f t="shared" si="261"/>
        <v>49217</v>
      </c>
      <c r="AW576" s="402">
        <f t="shared" si="261"/>
        <v>49582</v>
      </c>
      <c r="AX576" s="402">
        <f t="shared" si="261"/>
        <v>49948</v>
      </c>
      <c r="AY576" s="402">
        <f t="shared" si="261"/>
        <v>50313</v>
      </c>
      <c r="AZ576" s="402"/>
    </row>
    <row r="577" spans="17:52" hidden="1">
      <c r="Q577" s="403">
        <f>IF(IF(Q576&lt;$C$27,0,DATEDIF($C$27,Q576+1,"m"))&lt;0,0,IF(Q576&lt;$C$27,0,DATEDIF($C$27,Q576+1,"m")))</f>
        <v>0</v>
      </c>
      <c r="R577" s="403">
        <f>IF(IF(Q577=12,0,IF(R576&gt;$C$28,12-DATEDIF($C$28,R576+1,"m"),IF(R576&lt;$C$27,0,DATEDIF($C$27,R576+1,"m"))))&lt;0,0,IF(Q577=12,0,IF(R576&gt;$C$28,12-DATEDIF($C$28,R576+1,"m"),IF(R576&lt;$C$27,0,DATEDIF($C$27,R576+1,"m")))))</f>
        <v>0</v>
      </c>
      <c r="S577" s="403">
        <f>IF(IF(Q577+R577=12,0,IF(S576&gt;$C$28,12-DATEDIF($C$28,S576+1,"m"),IF(S576&lt;$C$27,0,DATEDIF($C$27,S576+1,"m"))))&lt;0,0,IF(Q577+R577=12,0,IF(S576&gt;$C$28,12-DATEDIF($C$28,S576+1,"m"),IF(S576&lt;$C$27,0,DATEDIF($C$27,S576+1,"m")))))</f>
        <v>0</v>
      </c>
      <c r="T577" s="403">
        <f>IF(IF(R577+S577+Q577=12,0,IF(T576&gt;$C$28,12-DATEDIF($C$28,T576+1,"m"),IF(T576&lt;$C$27,0,DATEDIF($C$27,T576+1,"m"))))&lt;0,0,IF(R577+S577+Q577=12,0,IF(T576&gt;$C$28,12-DATEDIF($C$28,T576+1,"m"),IF(T576&lt;$C$27,0,DATEDIF($C$27,T576+1,"m")))))</f>
        <v>0</v>
      </c>
      <c r="U577" s="403">
        <f>IF(IF(S577+T577+R577+Q577=12,0,IF(U576&gt;$C$28,12-DATEDIF($C$28,U576+1,"m"),IF(U576&lt;$C$27,0,DATEDIF($C$27,U576+1,"m"))))&lt;0,0,IF(S577+T577+R577+Q577=12,0,IF(U576&gt;$C$28,12-DATEDIF($C$28,U576+1,"m"),IF(U576&lt;$C$27,0,DATEDIF($C$27,U576+1,"m")))))</f>
        <v>0</v>
      </c>
      <c r="V577" s="403">
        <f>IF(IF(T577+U577+S577+R577+Q577=12,0,IF(V576&gt;$C$28,12-DATEDIF($C$28,V576+1,"m"),IF(V576&lt;$C$27,0,DATEDIF($C$27,V576+1,"m"))))&lt;0,0,IF(T577+U577+S577+R577+Q577=12,0,IF(V576&gt;$C$28,12-DATEDIF($C$28,V576+1,"m"),IF(V576&lt;$C$27,0,DATEDIF($C$27,V576+1,"m")))))</f>
        <v>0</v>
      </c>
      <c r="W577" s="403">
        <f>IF(IF(U577+V577+T577+S577+R577+Q577=12,0,IF(W576&gt;$C$28,12-DATEDIF($C$28,W576+1,"m"),IF(W576&lt;$C$27,0,DATEDIF($C$27,W576+1,"m"))))&lt;0,0,IF(U577+V577+T577+S577+R577+Q577=12,0,IF(W576&gt;$C$28,12-DATEDIF($C$28,W576+1,"m"),IF(W576&lt;$C$27,0,DATEDIF($C$27,W576+1,"m")))))</f>
        <v>0</v>
      </c>
      <c r="X577" s="403">
        <f>IF(IF(V577+W577+U577+T577+S577+R577+Q577=12,0,IF(X576&gt;$C$28,12-DATEDIF($C$28,X576+1,"m"),IF(X576&lt;$C$27,0,DATEDIF($C$27,X576+1,"m"))))&lt;0,0,IF(V577+W577+U577+T577+S577+R577+Q577=12,0,IF(X576&gt;$C$28,12-DATEDIF($C$28,X576+1,"m"),IF(X576&lt;$C$27,0,DATEDIF($C$27,X576+1,"m")))))</f>
        <v>0</v>
      </c>
      <c r="Y577" s="403">
        <f>IF(IF(Q577+W577+X577+V577+U577+T577+S577+R577=12,0,IF(Y576&gt;$C$28,12-DATEDIF($C$28,Y576+1,"m"),IF(Y576&lt;$C$27,0,DATEDIF($C$27,Y576+1,"m"))))&lt;0,0,IF(Q577+W577+X577+V577+U577+T577+S577+R577=12,0,IF(Y576&gt;$C$28,12-DATEDIF($C$28,Y576+1,"m"),IF(Y576&lt;$C$27,0,DATEDIF($C$27,Y576+1,"m")))))</f>
        <v>0</v>
      </c>
      <c r="Z577" s="403">
        <f>IF(IF(Q577+R577+X577+Y577+W577+V577+U577+T577+S577=12,0,IF(Z576&gt;$C$28,12-DATEDIF($C$28,Z576+1,"m"),IF(Z576&lt;$C$27,0,DATEDIF($C$27,Z576+1,"m"))))&lt;0,0,IF(+Q577+R577+X577+Y577+W577+V577+U577+T577+S577=12,0,IF(Z576&gt;$C$28,12-DATEDIF($C$28,Z576+1,"m"),IF(Z576&lt;$C$27,0,DATEDIF($C$27,Z576+1,"m")))))</f>
        <v>0</v>
      </c>
      <c r="AA577" s="403"/>
      <c r="AB577" s="403"/>
      <c r="AC577" s="403"/>
      <c r="AD577" s="403"/>
      <c r="AE577" s="403"/>
      <c r="AF577" s="403"/>
      <c r="AG577" s="403"/>
      <c r="AH577" s="423">
        <f>SUM(Q577:AG577)</f>
        <v>0</v>
      </c>
      <c r="AI577" s="403">
        <f t="shared" si="260"/>
        <v>0</v>
      </c>
      <c r="AJ577" s="403">
        <f t="shared" si="260"/>
        <v>0</v>
      </c>
      <c r="AK577" s="403">
        <f t="shared" si="260"/>
        <v>0</v>
      </c>
      <c r="AL577" s="403">
        <f t="shared" si="260"/>
        <v>0</v>
      </c>
      <c r="AM577" s="403">
        <f t="shared" si="260"/>
        <v>0</v>
      </c>
      <c r="AN577" s="403">
        <f t="shared" si="260"/>
        <v>0</v>
      </c>
      <c r="AO577" s="403">
        <f t="shared" si="260"/>
        <v>0</v>
      </c>
      <c r="AP577" s="403">
        <f t="shared" si="260"/>
        <v>0</v>
      </c>
      <c r="AQ577" s="403">
        <f t="shared" si="260"/>
        <v>0</v>
      </c>
      <c r="AR577" s="403">
        <f t="shared" si="260"/>
        <v>0</v>
      </c>
      <c r="AS577" s="403">
        <f t="shared" si="261"/>
        <v>0</v>
      </c>
      <c r="AT577" s="403">
        <f t="shared" si="261"/>
        <v>0</v>
      </c>
      <c r="AU577" s="403">
        <f t="shared" si="261"/>
        <v>0</v>
      </c>
      <c r="AV577" s="403">
        <f t="shared" si="261"/>
        <v>0</v>
      </c>
      <c r="AW577" s="403">
        <f t="shared" si="261"/>
        <v>0</v>
      </c>
      <c r="AX577" s="403">
        <f t="shared" si="261"/>
        <v>0</v>
      </c>
      <c r="AY577" s="403">
        <f t="shared" si="261"/>
        <v>0</v>
      </c>
      <c r="AZ577" s="403">
        <f>SUM(AI577:AY577)</f>
        <v>0</v>
      </c>
    </row>
    <row r="578" spans="17:52" hidden="1">
      <c r="Q578" s="404">
        <f>IF(Q577=0,0,(IF(($C$203+$B$203)&lt;=25000,(($C$203/+$AH577)*Q577)*VLOOKUP('1. SUMMARY'!$C$20,rate,Sheet1!T$21,0),((IF($B$203&gt;=25000,0,((25000-$B$203)/+$AH577)*Q577)*VLOOKUP('1. SUMMARY'!$C$20,rate,Sheet1!T$21,0))))))</f>
        <v>0</v>
      </c>
      <c r="R578" s="404">
        <f>IF(R577=0,0,(IF(($C$203+$B$203)&lt;=25000,(($C$203/+$AH577)*R577)*VLOOKUP('1. SUMMARY'!$C$20,rate,Sheet1!U$21,0),((IF($B$203&gt;=25000,0,((25000-$B$203)/+$AH577)*R577)*VLOOKUP('1. SUMMARY'!$C$20,rate,Sheet1!U$21,0))))))</f>
        <v>0</v>
      </c>
      <c r="S578" s="404">
        <f>IF(S577=0,0,(IF(($C$203+$B$203)&lt;=25000,(($C$203/+$AH577)*S577)*VLOOKUP('1. SUMMARY'!$C$20,rate,Sheet1!V$21,0),((IF($B$203&gt;=25000,0,((25000-$B$203)/+$AH577)*S577)*VLOOKUP('1. SUMMARY'!$C$20,rate,Sheet1!V$21,0))))))</f>
        <v>0</v>
      </c>
      <c r="T578" s="404">
        <f>IF(T577=0,0,(IF(($C$203+$B$203)&lt;=25000,(($C$203/+$AH577)*T577)*VLOOKUP('1. SUMMARY'!$C$20,rate,Sheet1!W$21,0),((IF($B$203&gt;=25000,0,((25000-$B$203)/+$AH577)*T577)*VLOOKUP('1. SUMMARY'!$C$20,rate,Sheet1!W$21,0))))))</f>
        <v>0</v>
      </c>
      <c r="U578" s="404">
        <f>IF(U577=0,0,(IF(($C$203+$B$203)&lt;=25000,(($C$203/+$AH577)*U577)*VLOOKUP('1. SUMMARY'!$C$20,rate,Sheet1!X$21,0),((IF($B$203&gt;=25000,0,((25000-$B$203)/+$AH577)*U577)*VLOOKUP('1. SUMMARY'!$C$20,rate,Sheet1!X$21,0))))))</f>
        <v>0</v>
      </c>
      <c r="V578" s="404">
        <f>IF(V577=0,0,(IF(($C$203+$B$203)&lt;=25000,(($C$203/+$AH577)*V577)*VLOOKUP('1. SUMMARY'!$C$20,rate,Sheet1!Y$21,0),((IF($B$203&gt;=25000,0,((25000-$B$203)/+$AH577)*V577)*VLOOKUP('1. SUMMARY'!$C$20,rate,Sheet1!Y$21,0))))))</f>
        <v>0</v>
      </c>
      <c r="W578" s="404">
        <f>IF(W577=0,0,(IF(($C$203+$B$203)&lt;=25000,(($C$203/+$AH577)*W577)*VLOOKUP('1. SUMMARY'!$C$20,rate,Sheet1!Z$21,0),((IF($B$203&gt;=25000,0,((25000-$B$203)/+$AH577)*W577)*VLOOKUP('1. SUMMARY'!$C$20,rate,Sheet1!Z$21,0))))))</f>
        <v>0</v>
      </c>
      <c r="X578" s="404">
        <f>IF(X577=0,0,(IF(($C$203+$B$203)&lt;=25000,(($C$203/+$AH577)*X577)*VLOOKUP('1. SUMMARY'!$C$20,rate,Sheet1!AA$21,0),((IF($B$203&gt;=25000,0,((25000-$B$203)/+$AH577)*X577)*VLOOKUP('1. SUMMARY'!$C$20,rate,Sheet1!AA$21,0))))))</f>
        <v>0</v>
      </c>
      <c r="Y578" s="404">
        <f>IF(Y577=0,0,(IF(($C$203+$B$203)&lt;=25000,(($C$203/+$AH577)*Y577)*VLOOKUP('1. SUMMARY'!$C$20,rate,Sheet1!AB$21,0),((IF($B$203&gt;=25000,0,((25000-$B$203)/+$AH577)*Y577)*VLOOKUP('1. SUMMARY'!$C$20,rate,Sheet1!AB$21,0))))))</f>
        <v>0</v>
      </c>
      <c r="Z578" s="404">
        <f>IF(Z577=0,0,(IF(($C$203+$B$203)&lt;=25000,(($C$203/+$AH577)*Z577)*VLOOKUP('1. SUMMARY'!$C$20,rate,Sheet1!AC$21,0),((IF($B$203&gt;=25000,0,((25000-$B$203)/+$AH577)*Z577)*VLOOKUP('1. SUMMARY'!$C$20,rate,Sheet1!AC$21,0))))))</f>
        <v>0</v>
      </c>
      <c r="AA578" s="404">
        <f>IF(AA577=0,0,(IF(($C$203+$B$203)&lt;=25000,(($C$203/+$AH577)*AA577)*VLOOKUP('1. SUMMARY'!$C$20,rate,Sheet1!AD$21,0),((IF($B$203&gt;=25000,0,((25000-$B$203)/+$AH577)*AA577)*VLOOKUP('1. SUMMARY'!$C$20,rate,Sheet1!AD$21,0))))))</f>
        <v>0</v>
      </c>
      <c r="AB578" s="404">
        <f>IF(AB577=0,0,(IF(($C$203+$B$203)&lt;=25000,(($C$203/+$AH577)*AB577)*VLOOKUP('1. SUMMARY'!$C$20,rate,Sheet1!AE$21,0),((IF($B$203&gt;=25000,0,((25000-$B$203)/+$AH577)*AB577)*VLOOKUP('1. SUMMARY'!$C$20,rate,Sheet1!AE$21,0))))))</f>
        <v>0</v>
      </c>
      <c r="AC578" s="404">
        <f>IF(AC577=0,0,(IF(($C$203+$B$203)&lt;=25000,(($C$203/+$AH577)*AC577)*VLOOKUP('1. SUMMARY'!$C$20,rate,Sheet1!AF$21,0),((IF($B$203&gt;=25000,0,((25000-$B$203)/+$AH577)*AC577)*VLOOKUP('1. SUMMARY'!$C$20,rate,Sheet1!AF$21,0))))))</f>
        <v>0</v>
      </c>
      <c r="AD578" s="404">
        <f>IF(AD577=0,0,(IF(($C$203+$B$203)&lt;=25000,(($C$203/+$AH577)*AD577)*VLOOKUP('1. SUMMARY'!$C$20,rate,Sheet1!AG$21,0),((IF($B$203&gt;=25000,0,((25000-$B$203)/+$AH577)*AD577)*VLOOKUP('1. SUMMARY'!$C$20,rate,Sheet1!AG$21,0))))))</f>
        <v>0</v>
      </c>
      <c r="AE578" s="404">
        <f>IF(AE577=0,0,(IF(($C$203+$B$203)&lt;=25000,(($C$203/+$AH577)*AE577)*VLOOKUP('1. SUMMARY'!$C$20,rate,Sheet1!AH$21,0),((IF($B$203&gt;=25000,0,((25000-$B$203)/+$AH577)*AE577)*VLOOKUP('1. SUMMARY'!$C$20,rate,Sheet1!AH$21,0))))))</f>
        <v>0</v>
      </c>
      <c r="AF578" s="404">
        <f>IF(AF577=0,0,(IF(($C$203+$B$203)&lt;=25000,(($C$203/+$AH577)*AF577)*VLOOKUP('1. SUMMARY'!$C$20,rate,Sheet1!AI$21,0),((IF($B$203&gt;=25000,0,((25000-$B$203)/+$AH577)*AF577)*VLOOKUP('1. SUMMARY'!$C$20,rate,Sheet1!AI$21,0))))))</f>
        <v>0</v>
      </c>
      <c r="AG578" s="404">
        <f>IF(AG577=0,0,(IF(($C$203+$B$203)&lt;=25000,(($C$203/+$AH577)*AG577)*VLOOKUP('1. SUMMARY'!$C$20,rate,Sheet1!AJ$21,0),((IF($B$203&gt;=25000,0,((25000-$B$203)/+$AH577)*AG577)*VLOOKUP('1. SUMMARY'!$C$20,rate,Sheet1!AJ$21,0))))))</f>
        <v>0</v>
      </c>
      <c r="AH578" s="219">
        <f>SUM(Q578:AG578)</f>
        <v>0</v>
      </c>
      <c r="AI578" s="404">
        <f>IF(AI577=0,0,((+$C203/$AZ577)*AI577)*VLOOKUP('1. SUMMARY'!$C$20,rate,Sheet1!T$21,0))</f>
        <v>0</v>
      </c>
      <c r="AJ578" s="404">
        <f>IF(AJ577=0,0,((+$C203/$AZ577)*AJ577)*VLOOKUP('1. SUMMARY'!$C$20,rate,Sheet1!U$21,0))</f>
        <v>0</v>
      </c>
      <c r="AK578" s="404">
        <f>IF(AK577=0,0,((+$C203/$AZ577)*AK577)*VLOOKUP('1. SUMMARY'!$C$20,rate,Sheet1!V$21,0))</f>
        <v>0</v>
      </c>
      <c r="AL578" s="404">
        <f>IF(AL577=0,0,((+$C203/$AZ577)*AL577)*VLOOKUP('1. SUMMARY'!$C$20,rate,Sheet1!W$21,0))</f>
        <v>0</v>
      </c>
      <c r="AM578" s="404">
        <f>IF(AM577=0,0,((+$C203/$AZ577)*AM577)*VLOOKUP('1. SUMMARY'!$C$20,rate,Sheet1!X$21,0))</f>
        <v>0</v>
      </c>
      <c r="AN578" s="404">
        <f>IF(AN577=0,0,((+$C203/$AZ577)*AN577)*VLOOKUP('1. SUMMARY'!$C$20,rate,Sheet1!Y$21,0))</f>
        <v>0</v>
      </c>
      <c r="AO578" s="404">
        <f>IF(AO577=0,0,((+$C203/$AZ577)*AO577)*VLOOKUP('1. SUMMARY'!$C$20,rate,Sheet1!Z$21,0))</f>
        <v>0</v>
      </c>
      <c r="AP578" s="404">
        <f>IF(AP577=0,0,((+$C203/$AZ577)*AP577)*VLOOKUP('1. SUMMARY'!$C$20,rate,Sheet1!AA$21,0))</f>
        <v>0</v>
      </c>
      <c r="AQ578" s="404">
        <f>IF(AQ577=0,0,((+$C203/$AZ577)*AQ577)*VLOOKUP('1. SUMMARY'!$C$20,rate,Sheet1!AB$21,0))</f>
        <v>0</v>
      </c>
      <c r="AR578" s="404">
        <f>IF(AR577=0,0,((+$C203/$AZ577)*AR577)*VLOOKUP('1. SUMMARY'!$C$20,rate,Sheet1!AC$21,0))</f>
        <v>0</v>
      </c>
      <c r="AS578" s="404">
        <f>IF(AS577=0,0,((+$C203/$AZ577)*AS577)*VLOOKUP('1. SUMMARY'!$C$20,rate,Sheet1!AD$21,0))</f>
        <v>0</v>
      </c>
      <c r="AT578" s="404">
        <f>IF(AT577=0,0,((+$C203/$AZ577)*AT577)*VLOOKUP('1. SUMMARY'!$C$20,rate,Sheet1!AE$21,0))</f>
        <v>0</v>
      </c>
      <c r="AU578" s="404">
        <f>IF(AU577=0,0,((+$C203/$AZ577)*AU577)*VLOOKUP('1. SUMMARY'!$C$20,rate,Sheet1!AF$21,0))</f>
        <v>0</v>
      </c>
      <c r="AV578" s="404">
        <f>IF(AV577=0,0,((+$C203/$AZ577)*AV577)*VLOOKUP('1. SUMMARY'!$C$20,rate,Sheet1!AG$21,0))</f>
        <v>0</v>
      </c>
      <c r="AW578" s="404">
        <f>IF(AW577=0,0,((+$C203/$AZ577)*AW577)*VLOOKUP('1. SUMMARY'!$C$20,rate,Sheet1!AH$21,0))</f>
        <v>0</v>
      </c>
      <c r="AX578" s="404">
        <f>IF(AX577=0,0,((+$C203/$AZ577)*AX577)*VLOOKUP('1. SUMMARY'!$C$20,rate,Sheet1!AI$21,0))</f>
        <v>0</v>
      </c>
      <c r="AY578" s="404">
        <f>IF(AY577=0,0,((+$C203/$AZ577)*AY577)*VLOOKUP('1. SUMMARY'!$C$20,rate,Sheet1!AJ$21,0))</f>
        <v>0</v>
      </c>
      <c r="AZ578" s="404">
        <f>SUM(AI578:AY578)</f>
        <v>0</v>
      </c>
    </row>
    <row r="579" spans="17:52" hidden="1">
      <c r="Q579" s="404">
        <f>+Q578/VLOOKUP('1. SUMMARY'!$C$20,rate,Sheet1!T$21,0)</f>
        <v>0</v>
      </c>
      <c r="R579" s="404">
        <f>+R578/VLOOKUP('1. SUMMARY'!$C$20,rate,Sheet1!U$21,0)</f>
        <v>0</v>
      </c>
      <c r="S579" s="404">
        <f>+S578/VLOOKUP('1. SUMMARY'!$C$20,rate,Sheet1!V$21,0)</f>
        <v>0</v>
      </c>
      <c r="T579" s="404">
        <f>+T578/VLOOKUP('1. SUMMARY'!$C$20,rate,Sheet1!W$21,0)</f>
        <v>0</v>
      </c>
      <c r="U579" s="404">
        <f>+U578/VLOOKUP('1. SUMMARY'!$C$20,rate,Sheet1!X$21,0)</f>
        <v>0</v>
      </c>
      <c r="V579" s="404">
        <f>+V578/VLOOKUP('1. SUMMARY'!$C$20,rate,Sheet1!Y$21,0)</f>
        <v>0</v>
      </c>
      <c r="W579" s="404">
        <f>+W578/VLOOKUP('1. SUMMARY'!$C$20,rate,Sheet1!Z$21,0)</f>
        <v>0</v>
      </c>
      <c r="X579" s="404">
        <f>+X578/VLOOKUP('1. SUMMARY'!$C$20,rate,Sheet1!AA$21,0)</f>
        <v>0</v>
      </c>
      <c r="Y579" s="404">
        <f>+Y578/VLOOKUP('1. SUMMARY'!$C$20,rate,Sheet1!AB$21,0)</f>
        <v>0</v>
      </c>
      <c r="Z579" s="404">
        <f>+Z578/VLOOKUP('1. SUMMARY'!$C$20,rate,Sheet1!AC$21,0)</f>
        <v>0</v>
      </c>
      <c r="AA579" s="404">
        <f>+AA578/VLOOKUP('1. SUMMARY'!$C$20,rate,Sheet1!AD$21,0)</f>
        <v>0</v>
      </c>
      <c r="AB579" s="404">
        <f>+AB578/VLOOKUP('1. SUMMARY'!$C$20,rate,Sheet1!AE$21,0)</f>
        <v>0</v>
      </c>
      <c r="AC579" s="404">
        <f>+AC578/VLOOKUP('1. SUMMARY'!$C$20,rate,Sheet1!AF$21,0)</f>
        <v>0</v>
      </c>
      <c r="AD579" s="404">
        <f>+AD578/VLOOKUP('1. SUMMARY'!$C$20,rate,Sheet1!AG$21,0)</f>
        <v>0</v>
      </c>
      <c r="AE579" s="404">
        <f>+AE578/VLOOKUP('1. SUMMARY'!$C$20,rate,Sheet1!AH$21,0)</f>
        <v>0</v>
      </c>
      <c r="AF579" s="404">
        <f>+AF578/VLOOKUP('1. SUMMARY'!$C$20,rate,Sheet1!AI$21,0)</f>
        <v>0</v>
      </c>
      <c r="AG579" s="404">
        <f>+AG578/VLOOKUP('1. SUMMARY'!$C$20,rate,Sheet1!AJ$21,0)</f>
        <v>0</v>
      </c>
      <c r="AH579" s="219"/>
      <c r="AI579" s="404">
        <v>0</v>
      </c>
      <c r="AJ579" s="404">
        <v>0</v>
      </c>
      <c r="AK579" s="404">
        <v>0</v>
      </c>
      <c r="AL579" s="404">
        <v>0</v>
      </c>
      <c r="AM579" s="404">
        <v>0</v>
      </c>
      <c r="AN579" s="404">
        <v>0</v>
      </c>
      <c r="AO579" s="404">
        <v>0</v>
      </c>
      <c r="AP579" s="404">
        <v>0</v>
      </c>
      <c r="AQ579" s="404"/>
      <c r="AR579" s="404"/>
      <c r="AS579" s="404"/>
      <c r="AT579" s="404"/>
      <c r="AU579" s="404"/>
      <c r="AV579" s="404"/>
      <c r="AW579" s="404"/>
      <c r="AX579" s="404"/>
      <c r="AY579" s="404"/>
      <c r="AZ579" s="404"/>
    </row>
    <row r="580" spans="17:52" hidden="1">
      <c r="Q580" s="399">
        <f>Sheet1!$T$8</f>
        <v>44105</v>
      </c>
      <c r="R580" s="399">
        <f>Sheet1!$U$8</f>
        <v>44470</v>
      </c>
      <c r="S580" s="399">
        <f>Sheet1!$V$8</f>
        <v>44835</v>
      </c>
      <c r="T580" s="399">
        <f>Sheet1!$W$8</f>
        <v>45200</v>
      </c>
      <c r="U580" s="399">
        <f>Sheet1!$X$8</f>
        <v>45566</v>
      </c>
      <c r="V580" s="399">
        <f>Sheet1!$Y$8</f>
        <v>45931</v>
      </c>
      <c r="W580" s="399">
        <f>Sheet1!$Z$8</f>
        <v>46296</v>
      </c>
      <c r="X580" s="399">
        <f>Sheet1!$AA$8</f>
        <v>46661</v>
      </c>
      <c r="Y580" s="399">
        <f>Sheet1!$AB$8</f>
        <v>47027</v>
      </c>
      <c r="Z580" s="399">
        <f>Sheet1!$AC$8</f>
        <v>47392</v>
      </c>
      <c r="AA580" s="399">
        <f>$AA$5</f>
        <v>47757</v>
      </c>
      <c r="AB580" s="399">
        <f>$AB$5</f>
        <v>48122</v>
      </c>
      <c r="AC580" s="399">
        <f>$AC$5</f>
        <v>48488</v>
      </c>
      <c r="AD580" s="399">
        <f>$AD$5</f>
        <v>48853</v>
      </c>
      <c r="AE580" s="399">
        <f>$AE$5</f>
        <v>49218</v>
      </c>
      <c r="AF580" s="399">
        <f>$AF$5</f>
        <v>49583</v>
      </c>
      <c r="AG580" s="399">
        <f>$AG$5</f>
        <v>49949</v>
      </c>
      <c r="AH580" s="211"/>
      <c r="AI580" s="399">
        <f t="shared" ref="AI580:AR582" si="262">+Q580</f>
        <v>44105</v>
      </c>
      <c r="AJ580" s="399">
        <f t="shared" si="262"/>
        <v>44470</v>
      </c>
      <c r="AK580" s="399">
        <f t="shared" si="262"/>
        <v>44835</v>
      </c>
      <c r="AL580" s="399">
        <f t="shared" si="262"/>
        <v>45200</v>
      </c>
      <c r="AM580" s="399">
        <f t="shared" si="262"/>
        <v>45566</v>
      </c>
      <c r="AN580" s="399">
        <f t="shared" si="262"/>
        <v>45931</v>
      </c>
      <c r="AO580" s="399">
        <f t="shared" si="262"/>
        <v>46296</v>
      </c>
      <c r="AP580" s="399">
        <f t="shared" si="262"/>
        <v>46661</v>
      </c>
      <c r="AQ580" s="399">
        <f t="shared" si="262"/>
        <v>47027</v>
      </c>
      <c r="AR580" s="399">
        <f t="shared" si="262"/>
        <v>47392</v>
      </c>
      <c r="AS580" s="399">
        <f t="shared" ref="AS580:AY582" si="263">+AA580</f>
        <v>47757</v>
      </c>
      <c r="AT580" s="399">
        <f t="shared" si="263"/>
        <v>48122</v>
      </c>
      <c r="AU580" s="399">
        <f t="shared" si="263"/>
        <v>48488</v>
      </c>
      <c r="AV580" s="399">
        <f t="shared" si="263"/>
        <v>48853</v>
      </c>
      <c r="AW580" s="399">
        <f t="shared" si="263"/>
        <v>49218</v>
      </c>
      <c r="AX580" s="399">
        <f t="shared" si="263"/>
        <v>49583</v>
      </c>
      <c r="AY580" s="399">
        <f t="shared" si="263"/>
        <v>49949</v>
      </c>
      <c r="AZ580" s="399"/>
    </row>
    <row r="581" spans="17:52" hidden="1">
      <c r="Q581" s="399">
        <f>Sheet1!$T$9</f>
        <v>44469</v>
      </c>
      <c r="R581" s="399">
        <f>Sheet1!$U$9</f>
        <v>44834</v>
      </c>
      <c r="S581" s="399">
        <f>Sheet1!$V$9</f>
        <v>45199</v>
      </c>
      <c r="T581" s="399">
        <f>Sheet1!$W$9</f>
        <v>45565</v>
      </c>
      <c r="U581" s="399">
        <f>Sheet1!$X$9</f>
        <v>45930</v>
      </c>
      <c r="V581" s="399">
        <f>Sheet1!$Y$9</f>
        <v>46295</v>
      </c>
      <c r="W581" s="399">
        <f>Sheet1!$Z$9</f>
        <v>46660</v>
      </c>
      <c r="X581" s="399">
        <f>Sheet1!$AA$9</f>
        <v>47026</v>
      </c>
      <c r="Y581" s="399">
        <f>Sheet1!$AB$9</f>
        <v>47391</v>
      </c>
      <c r="Z581" s="399">
        <f>Sheet1!$AC$9</f>
        <v>47756</v>
      </c>
      <c r="AA581" s="399">
        <f>$AA$6</f>
        <v>48121</v>
      </c>
      <c r="AB581" s="399">
        <f>$AB$6</f>
        <v>48487</v>
      </c>
      <c r="AC581" s="399">
        <f>$AC$6</f>
        <v>48852</v>
      </c>
      <c r="AD581" s="399">
        <f>$AD$6</f>
        <v>49217</v>
      </c>
      <c r="AE581" s="399">
        <f>$AE$6</f>
        <v>49582</v>
      </c>
      <c r="AF581" s="399">
        <f>$AF$6</f>
        <v>49948</v>
      </c>
      <c r="AG581" s="399">
        <f>$AG$6</f>
        <v>50313</v>
      </c>
      <c r="AH581" s="211"/>
      <c r="AI581" s="399">
        <f t="shared" si="262"/>
        <v>44469</v>
      </c>
      <c r="AJ581" s="399">
        <f t="shared" si="262"/>
        <v>44834</v>
      </c>
      <c r="AK581" s="399">
        <f t="shared" si="262"/>
        <v>45199</v>
      </c>
      <c r="AL581" s="399">
        <f t="shared" si="262"/>
        <v>45565</v>
      </c>
      <c r="AM581" s="399">
        <f t="shared" si="262"/>
        <v>45930</v>
      </c>
      <c r="AN581" s="399">
        <f t="shared" si="262"/>
        <v>46295</v>
      </c>
      <c r="AO581" s="399">
        <f t="shared" si="262"/>
        <v>46660</v>
      </c>
      <c r="AP581" s="399">
        <f t="shared" si="262"/>
        <v>47026</v>
      </c>
      <c r="AQ581" s="399">
        <f t="shared" si="262"/>
        <v>47391</v>
      </c>
      <c r="AR581" s="399">
        <f t="shared" si="262"/>
        <v>47756</v>
      </c>
      <c r="AS581" s="399">
        <f t="shared" si="263"/>
        <v>48121</v>
      </c>
      <c r="AT581" s="399">
        <f t="shared" si="263"/>
        <v>48487</v>
      </c>
      <c r="AU581" s="399">
        <f t="shared" si="263"/>
        <v>48852</v>
      </c>
      <c r="AV581" s="399">
        <f t="shared" si="263"/>
        <v>49217</v>
      </c>
      <c r="AW581" s="399">
        <f t="shared" si="263"/>
        <v>49582</v>
      </c>
      <c r="AX581" s="399">
        <f t="shared" si="263"/>
        <v>49948</v>
      </c>
      <c r="AY581" s="399">
        <f t="shared" si="263"/>
        <v>50313</v>
      </c>
      <c r="AZ581" s="399"/>
    </row>
    <row r="582" spans="17:52" hidden="1">
      <c r="Q582" s="400">
        <f>IF(IF(Q581&lt;$D$27,0,DATEDIF($D$27,Q581+1,"m"))&lt;0,0,IF(Q581&lt;$D$27,0,DATEDIF($D$27,Q581+1,"m")))</f>
        <v>0</v>
      </c>
      <c r="R582" s="400">
        <f>IF(IF(Q582=12,0,IF(R581&gt;$D$28,12-DATEDIF($D$28,R581+1,"m"),IF(R581&lt;$D$27,0,DATEDIF($D$27,R581+1,"m"))))&lt;0,0,IF(Q582=12,0,IF(R581&gt;$D$28,12-DATEDIF($D$28,R581+1,"m"),IF(R581&lt;$D$27,0,DATEDIF($D$27,R581+1,"m")))))</f>
        <v>0</v>
      </c>
      <c r="S582" s="400">
        <f>IF(IF(Q582+R582=12,0,IF(S581&gt;$D$28,12-DATEDIF($D$28,S581+1,"m"),IF(S581&lt;$D$27,0,DATEDIF($D$27,S581+1,"m"))))&lt;0,0,IF(Q582+R582=12,0,IF(S581&gt;$D$28,12-DATEDIF($D$28,S581+1,"m"),IF(S581&lt;$D$27,0,DATEDIF($D$27,S581+1,"m")))))</f>
        <v>0</v>
      </c>
      <c r="T582" s="400">
        <f>IF(IF(R582+S582+Q582=12,0,IF(T581&gt;$D$28,12-DATEDIF($D$28,T581+1,"m"),IF(T581&lt;$D$27,0,DATEDIF($D$27,T581+1,"m"))))&lt;0,0,IF(R582+S582+Q582=12,0,IF(T581&gt;$D$28,12-DATEDIF($D$28,T581+1,"m"),IF(T581&lt;$D$27,0,DATEDIF($D$27,T581+1,"m")))))</f>
        <v>0</v>
      </c>
      <c r="U582" s="400">
        <f>IF(IF(S582+T582+R582+Q582=12,0,IF(U581&gt;$D$28,12-DATEDIF($D$28,U581+1,"m"),IF(U581&lt;$D$27,0,DATEDIF($D$27,U581+1,"m"))))&lt;0,0,IF(S582+T582+R582+Q582=12,0,IF(U581&gt;$D$28,12-DATEDIF($D$28,U581+1,"m"),IF(U581&lt;$D$27,0,DATEDIF($D$27,U581+1,"m")))))</f>
        <v>0</v>
      </c>
      <c r="V582" s="400">
        <f>IF(IF(T582+U582+S582+R582+Q582=12,0,IF(V581&gt;$D$28,12-DATEDIF($D$28,V581+1,"m"),IF(V581&lt;$D$27,0,DATEDIF($D$27,V581+1,"m"))))&lt;0,0,IF(T582+U582+S582+R582+Q582=12,0,IF(V581&gt;$D$28,12-DATEDIF($D$28,V581+1,"m"),IF(V581&lt;$D$27,0,DATEDIF($D$27,V581+1,"m")))))</f>
        <v>0</v>
      </c>
      <c r="W582" s="400">
        <f>IF(IF(U582+V582+T582+S582+R582+Q582=12,0,IF(W581&gt;$D$28,12-DATEDIF($D$28,W581+1,"m"),IF(W581&lt;$D$27,0,DATEDIF($D$27,W581+1,"m"))))&lt;0,0,IF(U582+V582+T582+S582+R582+Q582=12,0,IF(W581&gt;$D$28,12-DATEDIF($D$28,W581+1,"m"),IF(W581&lt;$D$27,0,DATEDIF($D$27,W581+1,"m")))))</f>
        <v>0</v>
      </c>
      <c r="X582" s="400">
        <f>IF(IF(V582+W582+U582+T582+S582+R582+Q582=12,0,IF(X581&gt;$D$28,12-DATEDIF($D$28,X581+1,"m"),IF(X581&lt;$D$27,0,DATEDIF($D$27,X581+1,"m"))))&lt;0,0,IF(V582+W582+U582+T582+S582+R582+Q582=12,0,IF(X581&gt;$D$28,1-DATEDIF($D$28,X581+1,"m"),IF(X581&lt;$D$27,0,DATEDIF($D$27,X581+1,"m")))))</f>
        <v>0</v>
      </c>
      <c r="Y582" s="400">
        <f>IF(IF(Q582+W582+X582+V582+U582+T582+S582+R582=12,0,IF(Y581&gt;E406,12-DATEDIF(E406,Y581+1,"m"),IF(Y581&lt;E405,0,DATEDIF(E405,Y581+1,"m"))))&lt;0,0,IF(Q582+W582+X582+V582+U582+T582+S582+R582=12,0,IF(Y581&gt;E406,12-DATEDIF(E406,Y581+1,"m"),IF(Y581&lt;E405,0,DATEDIF(E405,Y581+1,"m")))))</f>
        <v>0</v>
      </c>
      <c r="Z582" s="400">
        <f>IF(IF(Q582+R582+X582+Y582+W582+V582+U582+T582+S582=12,0,IF(Z581&gt;F406,12-DATEDIF(F406,Z581+1,"m"),IF(Z581&lt;F405,0,DATEDIF(F405,Z581+1,"m"))))&lt;0,0,IF(Q582+R582+X582+Y582+W582+V582+U582+T582+S582=12,0,IF(Z581&gt;F406,12-DATEDIF(F406,Z581+1,"m"),IF(Z581&lt;F405,0,DATEDIF(F405,Z581+1,"m")))))</f>
        <v>0</v>
      </c>
      <c r="AA582" s="400"/>
      <c r="AB582" s="400"/>
      <c r="AC582" s="400"/>
      <c r="AD582" s="400"/>
      <c r="AE582" s="400"/>
      <c r="AF582" s="400"/>
      <c r="AG582" s="400"/>
      <c r="AH582" s="423">
        <f>SUM(Q582:AG582)</f>
        <v>0</v>
      </c>
      <c r="AI582" s="400">
        <f t="shared" si="262"/>
        <v>0</v>
      </c>
      <c r="AJ582" s="400">
        <f t="shared" si="262"/>
        <v>0</v>
      </c>
      <c r="AK582" s="400">
        <f t="shared" si="262"/>
        <v>0</v>
      </c>
      <c r="AL582" s="400">
        <f t="shared" si="262"/>
        <v>0</v>
      </c>
      <c r="AM582" s="400">
        <f t="shared" si="262"/>
        <v>0</v>
      </c>
      <c r="AN582" s="400">
        <f t="shared" si="262"/>
        <v>0</v>
      </c>
      <c r="AO582" s="400">
        <f t="shared" si="262"/>
        <v>0</v>
      </c>
      <c r="AP582" s="400">
        <f t="shared" si="262"/>
        <v>0</v>
      </c>
      <c r="AQ582" s="400">
        <f t="shared" si="262"/>
        <v>0</v>
      </c>
      <c r="AR582" s="400">
        <f t="shared" si="262"/>
        <v>0</v>
      </c>
      <c r="AS582" s="400">
        <f t="shared" si="263"/>
        <v>0</v>
      </c>
      <c r="AT582" s="400">
        <f t="shared" si="263"/>
        <v>0</v>
      </c>
      <c r="AU582" s="400">
        <f t="shared" si="263"/>
        <v>0</v>
      </c>
      <c r="AV582" s="400">
        <f t="shared" si="263"/>
        <v>0</v>
      </c>
      <c r="AW582" s="400">
        <f t="shared" si="263"/>
        <v>0</v>
      </c>
      <c r="AX582" s="400">
        <f t="shared" si="263"/>
        <v>0</v>
      </c>
      <c r="AY582" s="400">
        <f t="shared" si="263"/>
        <v>0</v>
      </c>
      <c r="AZ582" s="400">
        <f>SUM(AI582:AY582)</f>
        <v>0</v>
      </c>
    </row>
    <row r="583" spans="17:52" hidden="1">
      <c r="Q583" s="401">
        <f>IF(Q582=0,0,(IF(($C$203+$B$203+$D$203)&lt;=25000,(($D$203/+$AH582)*Q582)*VLOOKUP('1. SUMMARY'!$C$20,rate,Sheet1!T$21,0),((IF(($B$203+$C$203)&gt;=25000,0,(((25000-($B$203+$C$203))/+$AH582)*Q582)*VLOOKUP('1. SUMMARY'!$C$20,rate,Sheet1!T$21,0)))))))</f>
        <v>0</v>
      </c>
      <c r="R583" s="401">
        <f>IF(R582=0,0,(IF(($C$203+$B$203+$D$203)&lt;=25000,(($D$203/+$AH582)*R582)*VLOOKUP('1. SUMMARY'!$C$20,rate,Sheet1!U$21,0),((IF(($B$203+$C$203)&gt;=25000,0,(((25000-($B$203+$C$203))/+$AH582)*R582)*VLOOKUP('1. SUMMARY'!$C$20,rate,Sheet1!U$21,0)))))))</f>
        <v>0</v>
      </c>
      <c r="S583" s="401">
        <f>IF(S582=0,0,(IF(($C$203+$B$203+$D$203)&lt;=25000,(($D$203/+$AH582)*S582)*VLOOKUP('1. SUMMARY'!$C$20,rate,Sheet1!V$21,0),((IF(($B$203+$C$203)&gt;=25000,0,(((25000-($B$203+$C$203))/+$AH582)*S582)*VLOOKUP('1. SUMMARY'!$C$20,rate,Sheet1!V$21,0)))))))</f>
        <v>0</v>
      </c>
      <c r="T583" s="401">
        <f>IF(T582=0,0,(IF(($C$203+$B$203+$D$203)&lt;=25000,(($D$203/+$AH582)*T582)*VLOOKUP('1. SUMMARY'!$C$20,rate,Sheet1!W$21,0),((IF(($B$203+$C$203)&gt;=25000,0,(((25000-($B$203+$C$203))/+$AH582)*T582)*VLOOKUP('1. SUMMARY'!$C$20,rate,Sheet1!W$21,0)))))))</f>
        <v>0</v>
      </c>
      <c r="U583" s="401">
        <f>IF(U582=0,0,(IF(($C$203+$B$203+$D$203)&lt;=25000,(($D$203/+$AH582)*U582)*VLOOKUP('1. SUMMARY'!$C$20,rate,Sheet1!X$21,0),((IF(($B$203+$C$203)&gt;=25000,0,(((25000-($B$203+$C$203))/+$AH582)*U582)*VLOOKUP('1. SUMMARY'!$C$20,rate,Sheet1!X$21,0)))))))</f>
        <v>0</v>
      </c>
      <c r="V583" s="401">
        <f>IF(V582=0,0,(IF(($C$203+$B$203+$D$203)&lt;=25000,(($D$203/+$AH582)*V582)*VLOOKUP('1. SUMMARY'!$C$20,rate,Sheet1!Y$21,0),((IF(($B$203+$C$203)&gt;=25000,0,(((25000-($B$203+$C$203))/+$AH582)*V582)*VLOOKUP('1. SUMMARY'!$C$20,rate,Sheet1!Y$21,0)))))))</f>
        <v>0</v>
      </c>
      <c r="W583" s="401">
        <f>IF(W582=0,0,(IF(($C$203+$B$203+$D$203)&lt;=25000,(($D$203/+$AH582)*W582)*VLOOKUP('1. SUMMARY'!$C$20,rate,Sheet1!Z$21,0),((IF(($B$203+$C$203)&gt;=25000,0,(((25000-($B$203+$C$203))/+$AH582)*W582)*VLOOKUP('1. SUMMARY'!$C$20,rate,Sheet1!Z$21,0)))))))</f>
        <v>0</v>
      </c>
      <c r="X583" s="401">
        <f>IF(X582=0,0,(IF(($C$203+$B$203+$D$203)&lt;=25000,(($D$203/+$AH582)*X582)*VLOOKUP('1. SUMMARY'!$C$20,rate,Sheet1!AA$21,0),((IF(($B$203+$C$203)&gt;=25000,0,(((25000-($B$203+$C$203))/+$AH582)*X582)*VLOOKUP('1. SUMMARY'!$C$20,rate,Sheet1!AA$21,0)))))))</f>
        <v>0</v>
      </c>
      <c r="Y583" s="401">
        <f>IF(Y582=0,0,(IF(($C$203+$B$203+$D$203)&lt;=25000,(($D$203/+$AH582)*Y582)*VLOOKUP('1. SUMMARY'!$C$20,rate,Sheet1!AB$21,0),((IF(($B$203+$C$203)&gt;=25000,0,(((25000-($B$203+$C$203))/+$AH582)*Y582)*VLOOKUP('1. SUMMARY'!$C$20,rate,Sheet1!AB$21,0)))))))</f>
        <v>0</v>
      </c>
      <c r="Z583" s="401">
        <f>IF(Z582=0,0,(IF(($C$203+$B$203+$D$203)&lt;=25000,(($D$203/+$AH582)*Z582)*VLOOKUP('1. SUMMARY'!$C$20,rate,Sheet1!AC$21,0),((IF(($B$203+$C$203)&gt;=25000,0,(((25000-($B$203+$C$203))/+$AH582)*Z582)*VLOOKUP('1. SUMMARY'!$C$20,rate,Sheet1!AC$21,0)))))))</f>
        <v>0</v>
      </c>
      <c r="AA583" s="401">
        <f>IF(AA582=0,0,(IF(($C$203+$B$203+$D$203)&lt;=25000,(($D$203/+$AH582)*AA582)*VLOOKUP('1. SUMMARY'!$C$20,rate,Sheet1!AD$21,0),((IF(($B$203+$C$203)&gt;=25000,0,(((25000-($B$203+$C$203))/+$AH582)*AA582)*VLOOKUP('1. SUMMARY'!$C$20,rate,Sheet1!AD$21,0)))))))</f>
        <v>0</v>
      </c>
      <c r="AB583" s="401">
        <f>IF(AB582=0,0,(IF(($C$203+$B$203+$D$203)&lt;=25000,(($D$203/+$AH582)*AB582)*VLOOKUP('1. SUMMARY'!$C$20,rate,Sheet1!AE$21,0),((IF(($B$203+$C$203)&gt;=25000,0,(((25000-($B$203+$C$203))/+$AH582)*AB582)*VLOOKUP('1. SUMMARY'!$C$20,rate,Sheet1!AE$21,0)))))))</f>
        <v>0</v>
      </c>
      <c r="AC583" s="401">
        <f>IF(AC582=0,0,(IF(($C$203+$B$203+$D$203)&lt;=25000,(($D$203/+$AH582)*AC582)*VLOOKUP('1. SUMMARY'!$C$20,rate,Sheet1!AF$21,0),((IF(($B$203+$C$203)&gt;=25000,0,(((25000-($B$203+$C$203))/+$AH582)*AC582)*VLOOKUP('1. SUMMARY'!$C$20,rate,Sheet1!AF$21,0)))))))</f>
        <v>0</v>
      </c>
      <c r="AD583" s="401">
        <f>IF(AD582=0,0,(IF(($C$203+$B$203+$D$203)&lt;=25000,(($D$203/+$AH582)*AD582)*VLOOKUP('1. SUMMARY'!$C$20,rate,Sheet1!AG$21,0),((IF(($B$203+$C$203)&gt;=25000,0,(((25000-($B$203+$C$203))/+$AH582)*AD582)*VLOOKUP('1. SUMMARY'!$C$20,rate,Sheet1!AG$21,0)))))))</f>
        <v>0</v>
      </c>
      <c r="AE583" s="401">
        <f>IF(AE582=0,0,(IF(($C$203+$B$203+$D$203)&lt;=25000,(($D$203/+$AH582)*AE582)*VLOOKUP('1. SUMMARY'!$C$20,rate,Sheet1!AH$21,0),((IF(($B$203+$C$203)&gt;=25000,0,(((25000-($B$203+$C$203))/+$AH582)*AE582)*VLOOKUP('1. SUMMARY'!$C$20,rate,Sheet1!AH$21,0)))))))</f>
        <v>0</v>
      </c>
      <c r="AF583" s="401">
        <f>IF(AF582=0,0,(IF(($C$203+$B$203+$D$203)&lt;=25000,(($D$203/+$AH582)*AF582)*VLOOKUP('1. SUMMARY'!$C$20,rate,Sheet1!AI$21,0),((IF(($B$203+$C$203)&gt;=25000,0,(((25000-($B$203+$C$203))/+$AH582)*AF582)*VLOOKUP('1. SUMMARY'!$C$20,rate,Sheet1!AI$21,0)))))))</f>
        <v>0</v>
      </c>
      <c r="AG583" s="401">
        <f>IF(AG582=0,0,(IF(($C$203+$B$203+$D$203)&lt;=25000,(($D$203/+$AH582)*AG582)*VLOOKUP('1. SUMMARY'!$C$20,rate,Sheet1!AJ$21,0),((IF(($B$203+$C$203)&gt;=25000,0,(((25000-($B$203+$C$203))/+$AH582)*AG582)*VLOOKUP('1. SUMMARY'!$C$20,rate,Sheet1!AJ$21,0)))))))</f>
        <v>0</v>
      </c>
      <c r="AH583" s="219">
        <f>SUM(Q583:AG583)</f>
        <v>0</v>
      </c>
      <c r="AI583" s="401">
        <f>IF(Q582=0,0,((+$D203/$AZ$17)*AI582)*VLOOKUP('1. SUMMARY'!$C$20,rate,Sheet1!T$21,0))</f>
        <v>0</v>
      </c>
      <c r="AJ583" s="401">
        <f>IF(R582=0,0,((+$D203/$AZ$17)*AJ582)*VLOOKUP('1. SUMMARY'!$C$20,rate,Sheet1!U$21,0))</f>
        <v>0</v>
      </c>
      <c r="AK583" s="401">
        <f>IF(S582=0,0,((+$D203/$AZ$17)*AK582)*VLOOKUP('1. SUMMARY'!$C$20,rate,Sheet1!V$21,0))</f>
        <v>0</v>
      </c>
      <c r="AL583" s="401">
        <f>IF(T582=0,0,((+$D203/$AZ$17)*AL582)*VLOOKUP('1. SUMMARY'!$C$20,rate,Sheet1!W$21,0))</f>
        <v>0</v>
      </c>
      <c r="AM583" s="401">
        <f>IF(U582=0,0,((+$D203/$AZ$17)*AM582)*VLOOKUP('1. SUMMARY'!$C$20,rate,Sheet1!X$21,0))</f>
        <v>0</v>
      </c>
      <c r="AN583" s="401">
        <f>IF(V582=0,0,((+$D203/$AZ$17)*AN582)*VLOOKUP('1. SUMMARY'!$C$20,rate,Sheet1!Y$21,0))</f>
        <v>0</v>
      </c>
      <c r="AO583" s="401">
        <f>IF(W582=0,0,((+$D203/$AZ$17)*AO582)*VLOOKUP('1. SUMMARY'!$C$20,rate,Sheet1!Z$21,0))</f>
        <v>0</v>
      </c>
      <c r="AP583" s="401">
        <f>IF(X582=0,0,((+$D203/$AZ$17)*AP582)*VLOOKUP('1. SUMMARY'!$C$20,rate,Sheet1!AA$21,0))</f>
        <v>0</v>
      </c>
      <c r="AQ583" s="401">
        <f>IF(Y582=0,0,((+$D203/$AZ$17)*AQ582)*VLOOKUP('1. SUMMARY'!$C$20,rate,Sheet1!AB$21,0))</f>
        <v>0</v>
      </c>
      <c r="AR583" s="401">
        <f>IF(Z582=0,0,((+$D203/$AZ$17)*AR582)*VLOOKUP('1. SUMMARY'!$C$20,rate,Sheet1!AC$21,0))</f>
        <v>0</v>
      </c>
      <c r="AS583" s="401">
        <f>IF(AA582=0,0,((+$D203/$AZ$17)*AS582)*VLOOKUP('1. SUMMARY'!$C$20,rate,Sheet1!AD$21,0))</f>
        <v>0</v>
      </c>
      <c r="AT583" s="401">
        <f>IF(AB582=0,0,((+$D203/$AZ$17)*AT582)*VLOOKUP('1. SUMMARY'!$C$20,rate,Sheet1!AE$21,0))</f>
        <v>0</v>
      </c>
      <c r="AU583" s="401">
        <f>IF(AC582=0,0,((+$D203/$AZ$17)*AU582)*VLOOKUP('1. SUMMARY'!$C$20,rate,Sheet1!AF$21,0))</f>
        <v>0</v>
      </c>
      <c r="AV583" s="401">
        <f>IF(AD582=0,0,((+$D203/$AZ$17)*AV582)*VLOOKUP('1. SUMMARY'!$C$20,rate,Sheet1!AG$21,0))</f>
        <v>0</v>
      </c>
      <c r="AW583" s="401">
        <f>IF(AE582=0,0,((+$D203/$AZ$17)*AW582)*VLOOKUP('1. SUMMARY'!$C$20,rate,Sheet1!AH$21,0))</f>
        <v>0</v>
      </c>
      <c r="AX583" s="401">
        <f>IF(AF582=0,0,((+$D203/$AZ$17)*AX582)*VLOOKUP('1. SUMMARY'!$C$20,rate,Sheet1!AI$21,0))</f>
        <v>0</v>
      </c>
      <c r="AY583" s="401">
        <f>IF(AG582=0,0,((+$D203/$AZ$17)*AY582)*VLOOKUP('1. SUMMARY'!$C$20,rate,Sheet1!AJ$21,0))</f>
        <v>0</v>
      </c>
      <c r="AZ583" s="401">
        <f>SUM(AI583:AY583)</f>
        <v>0</v>
      </c>
    </row>
    <row r="584" spans="17:52" hidden="1">
      <c r="Q584" s="401">
        <f>+Q583/VLOOKUP('1. SUMMARY'!$C$20,rate,Sheet1!T$21,0)</f>
        <v>0</v>
      </c>
      <c r="R584" s="401">
        <f>+R583/VLOOKUP('1. SUMMARY'!$C$20,rate,Sheet1!U$21,0)</f>
        <v>0</v>
      </c>
      <c r="S584" s="401">
        <f>+S583/VLOOKUP('1. SUMMARY'!$C$20,rate,Sheet1!V$21,0)</f>
        <v>0</v>
      </c>
      <c r="T584" s="401">
        <f>+T583/VLOOKUP('1. SUMMARY'!$C$20,rate,Sheet1!W$21,0)</f>
        <v>0</v>
      </c>
      <c r="U584" s="401">
        <f>+U583/VLOOKUP('1. SUMMARY'!$C$20,rate,Sheet1!X$21,0)</f>
        <v>0</v>
      </c>
      <c r="V584" s="401">
        <f>+V583/VLOOKUP('1. SUMMARY'!$C$20,rate,Sheet1!Y$21,0)</f>
        <v>0</v>
      </c>
      <c r="W584" s="401">
        <f>+W583/VLOOKUP('1. SUMMARY'!$C$20,rate,Sheet1!Z$21,0)</f>
        <v>0</v>
      </c>
      <c r="X584" s="401">
        <f>+X583/VLOOKUP('1. SUMMARY'!$C$20,rate,Sheet1!AA$21,0)</f>
        <v>0</v>
      </c>
      <c r="Y584" s="401">
        <f>+Y583/VLOOKUP('1. SUMMARY'!$C$20,rate,Sheet1!AB$21,0)</f>
        <v>0</v>
      </c>
      <c r="Z584" s="401">
        <f>+Z583/VLOOKUP('1. SUMMARY'!$C$20,rate,Sheet1!AC$21,0)</f>
        <v>0</v>
      </c>
      <c r="AA584" s="401">
        <f>+AA583/VLOOKUP('1. SUMMARY'!$C$20,rate,Sheet1!AD$21,0)</f>
        <v>0</v>
      </c>
      <c r="AB584" s="401">
        <f>+AB583/VLOOKUP('1. SUMMARY'!$C$20,rate,Sheet1!AE$21,0)</f>
        <v>0</v>
      </c>
      <c r="AC584" s="401">
        <f>+AC583/VLOOKUP('1. SUMMARY'!$C$20,rate,Sheet1!AF$21,0)</f>
        <v>0</v>
      </c>
      <c r="AD584" s="401">
        <f>+AD583/VLOOKUP('1. SUMMARY'!$C$20,rate,Sheet1!AG$21,0)</f>
        <v>0</v>
      </c>
      <c r="AE584" s="401">
        <f>+AE583/VLOOKUP('1. SUMMARY'!$C$20,rate,Sheet1!AH$21,0)</f>
        <v>0</v>
      </c>
      <c r="AF584" s="401">
        <f>+AF583/VLOOKUP('1. SUMMARY'!$C$20,rate,Sheet1!AI$21,0)</f>
        <v>0</v>
      </c>
      <c r="AG584" s="401">
        <f>+AG583/VLOOKUP('1. SUMMARY'!$C$20,rate,Sheet1!AJ$21,0)</f>
        <v>0</v>
      </c>
      <c r="AH584" s="219"/>
      <c r="AI584" s="401">
        <v>0</v>
      </c>
      <c r="AJ584" s="401">
        <v>0</v>
      </c>
      <c r="AK584" s="401">
        <v>0</v>
      </c>
      <c r="AL584" s="401">
        <v>0</v>
      </c>
      <c r="AM584" s="401">
        <v>0</v>
      </c>
      <c r="AN584" s="401">
        <v>0</v>
      </c>
      <c r="AO584" s="401">
        <v>0</v>
      </c>
      <c r="AP584" s="401">
        <v>0</v>
      </c>
      <c r="AQ584" s="401"/>
      <c r="AR584" s="401"/>
      <c r="AS584" s="401"/>
      <c r="AT584" s="401"/>
      <c r="AU584" s="401"/>
      <c r="AV584" s="401"/>
      <c r="AW584" s="401"/>
      <c r="AX584" s="401"/>
      <c r="AY584" s="401"/>
      <c r="AZ584" s="401"/>
    </row>
    <row r="585" spans="17:52" hidden="1">
      <c r="Q585" s="405">
        <f>Sheet1!$T$8</f>
        <v>44105</v>
      </c>
      <c r="R585" s="405">
        <f>Sheet1!$U$8</f>
        <v>44470</v>
      </c>
      <c r="S585" s="405">
        <f>Sheet1!$V$8</f>
        <v>44835</v>
      </c>
      <c r="T585" s="405">
        <f>Sheet1!$W$8</f>
        <v>45200</v>
      </c>
      <c r="U585" s="405">
        <f>Sheet1!$X$8</f>
        <v>45566</v>
      </c>
      <c r="V585" s="405">
        <f>Sheet1!$Y$8</f>
        <v>45931</v>
      </c>
      <c r="W585" s="405">
        <f>Sheet1!$Z$8</f>
        <v>46296</v>
      </c>
      <c r="X585" s="405">
        <f>Sheet1!$AA$8</f>
        <v>46661</v>
      </c>
      <c r="Y585" s="405">
        <f>Sheet1!$AB$8</f>
        <v>47027</v>
      </c>
      <c r="Z585" s="405">
        <f>Sheet1!$AC$8</f>
        <v>47392</v>
      </c>
      <c r="AA585" s="405">
        <f>$AA$5</f>
        <v>47757</v>
      </c>
      <c r="AB585" s="405">
        <f>$AB$5</f>
        <v>48122</v>
      </c>
      <c r="AC585" s="405">
        <f>$AC$5</f>
        <v>48488</v>
      </c>
      <c r="AD585" s="405">
        <f>$AD$5</f>
        <v>48853</v>
      </c>
      <c r="AE585" s="405">
        <f>$AE$5</f>
        <v>49218</v>
      </c>
      <c r="AF585" s="405">
        <f>$AF$5</f>
        <v>49583</v>
      </c>
      <c r="AG585" s="405">
        <f>$AG$5</f>
        <v>49949</v>
      </c>
      <c r="AH585" s="211"/>
      <c r="AI585" s="405">
        <f t="shared" ref="AI585:AR587" si="264">+Q585</f>
        <v>44105</v>
      </c>
      <c r="AJ585" s="405">
        <f t="shared" si="264"/>
        <v>44470</v>
      </c>
      <c r="AK585" s="405">
        <f t="shared" si="264"/>
        <v>44835</v>
      </c>
      <c r="AL585" s="405">
        <f t="shared" si="264"/>
        <v>45200</v>
      </c>
      <c r="AM585" s="405">
        <f t="shared" si="264"/>
        <v>45566</v>
      </c>
      <c r="AN585" s="405">
        <f t="shared" si="264"/>
        <v>45931</v>
      </c>
      <c r="AO585" s="405">
        <f t="shared" si="264"/>
        <v>46296</v>
      </c>
      <c r="AP585" s="405">
        <f t="shared" si="264"/>
        <v>46661</v>
      </c>
      <c r="AQ585" s="405">
        <f t="shared" si="264"/>
        <v>47027</v>
      </c>
      <c r="AR585" s="405">
        <f t="shared" si="264"/>
        <v>47392</v>
      </c>
      <c r="AS585" s="405">
        <f t="shared" ref="AS585:AY587" si="265">+AA585</f>
        <v>47757</v>
      </c>
      <c r="AT585" s="405">
        <f t="shared" si="265"/>
        <v>48122</v>
      </c>
      <c r="AU585" s="405">
        <f t="shared" si="265"/>
        <v>48488</v>
      </c>
      <c r="AV585" s="405">
        <f t="shared" si="265"/>
        <v>48853</v>
      </c>
      <c r="AW585" s="405">
        <f t="shared" si="265"/>
        <v>49218</v>
      </c>
      <c r="AX585" s="405">
        <f t="shared" si="265"/>
        <v>49583</v>
      </c>
      <c r="AY585" s="405">
        <f t="shared" si="265"/>
        <v>49949</v>
      </c>
      <c r="AZ585" s="405"/>
    </row>
    <row r="586" spans="17:52" hidden="1">
      <c r="Q586" s="405">
        <f>Sheet1!$T$9</f>
        <v>44469</v>
      </c>
      <c r="R586" s="405">
        <f>Sheet1!$U$9</f>
        <v>44834</v>
      </c>
      <c r="S586" s="405">
        <f>Sheet1!$V$9</f>
        <v>45199</v>
      </c>
      <c r="T586" s="405">
        <f>Sheet1!$W$9</f>
        <v>45565</v>
      </c>
      <c r="U586" s="405">
        <f>Sheet1!$X$9</f>
        <v>45930</v>
      </c>
      <c r="V586" s="405">
        <f>Sheet1!$Y$9</f>
        <v>46295</v>
      </c>
      <c r="W586" s="405">
        <f>Sheet1!$Z$9</f>
        <v>46660</v>
      </c>
      <c r="X586" s="405">
        <f>Sheet1!$AA$9</f>
        <v>47026</v>
      </c>
      <c r="Y586" s="405">
        <f>Sheet1!$AB$9</f>
        <v>47391</v>
      </c>
      <c r="Z586" s="405">
        <f>Sheet1!$AC$9</f>
        <v>47756</v>
      </c>
      <c r="AA586" s="405">
        <f>$AA$6</f>
        <v>48121</v>
      </c>
      <c r="AB586" s="405">
        <f>$AB$6</f>
        <v>48487</v>
      </c>
      <c r="AC586" s="405">
        <f>$AC$6</f>
        <v>48852</v>
      </c>
      <c r="AD586" s="405">
        <f>$AD$6</f>
        <v>49217</v>
      </c>
      <c r="AE586" s="405">
        <f>$AE$6</f>
        <v>49582</v>
      </c>
      <c r="AF586" s="405">
        <f>$AF$6</f>
        <v>49948</v>
      </c>
      <c r="AG586" s="405">
        <f>$AG$6</f>
        <v>50313</v>
      </c>
      <c r="AH586" s="211"/>
      <c r="AI586" s="405">
        <f t="shared" si="264"/>
        <v>44469</v>
      </c>
      <c r="AJ586" s="405">
        <f t="shared" si="264"/>
        <v>44834</v>
      </c>
      <c r="AK586" s="405">
        <f t="shared" si="264"/>
        <v>45199</v>
      </c>
      <c r="AL586" s="405">
        <f t="shared" si="264"/>
        <v>45565</v>
      </c>
      <c r="AM586" s="405">
        <f t="shared" si="264"/>
        <v>45930</v>
      </c>
      <c r="AN586" s="405">
        <f t="shared" si="264"/>
        <v>46295</v>
      </c>
      <c r="AO586" s="405">
        <f t="shared" si="264"/>
        <v>46660</v>
      </c>
      <c r="AP586" s="405">
        <f t="shared" si="264"/>
        <v>47026</v>
      </c>
      <c r="AQ586" s="405">
        <f t="shared" si="264"/>
        <v>47391</v>
      </c>
      <c r="AR586" s="405">
        <f t="shared" si="264"/>
        <v>47756</v>
      </c>
      <c r="AS586" s="405">
        <f t="shared" si="265"/>
        <v>48121</v>
      </c>
      <c r="AT586" s="405">
        <f t="shared" si="265"/>
        <v>48487</v>
      </c>
      <c r="AU586" s="405">
        <f t="shared" si="265"/>
        <v>48852</v>
      </c>
      <c r="AV586" s="405">
        <f t="shared" si="265"/>
        <v>49217</v>
      </c>
      <c r="AW586" s="405">
        <f t="shared" si="265"/>
        <v>49582</v>
      </c>
      <c r="AX586" s="405">
        <f t="shared" si="265"/>
        <v>49948</v>
      </c>
      <c r="AY586" s="405">
        <f t="shared" si="265"/>
        <v>50313</v>
      </c>
      <c r="AZ586" s="405"/>
    </row>
    <row r="587" spans="17:52" hidden="1">
      <c r="Q587" s="406">
        <f>IF(IF(Q586&lt;$E$27,0,DATEDIF($E$27,Q586+1,"m"))&lt;0,0,IF(Q586&lt;$E$27,0,DATEDIF($E$27,Q586+1,"m")))</f>
        <v>0</v>
      </c>
      <c r="R587" s="406">
        <f>IF(IF(Q587=12,0,IF(R586&gt;$E$28,12-DATEDIF($E$28,R586+1,"m"),IF(R586&lt;$E$27,0,DATEDIF($E$27,R586+1,"m"))))&lt;0,0,IF(Q587=12,0,IF(R586&gt;$E$28,12-DATEDIF($E$28,R586+1,"m"),IF(R586&lt;$E$27,0,DATEDIF($E$27,R586+1,"m")))))</f>
        <v>0</v>
      </c>
      <c r="S587" s="406">
        <f>IF(IF(Q587+R587=12,0,IF(S586&gt;$E$28,12-DATEDIF($E$28,S586+1,"m"),IF(S586&lt;$E$27,0,DATEDIF($E$27,S586+1,"m"))))&lt;0,0,IF(Q587+R587=12,0,IF(S586&gt;$E$28,12-DATEDIF($E$28,S586+1,"m"),IF(S586&lt;$E$27,0,DATEDIF($E$27,S586+1,"m")))))</f>
        <v>0</v>
      </c>
      <c r="T587" s="406">
        <f>IF(IF(R587+S587+Q587=12,0,IF(T586&gt;$E$28,12-DATEDIF($E$28,T586+1,"m"),IF(T586&lt;$E$27,0,DATEDIF($E$27,T586+1,"m"))))&lt;0,0,IF(R587+S587+Q587=12,0,IF(T586&gt;$E$28,12-DATEDIF($E$28,T586+1,"m"),IF(T586&lt;$E$27,0,DATEDIF($E$27,T586+1,"m")))))</f>
        <v>0</v>
      </c>
      <c r="U587" s="406">
        <f>IF(IF(S587+T587+R587+Q587=12,0,IF(U586&gt;$E$28,12-DATEDIF($E$28,U586+1,"m"),IF(U586&lt;$E$27,0,DATEDIF($E$27,U586+1,"m"))))&lt;0,0,IF(S587+T587+R587+Q587=12,0,IF(U586&gt;$E$28,12-DATEDIF($E$28,U586+1,"m"),IF(U586&lt;$E$27,0,DATEDIF($E$27,U586+1,"m")))))</f>
        <v>0</v>
      </c>
      <c r="V587" s="406">
        <f>IF(IF(T587+U587+S587+R587+Q587=12,0,IF(V586&gt;$E$28,12-DATEDIF($E$28,V586+1,"m"),IF(V586&lt;$E$27,0,DATEDIF($E$27,V586+1,"m"))))&lt;0,0,IF(T587+U587+S587+R587+Q587=12,0,IF(V586&gt;$E$28,12-DATEDIF($E$28,V586+1,"m"),IF(V586&lt;$E$27,0,DATEDIF($E$27,V586+1,"m")))))</f>
        <v>0</v>
      </c>
      <c r="W587" s="406">
        <f>IF(IF(U587+V587+T587+S587+R587+Q587=12,0,IF(W586&gt;$E$28,12-DATEDIF($E$28,W586+1,"m"),IF(W586&lt;$E$27,0,DATEDIF($E$27,W586+1,"m"))))&lt;0,0,IF(U587+V587+T587+S587+R587+Q587=12,0,IF(W586&gt;$E$28,12-DATEDIF($E$28,W586+1,"m"),IF(W586&lt;$E$27,0,DATEDIF($E$27,W586+1,"m")))))</f>
        <v>0</v>
      </c>
      <c r="X587" s="406">
        <f>IF(IF(V587+W587+U587+T587+S587+R587+Q587=12,0,IF(X586&gt;$E$28,12-DATEDIF($E$28,X586+1,"m"),IF(X586&lt;$E$27,0,DATEDIF($E$27,X586+1,"m"))))&lt;0,0,IF(V587+W587+U587+T587+S587+R587+Q587=12,0,IF(X586&gt;$E$28,12-DATEDIF($E$28,X586+1,"m"),IF(X586&lt;$E$27,0,DATEDIF($E$27,X586+1,"m")))))</f>
        <v>0</v>
      </c>
      <c r="Y587" s="406">
        <f>IF(IF(Q587+W587+X587+V587+U587+T587+S587+R587=12,0,IF(Y586&gt;F406,12-DATEDIF(F406,Y586+1,"m"),IF(Y586&lt;F405,0,DATEDIF(F405,Y586+1,"m"))))&lt;0,0,IF(Q587+W587+X587+V587+U587+T587+S587+R587=12,0,IF(Y586&gt;F406,12-DATEDIF(F406,Y586+1,"m"),IF(Y586&lt;F405,0,DATEDIF(F405,Y586+1,"m")))))</f>
        <v>0</v>
      </c>
      <c r="Z587" s="406">
        <f>IF(IF(Q587+R587+X587+Y587+W587+V587+U587+T587+S587=12,0,IF(Z586&gt;G406,12-DATEDIF(G406,Z586+1,"m"),IF(Z586&lt;G405,0,DATEDIF(G405,Z586+1,"m"))))&lt;0,0,IF(Q587+R587+X587+Y587+W587+V587+U587+T587+S587=12,0,IF(Z586&gt;G406,12-DATEDIF(G406,Z586+1,"m"),IF(Z586&lt;G405,0,DATEDIF(G405,Z586+1,"m")))))</f>
        <v>0</v>
      </c>
      <c r="AA587" s="406"/>
      <c r="AB587" s="406"/>
      <c r="AC587" s="406"/>
      <c r="AD587" s="406"/>
      <c r="AE587" s="406"/>
      <c r="AF587" s="406"/>
      <c r="AG587" s="406"/>
      <c r="AH587" s="423">
        <f>SUM(Q587:AG587)</f>
        <v>0</v>
      </c>
      <c r="AI587" s="406">
        <f t="shared" si="264"/>
        <v>0</v>
      </c>
      <c r="AJ587" s="406">
        <f t="shared" si="264"/>
        <v>0</v>
      </c>
      <c r="AK587" s="406">
        <f t="shared" si="264"/>
        <v>0</v>
      </c>
      <c r="AL587" s="406">
        <f t="shared" si="264"/>
        <v>0</v>
      </c>
      <c r="AM587" s="406">
        <f t="shared" si="264"/>
        <v>0</v>
      </c>
      <c r="AN587" s="406">
        <f t="shared" si="264"/>
        <v>0</v>
      </c>
      <c r="AO587" s="406">
        <f t="shared" si="264"/>
        <v>0</v>
      </c>
      <c r="AP587" s="406">
        <f t="shared" si="264"/>
        <v>0</v>
      </c>
      <c r="AQ587" s="406">
        <f t="shared" si="264"/>
        <v>0</v>
      </c>
      <c r="AR587" s="406">
        <f t="shared" si="264"/>
        <v>0</v>
      </c>
      <c r="AS587" s="406">
        <f t="shared" si="265"/>
        <v>0</v>
      </c>
      <c r="AT587" s="406">
        <f t="shared" si="265"/>
        <v>0</v>
      </c>
      <c r="AU587" s="406">
        <f t="shared" si="265"/>
        <v>0</v>
      </c>
      <c r="AV587" s="406">
        <f t="shared" si="265"/>
        <v>0</v>
      </c>
      <c r="AW587" s="406">
        <f t="shared" si="265"/>
        <v>0</v>
      </c>
      <c r="AX587" s="406">
        <f t="shared" si="265"/>
        <v>0</v>
      </c>
      <c r="AY587" s="406">
        <f t="shared" si="265"/>
        <v>0</v>
      </c>
      <c r="AZ587" s="406">
        <f>SUM(AI587:AY587)</f>
        <v>0</v>
      </c>
    </row>
    <row r="588" spans="17:52" hidden="1">
      <c r="Q588" s="407">
        <f>IF(Q587=0,0,(IF(($C$203+$B$203+$D$203+$E$203)&lt;=25000,(($E$203/+$AH587)*Q587)*VLOOKUP('1. SUMMARY'!$C$20,rate,Sheet1!T$21,0),((IF(($B$203+$C$203+$D$203)&gt;=25000,0,(((25000-($B$203+$C$203+$D$203))/+$AH587)*Q587)*(VLOOKUP('1. SUMMARY'!$C$20,rate,Sheet1!T$21,0))))))))</f>
        <v>0</v>
      </c>
      <c r="R588" s="407">
        <f>IF(R587=0,0,(IF(($C$203+$B$203+$D$203+$E$203)&lt;=25000,(($E$203/+$AH587)*R587)*VLOOKUP('1. SUMMARY'!$C$20,rate,Sheet1!U$21,0),((IF(($B$203+$C$203+$D$203)&gt;=25000,0,(((25000-($B$203+$C$203+$D$203))/+$AH587)*R587)*(VLOOKUP('1. SUMMARY'!$C$20,rate,Sheet1!U$21,0))))))))</f>
        <v>0</v>
      </c>
      <c r="S588" s="407">
        <f>IF(S587=0,0,(IF(($C$203+$B$203+$D$203+$E$203)&lt;=25000,(($E$203/+$AH587)*S587)*VLOOKUP('1. SUMMARY'!$C$20,rate,Sheet1!V$21,0),((IF(($B$203+$C$203+$D$203)&gt;=25000,0,(((25000-($B$203+$C$203+$D$203))/+$AH587)*S587)*(VLOOKUP('1. SUMMARY'!$C$20,rate,Sheet1!V$21,0))))))))</f>
        <v>0</v>
      </c>
      <c r="T588" s="407">
        <f>IF(T587=0,0,(IF(($C$203+$B$203+$D$203+$E$203)&lt;=25000,(($E$203/+$AH587)*T587)*VLOOKUP('1. SUMMARY'!$C$20,rate,Sheet1!W$21,0),((IF(($B$203+$C$203+$D$203)&gt;=25000,0,(((25000-($B$203+$C$203+$D$203))/+$AH587)*T587)*(VLOOKUP('1. SUMMARY'!$C$20,rate,Sheet1!W$21,0))))))))</f>
        <v>0</v>
      </c>
      <c r="U588" s="407">
        <f>IF(U587=0,0,(IF(($C$203+$B$203+$D$203+$E$203)&lt;=25000,(($E$203/+$AH587)*U587)*VLOOKUP('1. SUMMARY'!$C$20,rate,Sheet1!X$21,0),((IF(($B$203+$C$203+$D$203)&gt;=25000,0,(((25000-($B$203+$C$203+$D$203))/+$AH587)*U587)*(VLOOKUP('1. SUMMARY'!$C$20,rate,Sheet1!X$21,0))))))))</f>
        <v>0</v>
      </c>
      <c r="V588" s="407">
        <f>IF(V587=0,0,(IF(($C$203+$B$203+$D$203+$E$203)&lt;=25000,(($E$203/+$AH587)*V587)*VLOOKUP('1. SUMMARY'!$C$20,rate,Sheet1!Y$21,0),((IF(($B$203+$C$203+$D$203)&gt;=25000,0,(((25000-($B$203+$C$203+$D$203))/+$AH587)*V587)*(VLOOKUP('1. SUMMARY'!$C$20,rate,Sheet1!Y$21,0))))))))</f>
        <v>0</v>
      </c>
      <c r="W588" s="407">
        <f>IF(W587=0,0,(IF(($C$203+$B$203+$D$203+$E$203)&lt;=25000,(($E$203/+$AH587)*W587)*VLOOKUP('1. SUMMARY'!$C$20,rate,Sheet1!Z$21,0),((IF(($B$203+$C$203+$D$203)&gt;=25000,0,(((25000-($B$203+$C$203+$D$203))/+$AH587)*W587)*(VLOOKUP('1. SUMMARY'!$C$20,rate,Sheet1!Z$21,0))))))))</f>
        <v>0</v>
      </c>
      <c r="X588" s="407">
        <f>IF(X587=0,0,(IF(($C$203+$B$203+$D$203+$E$203)&lt;=25000,(($E$203/+$AH587)*X587)*VLOOKUP('1. SUMMARY'!$C$20,rate,Sheet1!AA$21,0),((IF(($B$203+$C$203+$D$203)&gt;=25000,0,(((25000-($B$203+$C$203+$D$203))/+$AH587)*X587)*(VLOOKUP('1. SUMMARY'!$C$20,rate,Sheet1!AA$21,0))))))))</f>
        <v>0</v>
      </c>
      <c r="Y588" s="407">
        <f>IF(Y587=0,0,(IF(($C$203+$B$203+$D$203+$E$203)&lt;=25000,(($E$203/+$AH587)*Y587)*VLOOKUP('1. SUMMARY'!$C$20,rate,Sheet1!AB$21,0),((IF(($B$203+$C$203+$D$203)&gt;=25000,0,(((25000-($B$203+$C$203+$D$203))/+$AH587)*Y587)*(VLOOKUP('1. SUMMARY'!$C$20,rate,Sheet1!AB$21,0))))))))</f>
        <v>0</v>
      </c>
      <c r="Z588" s="407">
        <f>IF(Z587=0,0,(IF(($C$203+$B$203+$D$203+$E$203)&lt;=25000,(($E$203/+$AH587)*Z587)*VLOOKUP('1. SUMMARY'!$C$20,rate,Sheet1!AC$21,0),((IF(($B$203+$C$203+$D$203)&gt;=25000,0,(((25000-($B$203+$C$203+$D$203))/+$AH587)*Z587)*(VLOOKUP('1. SUMMARY'!$C$20,rate,Sheet1!AC$21,0))))))))</f>
        <v>0</v>
      </c>
      <c r="AA588" s="407">
        <f>IF(AA587=0,0,(IF(($C$203+$B$203+$D$203+$E$203)&lt;=25000,(($E$203/+$AH587)*AA587)*VLOOKUP('1. SUMMARY'!$C$20,rate,Sheet1!AD$21,0),((IF(($B$203+$C$203+$D$203)&gt;=25000,0,(((25000-($B$203+$C$203+$D$203))/+$AH587)*AA587)*(VLOOKUP('1. SUMMARY'!$C$20,rate,Sheet1!AD$21,0))))))))</f>
        <v>0</v>
      </c>
      <c r="AB588" s="407">
        <f>IF(AB587=0,0,(IF(($C$203+$B$203+$D$203+$E$203)&lt;=25000,(($E$203/+$AH587)*AB587)*VLOOKUP('1. SUMMARY'!$C$20,rate,Sheet1!AE$21,0),((IF(($B$203+$C$203+$D$203)&gt;=25000,0,(((25000-($B$203+$C$203+$D$203))/+$AH587)*AB587)*(VLOOKUP('1. SUMMARY'!$C$20,rate,Sheet1!AE$21,0))))))))</f>
        <v>0</v>
      </c>
      <c r="AC588" s="407">
        <f>IF(AC587=0,0,(IF(($C$203+$B$203+$D$203+$E$203)&lt;=25000,(($E$203/+$AH587)*AC587)*VLOOKUP('1. SUMMARY'!$C$20,rate,Sheet1!AF$21,0),((IF(($B$203+$C$203+$D$203)&gt;=25000,0,(((25000-($B$203+$C$203+$D$203))/+$AH587)*AC587)*(VLOOKUP('1. SUMMARY'!$C$20,rate,Sheet1!AF$21,0))))))))</f>
        <v>0</v>
      </c>
      <c r="AD588" s="407">
        <f>IF(AD587=0,0,(IF(($C$203+$B$203+$D$203+$E$203)&lt;=25000,(($E$203/+$AH587)*AD587)*VLOOKUP('1. SUMMARY'!$C$20,rate,Sheet1!AG$21,0),((IF(($B$203+$C$203+$D$203)&gt;=25000,0,(((25000-($B$203+$C$203+$D$203))/+$AH587)*AD587)*(VLOOKUP('1. SUMMARY'!$C$20,rate,Sheet1!AG$21,0))))))))</f>
        <v>0</v>
      </c>
      <c r="AE588" s="407">
        <f>IF(AE587=0,0,(IF(($C$203+$B$203+$D$203+$E$203)&lt;=25000,(($E$203/+$AH587)*AE587)*VLOOKUP('1. SUMMARY'!$C$20,rate,Sheet1!AH$21,0),((IF(($B$203+$C$203+$D$203)&gt;=25000,0,(((25000-($B$203+$C$203+$D$203))/+$AH587)*AE587)*(VLOOKUP('1. SUMMARY'!$C$20,rate,Sheet1!AH$21,0))))))))</f>
        <v>0</v>
      </c>
      <c r="AF588" s="407">
        <f>IF(AF587=0,0,(IF(($C$203+$B$203+$D$203+$E$203)&lt;=25000,(($E$203/+$AH587)*AF587)*VLOOKUP('1. SUMMARY'!$C$20,rate,Sheet1!AI$21,0),((IF(($B$203+$C$203+$D$203)&gt;=25000,0,(((25000-($B$203+$C$203+$D$203))/+$AH587)*AF587)*(VLOOKUP('1. SUMMARY'!$C$20,rate,Sheet1!AI$21,0))))))))</f>
        <v>0</v>
      </c>
      <c r="AG588" s="407">
        <f>IF(AG587=0,0,(IF(($C$203+$B$203+$D$203+$E$203)&lt;=25000,(($E$203/+$AH587)*AG587)*VLOOKUP('1. SUMMARY'!$C$20,rate,Sheet1!AJ$21,0),((IF(($B$203+$C$203+$D$203)&gt;=25000,0,(((25000-($B$203+$C$203+$D$203))/+$AH587)*AG587)*(VLOOKUP('1. SUMMARY'!$C$20,rate,Sheet1!AJ$21,0))))))))</f>
        <v>0</v>
      </c>
      <c r="AH588" s="219">
        <f>SUM(Q588:AG588)</f>
        <v>0</v>
      </c>
      <c r="AI588" s="407">
        <f>IF(AI587=0,0,((+$E203/$AZ$22)*AI587)*VLOOKUP('1. SUMMARY'!$C$20,rate,Sheet1!T$21,0))</f>
        <v>0</v>
      </c>
      <c r="AJ588" s="407">
        <f>IF(AJ587=0,0,((+$E203/$AZ$22)*AJ587)*VLOOKUP('1. SUMMARY'!$C$20,rate,Sheet1!U$21,0))</f>
        <v>0</v>
      </c>
      <c r="AK588" s="407">
        <f>IF(AK587=0,0,((+$E203/$AZ$22)*AK587)*VLOOKUP('1. SUMMARY'!$C$20,rate,Sheet1!V$21,0))</f>
        <v>0</v>
      </c>
      <c r="AL588" s="407">
        <f>IF(AL587=0,0,((+$E203/$AZ$22)*AL587)*VLOOKUP('1. SUMMARY'!$C$20,rate,Sheet1!W$21,0))</f>
        <v>0</v>
      </c>
      <c r="AM588" s="407">
        <f>IF(AM587=0,0,((+$E203/$AZ$22)*AM587)*VLOOKUP('1. SUMMARY'!$C$20,rate,Sheet1!X$21,0))</f>
        <v>0</v>
      </c>
      <c r="AN588" s="407">
        <f>IF(AN587=0,0,((+$E203/$AZ$22)*AN587)*VLOOKUP('1. SUMMARY'!$C$20,rate,Sheet1!Y$21,0))</f>
        <v>0</v>
      </c>
      <c r="AO588" s="407">
        <f>IF(AO587=0,0,((+$E203/$AZ$22)*AO587)*VLOOKUP('1. SUMMARY'!$C$20,rate,Sheet1!Z$21,0))</f>
        <v>0</v>
      </c>
      <c r="AP588" s="407">
        <f>IF(AP587=0,0,((+$E203/$AZ$22)*AP587)*VLOOKUP('1. SUMMARY'!$C$20,rate,Sheet1!AA$21,0))</f>
        <v>0</v>
      </c>
      <c r="AQ588" s="407">
        <f>IF(AQ587=0,0,((+$E203/$AZ$22)*AQ587)*VLOOKUP('1. SUMMARY'!$C$20,rate,Sheet1!AB$21,0))</f>
        <v>0</v>
      </c>
      <c r="AR588" s="407">
        <f>IF(AR587=0,0,((+$E203/$AZ$22)*AR587)*VLOOKUP('1. SUMMARY'!$C$20,rate,Sheet1!AC$21,0))</f>
        <v>0</v>
      </c>
      <c r="AS588" s="407">
        <f>IF(AS587=0,0,((+$E203/$AZ$22)*AS587)*VLOOKUP('1. SUMMARY'!$C$20,rate,Sheet1!AD$21,0))</f>
        <v>0</v>
      </c>
      <c r="AT588" s="407">
        <f>IF(AT587=0,0,((+$E203/$AZ$22)*AT587)*VLOOKUP('1. SUMMARY'!$C$20,rate,Sheet1!AE$21,0))</f>
        <v>0</v>
      </c>
      <c r="AU588" s="407">
        <f>IF(AU587=0,0,((+$E203/$AZ$22)*AU587)*VLOOKUP('1. SUMMARY'!$C$20,rate,Sheet1!AF$21,0))</f>
        <v>0</v>
      </c>
      <c r="AV588" s="407">
        <f>IF(AV587=0,0,((+$E203/$AZ$22)*AV587)*VLOOKUP('1. SUMMARY'!$C$20,rate,Sheet1!AG$21,0))</f>
        <v>0</v>
      </c>
      <c r="AW588" s="407">
        <f>IF(AW587=0,0,((+$E203/$AZ$22)*AW587)*VLOOKUP('1. SUMMARY'!$C$20,rate,Sheet1!AH$21,0))</f>
        <v>0</v>
      </c>
      <c r="AX588" s="407">
        <f>IF(AX587=0,0,((+$E203/$AZ$22)*AX587)*VLOOKUP('1. SUMMARY'!$C$20,rate,Sheet1!AI$21,0))</f>
        <v>0</v>
      </c>
      <c r="AY588" s="407">
        <f>IF(AY587=0,0,((+$E203/$AZ$22)*AY587)*VLOOKUP('1. SUMMARY'!$C$20,rate,Sheet1!AJ$21,0))</f>
        <v>0</v>
      </c>
      <c r="AZ588" s="407">
        <f>SUM(AI588:AY588)</f>
        <v>0</v>
      </c>
    </row>
    <row r="589" spans="17:52" hidden="1">
      <c r="Q589" s="407">
        <f>+Q588/VLOOKUP('1. SUMMARY'!$C$20,rate,Sheet1!T$21,0)</f>
        <v>0</v>
      </c>
      <c r="R589" s="407">
        <f>+R588/VLOOKUP('1. SUMMARY'!$C$20,rate,Sheet1!U$21,0)</f>
        <v>0</v>
      </c>
      <c r="S589" s="407">
        <f>+S588/VLOOKUP('1. SUMMARY'!$C$20,rate,Sheet1!V$21,0)</f>
        <v>0</v>
      </c>
      <c r="T589" s="407">
        <f>+T588/VLOOKUP('1. SUMMARY'!$C$20,rate,Sheet1!W$21,0)</f>
        <v>0</v>
      </c>
      <c r="U589" s="407">
        <f>+U588/VLOOKUP('1. SUMMARY'!$C$20,rate,Sheet1!X$21,0)</f>
        <v>0</v>
      </c>
      <c r="V589" s="407">
        <f>+V588/VLOOKUP('1. SUMMARY'!$C$20,rate,Sheet1!Y$21,0)</f>
        <v>0</v>
      </c>
      <c r="W589" s="407">
        <f>+W588/VLOOKUP('1. SUMMARY'!$C$20,rate,Sheet1!Z$21,0)</f>
        <v>0</v>
      </c>
      <c r="X589" s="407">
        <f>+X588/VLOOKUP('1. SUMMARY'!$C$20,rate,Sheet1!AA$21,0)</f>
        <v>0</v>
      </c>
      <c r="Y589" s="407">
        <f>+Y588/VLOOKUP('1. SUMMARY'!$C$20,rate,Sheet1!AB$21,0)</f>
        <v>0</v>
      </c>
      <c r="Z589" s="407">
        <f>+Z588/VLOOKUP('1. SUMMARY'!$C$20,rate,Sheet1!AC$21,0)</f>
        <v>0</v>
      </c>
      <c r="AA589" s="407">
        <f>+AA588/VLOOKUP('1. SUMMARY'!$C$20,rate,Sheet1!AD$21,0)</f>
        <v>0</v>
      </c>
      <c r="AB589" s="407">
        <f>+AB588/VLOOKUP('1. SUMMARY'!$C$20,rate,Sheet1!AE$21,0)</f>
        <v>0</v>
      </c>
      <c r="AC589" s="407">
        <f>+AC588/VLOOKUP('1. SUMMARY'!$C$20,rate,Sheet1!AF$21,0)</f>
        <v>0</v>
      </c>
      <c r="AD589" s="407">
        <f>+AD588/VLOOKUP('1. SUMMARY'!$C$20,rate,Sheet1!AG$21,0)</f>
        <v>0</v>
      </c>
      <c r="AE589" s="407">
        <f>+AE588/VLOOKUP('1. SUMMARY'!$C$20,rate,Sheet1!AH$21,0)</f>
        <v>0</v>
      </c>
      <c r="AF589" s="407">
        <f>+AF588/VLOOKUP('1. SUMMARY'!$C$20,rate,Sheet1!AI$21,0)</f>
        <v>0</v>
      </c>
      <c r="AG589" s="407">
        <f>+AG588/VLOOKUP('1. SUMMARY'!$C$20,rate,Sheet1!AJ$21,0)</f>
        <v>0</v>
      </c>
      <c r="AH589" s="219"/>
      <c r="AI589" s="407">
        <v>0</v>
      </c>
      <c r="AJ589" s="407">
        <v>0</v>
      </c>
      <c r="AK589" s="407">
        <v>0</v>
      </c>
      <c r="AL589" s="407">
        <v>0</v>
      </c>
      <c r="AM589" s="407">
        <v>0</v>
      </c>
      <c r="AN589" s="407">
        <v>0</v>
      </c>
      <c r="AO589" s="407">
        <v>0</v>
      </c>
      <c r="AP589" s="407">
        <v>0</v>
      </c>
      <c r="AQ589" s="407"/>
      <c r="AR589" s="407"/>
      <c r="AS589" s="407"/>
      <c r="AT589" s="407"/>
      <c r="AU589" s="407"/>
      <c r="AV589" s="407"/>
      <c r="AW589" s="407"/>
      <c r="AX589" s="407"/>
      <c r="AY589" s="407"/>
      <c r="AZ589" s="407"/>
    </row>
    <row r="590" spans="17:52" hidden="1">
      <c r="Q590" s="408">
        <f>Sheet1!$T$8</f>
        <v>44105</v>
      </c>
      <c r="R590" s="408">
        <f>Sheet1!$U$8</f>
        <v>44470</v>
      </c>
      <c r="S590" s="408">
        <f>Sheet1!$V$8</f>
        <v>44835</v>
      </c>
      <c r="T590" s="408">
        <f>Sheet1!$W$8</f>
        <v>45200</v>
      </c>
      <c r="U590" s="408">
        <f>Sheet1!$X$8</f>
        <v>45566</v>
      </c>
      <c r="V590" s="408">
        <f>Sheet1!$Y$8</f>
        <v>45931</v>
      </c>
      <c r="W590" s="408">
        <f>Sheet1!$Z$8</f>
        <v>46296</v>
      </c>
      <c r="X590" s="408">
        <f>Sheet1!$AA$8</f>
        <v>46661</v>
      </c>
      <c r="Y590" s="408">
        <f>Sheet1!$AB$8</f>
        <v>47027</v>
      </c>
      <c r="Z590" s="408">
        <f>Sheet1!$AC$8</f>
        <v>47392</v>
      </c>
      <c r="AA590" s="408">
        <f>$AA$5</f>
        <v>47757</v>
      </c>
      <c r="AB590" s="408">
        <f>$AB$5</f>
        <v>48122</v>
      </c>
      <c r="AC590" s="408">
        <f>$AC$5</f>
        <v>48488</v>
      </c>
      <c r="AD590" s="408">
        <f>$AD$5</f>
        <v>48853</v>
      </c>
      <c r="AE590" s="408">
        <f>$AE$5</f>
        <v>49218</v>
      </c>
      <c r="AF590" s="408">
        <f>$AF$5</f>
        <v>49583</v>
      </c>
      <c r="AG590" s="408">
        <f>$AG$5</f>
        <v>49949</v>
      </c>
      <c r="AH590" s="211"/>
      <c r="AI590" s="408">
        <f t="shared" ref="AI590:AR592" si="266">+Q590</f>
        <v>44105</v>
      </c>
      <c r="AJ590" s="408">
        <f t="shared" si="266"/>
        <v>44470</v>
      </c>
      <c r="AK590" s="408">
        <f t="shared" si="266"/>
        <v>44835</v>
      </c>
      <c r="AL590" s="408">
        <f t="shared" si="266"/>
        <v>45200</v>
      </c>
      <c r="AM590" s="408">
        <f t="shared" si="266"/>
        <v>45566</v>
      </c>
      <c r="AN590" s="408">
        <f t="shared" si="266"/>
        <v>45931</v>
      </c>
      <c r="AO590" s="408">
        <f t="shared" si="266"/>
        <v>46296</v>
      </c>
      <c r="AP590" s="408">
        <f t="shared" si="266"/>
        <v>46661</v>
      </c>
      <c r="AQ590" s="408">
        <f t="shared" si="266"/>
        <v>47027</v>
      </c>
      <c r="AR590" s="408">
        <f t="shared" si="266"/>
        <v>47392</v>
      </c>
      <c r="AS590" s="408">
        <f t="shared" ref="AS590:AY592" si="267">+AA590</f>
        <v>47757</v>
      </c>
      <c r="AT590" s="408">
        <f t="shared" si="267"/>
        <v>48122</v>
      </c>
      <c r="AU590" s="408">
        <f t="shared" si="267"/>
        <v>48488</v>
      </c>
      <c r="AV590" s="408">
        <f t="shared" si="267"/>
        <v>48853</v>
      </c>
      <c r="AW590" s="408">
        <f t="shared" si="267"/>
        <v>49218</v>
      </c>
      <c r="AX590" s="408">
        <f t="shared" si="267"/>
        <v>49583</v>
      </c>
      <c r="AY590" s="408">
        <f t="shared" si="267"/>
        <v>49949</v>
      </c>
      <c r="AZ590" s="408"/>
    </row>
    <row r="591" spans="17:52" hidden="1">
      <c r="Q591" s="408">
        <f>Sheet1!$T$9</f>
        <v>44469</v>
      </c>
      <c r="R591" s="408">
        <f>Sheet1!$U$9</f>
        <v>44834</v>
      </c>
      <c r="S591" s="408">
        <f>Sheet1!$V$9</f>
        <v>45199</v>
      </c>
      <c r="T591" s="408">
        <f>Sheet1!$W$9</f>
        <v>45565</v>
      </c>
      <c r="U591" s="408">
        <f>Sheet1!$X$9</f>
        <v>45930</v>
      </c>
      <c r="V591" s="408">
        <f>Sheet1!$Y$9</f>
        <v>46295</v>
      </c>
      <c r="W591" s="408">
        <f>Sheet1!$Z$9</f>
        <v>46660</v>
      </c>
      <c r="X591" s="408">
        <f>Sheet1!$AA$9</f>
        <v>47026</v>
      </c>
      <c r="Y591" s="408">
        <f>Sheet1!$AB$9</f>
        <v>47391</v>
      </c>
      <c r="Z591" s="408">
        <f>Sheet1!$AC$9</f>
        <v>47756</v>
      </c>
      <c r="AA591" s="408">
        <f>$AA$6</f>
        <v>48121</v>
      </c>
      <c r="AB591" s="408">
        <f>$AB$6</f>
        <v>48487</v>
      </c>
      <c r="AC591" s="408">
        <f>$AC$6</f>
        <v>48852</v>
      </c>
      <c r="AD591" s="408">
        <f>$AD$6</f>
        <v>49217</v>
      </c>
      <c r="AE591" s="408">
        <f>$AE$6</f>
        <v>49582</v>
      </c>
      <c r="AF591" s="408">
        <f>$AF$6</f>
        <v>49948</v>
      </c>
      <c r="AG591" s="408">
        <f>$AG$6</f>
        <v>50313</v>
      </c>
      <c r="AH591" s="211"/>
      <c r="AI591" s="408">
        <f t="shared" si="266"/>
        <v>44469</v>
      </c>
      <c r="AJ591" s="408">
        <f t="shared" si="266"/>
        <v>44834</v>
      </c>
      <c r="AK591" s="408">
        <f t="shared" si="266"/>
        <v>45199</v>
      </c>
      <c r="AL591" s="408">
        <f t="shared" si="266"/>
        <v>45565</v>
      </c>
      <c r="AM591" s="408">
        <f t="shared" si="266"/>
        <v>45930</v>
      </c>
      <c r="AN591" s="408">
        <f t="shared" si="266"/>
        <v>46295</v>
      </c>
      <c r="AO591" s="408">
        <f t="shared" si="266"/>
        <v>46660</v>
      </c>
      <c r="AP591" s="408">
        <f t="shared" si="266"/>
        <v>47026</v>
      </c>
      <c r="AQ591" s="408">
        <f t="shared" si="266"/>
        <v>47391</v>
      </c>
      <c r="AR591" s="408">
        <f t="shared" si="266"/>
        <v>47756</v>
      </c>
      <c r="AS591" s="408">
        <f t="shared" si="267"/>
        <v>48121</v>
      </c>
      <c r="AT591" s="408">
        <f t="shared" si="267"/>
        <v>48487</v>
      </c>
      <c r="AU591" s="408">
        <f t="shared" si="267"/>
        <v>48852</v>
      </c>
      <c r="AV591" s="408">
        <f t="shared" si="267"/>
        <v>49217</v>
      </c>
      <c r="AW591" s="408">
        <f t="shared" si="267"/>
        <v>49582</v>
      </c>
      <c r="AX591" s="408">
        <f t="shared" si="267"/>
        <v>49948</v>
      </c>
      <c r="AY591" s="408">
        <f t="shared" si="267"/>
        <v>50313</v>
      </c>
      <c r="AZ591" s="408"/>
    </row>
    <row r="592" spans="17:52" hidden="1">
      <c r="Q592" s="409">
        <f>IF(IF(Q591&lt;$F$27,0,DATEDIF($F$27,Q591+1,"m"))&lt;0,0,IF(Q591&lt;$F$27,0,DATEDIF($F$27,Q591+1,"m")))</f>
        <v>0</v>
      </c>
      <c r="R592" s="409">
        <f>IF(IF(Q592=12,0,IF(R591&gt;$F$28,12-DATEDIF($F$28,R591+1,"m"),IF(R591&lt;$F$27,0,DATEDIF($F$27,R591+1,"m"))))&lt;0,0,IF(Q592=12,0,IF(R591&gt;$F$28,12-DATEDIF($F$28,R591+1,"m"),IF(R591&lt;$F$27,0,DATEDIF($F$27,R591+1,"m")))))</f>
        <v>0</v>
      </c>
      <c r="S592" s="409">
        <f>IF(IF(Q592+R592=12,0,IF(S591&gt;$F$28,12-DATEDIF($F$28,S591+1,"m"),IF(S591&lt;$F$27,0,DATEDIF($F$27,S591+1,"m"))))&lt;0,0,IF(Q592+R592=12,0,IF(S591&gt;$F$28,12-DATEDIF($F$28,S591+1,"m"),IF(S591&lt;$F$27,0,DATEDIF($F$27,S591+1,"m")))))</f>
        <v>0</v>
      </c>
      <c r="T592" s="409">
        <f>IF(IF(R592+S592+Q592=12,0,IF(T591&gt;$F$28,12-DATEDIF($F$28,T591+1,"m"),IF(T591&lt;$F$27,0,DATEDIF($F$27,T591+1,"m"))))&lt;0,0,IF(R592+S592+Q592=12,0,IF(T591&gt;$F$28,12-DATEDIF($F$28,T591+1,"m"),IF(T591&lt;$F$27,0,DATEDIF($F$27,T591+1,"m")))))</f>
        <v>0</v>
      </c>
      <c r="U592" s="409">
        <f>IF(IF(S592+T592+R592+Q592=12,0,IF(U591&gt;$F$28,12-DATEDIF($F$28,U591+1,"m"),IF(U591&lt;$F$27,0,DATEDIF($F$27,U591+1,"m"))))&lt;0,0,IF(S592+T592+R592+Q592=12,0,IF(U591&gt;$F$28,12-DATEDIF($F$28,U591+1,"m"),IF(U591&lt;$F$27,0,DATEDIF($F$27,U591+1,"m")))))</f>
        <v>0</v>
      </c>
      <c r="V592" s="409">
        <f>IF(IF(T592+U592+S592+R592+Q592=12,0,IF(V591&gt;$F$28,12-DATEDIF($F$28,V591+1,"m"),IF(V591&lt;$F$27,0,DATEDIF($F$27,V591+1,"m"))))&lt;0,0,IF(T592+U592+S592+R592+Q592=12,0,IF(V591&gt;$F$28,12-DATEDIF($F$28,V591+1,"m"),IF(V591&lt;$F$27,0,DATEDIF($F$27,V591+1,"m")))))</f>
        <v>0</v>
      </c>
      <c r="W592" s="409">
        <f>IF(IF(U592+V592+T592+S592+R592+Q592=12,0,IF(W591&gt;$F$28,12-DATEDIF($F$28,W591+1,"m"),IF(W591&lt;$F$27,0,DATEDIF($F$27,W591+1,"m"))))&lt;0,0,IF(U592+V592+T592+S592+R592+Q592=12,0,IF(W591&gt;$F$28,12-DATEDIF($F$28,W591+1,"m"),IF(W591&lt;$F$27,0,DATEDIF($F$27,W591+1,"m")))))</f>
        <v>0</v>
      </c>
      <c r="X592" s="409">
        <f>IF(IF(V592+W592+U592+T592+S592+R592+Q592=12,0,IF(X591&gt;$F$28,12-DATEDIF($F$28,X591+1,"m"),IF(X591&lt;$F$27,0,DATEDIF($F$27,X591+1,"m"))))&lt;0,0,IF(V592+W592+U592+T592+S592+R592+Q592=12,0,IF(X591&gt;$F$28,12-DATEDIF($F$28,X591+1,"m"),IF(X591&lt;$F$27,0,DATEDIF($F$27,X591+1,"m")))))</f>
        <v>0</v>
      </c>
      <c r="Y592" s="409">
        <f>IF(IF(Q592+W592+X592+V592+U592+T592+S592+R592=12,0,IF(Y591&gt;$F$28,12-DATEDIF($F$28,Y591+1,"m"),IF(Y591&lt;$F$27,0,DATEDIF($F$27,Y591+1,"m"))))&lt;0,0,IF(Q592+W592+X592+V592+U592+T592+S592+R592=12,0,IF(Y591&gt;$F$28,12-DATEDIF($F$28,Y591+1,"m"),IF(Y591&lt;$F$27,0,DATEDIF($F$27,Y591+1,"m")))))</f>
        <v>0</v>
      </c>
      <c r="Z592" s="409">
        <f>IF(IF(Q592+R592+X592+Y592+W592+V592+U592+T592+S592=12,0,IF(Z591&gt;$F$28,12-DATEDIF($F$28,Z591+1,"m"),IF(Z591&lt;$F$27,0,DATEDIF($F$27,Z591+1,"m"))))&lt;0,0,IF(Q592+R592+X592+Y592+W592+V592+U592+T592+S592=12,0,IF(Z591&gt;$F$28,12-DATEDIF($F$28,Z591+1,"m"),IF(Z591&lt;$F$27,0,DATEDIF($F$27,Z591+1,"m")))))</f>
        <v>0</v>
      </c>
      <c r="AA592" s="409"/>
      <c r="AB592" s="409"/>
      <c r="AC592" s="409"/>
      <c r="AD592" s="409"/>
      <c r="AE592" s="409"/>
      <c r="AF592" s="409"/>
      <c r="AG592" s="409"/>
      <c r="AH592" s="423">
        <f>SUM(Q592:AG592)</f>
        <v>0</v>
      </c>
      <c r="AI592" s="409">
        <f t="shared" si="266"/>
        <v>0</v>
      </c>
      <c r="AJ592" s="409">
        <f t="shared" si="266"/>
        <v>0</v>
      </c>
      <c r="AK592" s="409">
        <f t="shared" si="266"/>
        <v>0</v>
      </c>
      <c r="AL592" s="409">
        <f t="shared" si="266"/>
        <v>0</v>
      </c>
      <c r="AM592" s="409">
        <f t="shared" si="266"/>
        <v>0</v>
      </c>
      <c r="AN592" s="409">
        <f t="shared" si="266"/>
        <v>0</v>
      </c>
      <c r="AO592" s="409">
        <f t="shared" si="266"/>
        <v>0</v>
      </c>
      <c r="AP592" s="409">
        <f t="shared" si="266"/>
        <v>0</v>
      </c>
      <c r="AQ592" s="409">
        <f t="shared" si="266"/>
        <v>0</v>
      </c>
      <c r="AR592" s="409">
        <f t="shared" si="266"/>
        <v>0</v>
      </c>
      <c r="AS592" s="409">
        <f t="shared" si="267"/>
        <v>0</v>
      </c>
      <c r="AT592" s="409">
        <f t="shared" si="267"/>
        <v>0</v>
      </c>
      <c r="AU592" s="409">
        <f t="shared" si="267"/>
        <v>0</v>
      </c>
      <c r="AV592" s="409">
        <f t="shared" si="267"/>
        <v>0</v>
      </c>
      <c r="AW592" s="409">
        <f t="shared" si="267"/>
        <v>0</v>
      </c>
      <c r="AX592" s="409">
        <f t="shared" si="267"/>
        <v>0</v>
      </c>
      <c r="AY592" s="409">
        <f t="shared" si="267"/>
        <v>0</v>
      </c>
      <c r="AZ592" s="409">
        <f>SUM(AI592:AY592)</f>
        <v>0</v>
      </c>
    </row>
    <row r="593" spans="17:52" hidden="1">
      <c r="Q593" s="410">
        <f>IF(Q592=0,0,(IF(($C$203+$B$203+$D$203+$E$203+$F$203)&lt;=25000,(($F$203/+$AH592)*Q592)*VLOOKUP('1. SUMMARY'!$C$20,rate,Sheet1!T$21,0),((IF(($B$203+$C$203+$D$203+$E$203)&gt;=25000,0,(((25000-($B$203+$C$203+$D$203+$E$203))/+$AH592)*Q592)*(VLOOKUP('1. SUMMARY'!$C$20,rate,Sheet1!T$21,0))))))))</f>
        <v>0</v>
      </c>
      <c r="R593" s="410">
        <f>IF(R592=0,0,(IF(($C$203+$B$203+$D$203+$E$203+$F$203)&lt;=25000,(($F$203/+$AH592)*R592)*VLOOKUP('1. SUMMARY'!$C$20,rate,Sheet1!U$21,0),((IF(($B$203+$C$203+$D$203+$E$203)&gt;=25000,0,(((25000-($B$203+$C$203+$D$203+$E$203))/+$AH592)*R592)*(VLOOKUP('1. SUMMARY'!$C$20,rate,Sheet1!U$21,0))))))))</f>
        <v>0</v>
      </c>
      <c r="S593" s="410">
        <f>IF(S592=0,0,(IF(($C$203+$B$203+$D$203+$E$203+$F$203)&lt;=25000,(($F$203/+$AH592)*S592)*VLOOKUP('1. SUMMARY'!$C$20,rate,Sheet1!V$21,0),((IF(($B$203+$C$203+$D$203+$E$203)&gt;=25000,0,(((25000-($B$203+$C$203+$D$203+$E$203))/+$AH592)*S592)*(VLOOKUP('1. SUMMARY'!$C$20,rate,Sheet1!V$21,0))))))))</f>
        <v>0</v>
      </c>
      <c r="T593" s="410">
        <f>IF(T592=0,0,(IF(($C$203+$B$203+$D$203+$E$203+$F$203)&lt;=25000,(($F$203/+$AH592)*T592)*VLOOKUP('1. SUMMARY'!$C$20,rate,Sheet1!W$21,0),((IF(($B$203+$C$203+$D$203+$E$203)&gt;=25000,0,(((25000-($B$203+$C$203+$D$203+$E$203))/+$AH592)*T592)*(VLOOKUP('1. SUMMARY'!$C$20,rate,Sheet1!W$21,0))))))))</f>
        <v>0</v>
      </c>
      <c r="U593" s="410">
        <f>IF(U592=0,0,(IF(($C$203+$B$203+$D$203+$E$203+$F$203)&lt;=25000,(($F$203/+$AH592)*U592)*VLOOKUP('1. SUMMARY'!$C$20,rate,Sheet1!X$21,0),((IF(($B$203+$C$203+$D$203+$E$203)&gt;=25000,0,(((25000-($B$203+$C$203+$D$203+$E$203))/+$AH592)*U592)*(VLOOKUP('1. SUMMARY'!$C$20,rate,Sheet1!X$21,0))))))))</f>
        <v>0</v>
      </c>
      <c r="V593" s="410">
        <f>IF(V592=0,0,(IF(($C$203+$B$203+$D$203+$E$203+$F$203)&lt;=25000,(($F$203/+$AH592)*V592)*VLOOKUP('1. SUMMARY'!$C$20,rate,Sheet1!Y$21,0),((IF(($B$203+$C$203+$D$203+$E$203)&gt;=25000,0,(((25000-($B$203+$C$203+$D$203+$E$203))/+$AH592)*V592)*(VLOOKUP('1. SUMMARY'!$C$20,rate,Sheet1!Y$21,0))))))))</f>
        <v>0</v>
      </c>
      <c r="W593" s="410">
        <f>IF(W592=0,0,(IF(($C$203+$B$203+$D$203+$E$203+$F$203)&lt;=25000,(($F$203/+$AH592)*W592)*VLOOKUP('1. SUMMARY'!$C$20,rate,Sheet1!Z$21,0),((IF(($B$203+$C$203+$D$203+$E$203)&gt;=25000,0,(((25000-($B$203+$C$203+$D$203+$E$203))/+$AH592)*W592)*(VLOOKUP('1. SUMMARY'!$C$20,rate,Sheet1!Z$21,0))))))))</f>
        <v>0</v>
      </c>
      <c r="X593" s="410">
        <f>IF(X592=0,0,(IF(($C$203+$B$203+$D$203+$E$203+$F$203)&lt;=25000,(($F$203/+$AH592)*X592)*VLOOKUP('1. SUMMARY'!$C$20,rate,Sheet1!AA$21,0),((IF(($B$203+$C$203+$D$203+$E$203)&gt;=25000,0,(((25000-($B$203+$C$203+$D$203+$E$203))/+$AH592)*X592)*(VLOOKUP('1. SUMMARY'!$C$20,rate,Sheet1!AA$21,0))))))))</f>
        <v>0</v>
      </c>
      <c r="Y593" s="410">
        <f>IF(Y592=0,0,(IF(($C$203+$B$203+$D$203+$E$203+$F$203)&lt;=25000,(($F$203/+$AH592)*Y592)*VLOOKUP('1. SUMMARY'!$C$20,rate,Sheet1!AB$21,0),((IF(($B$203+$C$203+$D$203+$E$203)&gt;=25000,0,(((25000-($B$203+$C$203+$D$203+$E$203))/+$AH592)*Y592)*(VLOOKUP('1. SUMMARY'!$C$20,rate,Sheet1!AB$21,0))))))))</f>
        <v>0</v>
      </c>
      <c r="Z593" s="410">
        <f>IF(Z592=0,0,(IF(($C$203+$B$203+$D$203+$E$203+$F$203)&lt;=25000,(($F$203/+$AH592)*Z592)*VLOOKUP('1. SUMMARY'!$C$20,rate,Sheet1!AC$21,0),((IF(($B$203+$C$203+$D$203+$E$203)&gt;=25000,0,(((25000-($B$203+$C$203+$D$203+$E$203))/+$AH592)*Z592)*(VLOOKUP('1. SUMMARY'!$C$20,rate,Sheet1!AC$21,0))))))))</f>
        <v>0</v>
      </c>
      <c r="AA593" s="410">
        <f>IF(AA592=0,0,(IF(($C$203+$B$203+$D$203+$E$203+$F$203)&lt;=25000,(($F$203/+$AH592)*AA592)*VLOOKUP('1. SUMMARY'!$C$20,rate,Sheet1!AD$21,0),((IF(($B$203+$C$203+$D$203+$E$203)&gt;=25000,0,(((25000-($B$203+$C$203+$D$203+$E$203))/+$AH592)*AA592)*(VLOOKUP('1. SUMMARY'!$C$20,rate,Sheet1!AD$21,0))))))))</f>
        <v>0</v>
      </c>
      <c r="AB593" s="410">
        <f>IF(AB592=0,0,(IF(($C$203+$B$203+$D$203+$E$203+$F$203)&lt;=25000,(($F$203/+$AH592)*AB592)*VLOOKUP('1. SUMMARY'!$C$20,rate,Sheet1!AE$21,0),((IF(($B$203+$C$203+$D$203+$E$203)&gt;=25000,0,(((25000-($B$203+$C$203+$D$203+$E$203))/+$AH592)*AB592)*(VLOOKUP('1. SUMMARY'!$C$20,rate,Sheet1!AE$21,0))))))))</f>
        <v>0</v>
      </c>
      <c r="AC593" s="410">
        <f>IF(AC592=0,0,(IF(($C$203+$B$203+$D$203+$E$203+$F$203)&lt;=25000,(($F$203/+$AH592)*AC592)*VLOOKUP('1. SUMMARY'!$C$20,rate,Sheet1!AF$21,0),((IF(($B$203+$C$203+$D$203+$E$203)&gt;=25000,0,(((25000-($B$203+$C$203+$D$203+$E$203))/+$AH592)*AC592)*(VLOOKUP('1. SUMMARY'!$C$20,rate,Sheet1!AF$21,0))))))))</f>
        <v>0</v>
      </c>
      <c r="AD593" s="410">
        <f>IF(AD592=0,0,(IF(($C$203+$B$203+$D$203+$E$203+$F$203)&lt;=25000,(($F$203/+$AH592)*AD592)*VLOOKUP('1. SUMMARY'!$C$20,rate,Sheet1!AG$21,0),((IF(($B$203+$C$203+$D$203+$E$203)&gt;=25000,0,(((25000-($B$203+$C$203+$D$203+$E$203))/+$AH592)*AD592)*(VLOOKUP('1. SUMMARY'!$C$20,rate,Sheet1!AG$21,0))))))))</f>
        <v>0</v>
      </c>
      <c r="AE593" s="410">
        <f>IF(AE592=0,0,(IF(($C$203+$B$203+$D$203+$E$203+$F$203)&lt;=25000,(($F$203/+$AH592)*AE592)*VLOOKUP('1. SUMMARY'!$C$20,rate,Sheet1!AH$21,0),((IF(($B$203+$C$203+$D$203+$E$203)&gt;=25000,0,(((25000-($B$203+$C$203+$D$203+$E$203))/+$AH592)*AE592)*(VLOOKUP('1. SUMMARY'!$C$20,rate,Sheet1!AH$21,0))))))))</f>
        <v>0</v>
      </c>
      <c r="AF593" s="410">
        <f>IF(AF592=0,0,(IF(($C$203+$B$203+$D$203+$E$203+$F$203)&lt;=25000,(($F$203/+$AH592)*AF592)*VLOOKUP('1. SUMMARY'!$C$20,rate,Sheet1!AI$21,0),((IF(($B$203+$C$203+$D$203+$E$203)&gt;=25000,0,(((25000-($B$203+$C$203+$D$203+$E$203))/+$AH592)*AF592)*(VLOOKUP('1. SUMMARY'!$C$20,rate,Sheet1!AI$21,0))))))))</f>
        <v>0</v>
      </c>
      <c r="AG593" s="410">
        <f>IF(AG592=0,0,(IF(($C$203+$B$203+$D$203+$E$203+$F$203)&lt;=25000,(($F$203/+$AH592)*AG592)*VLOOKUP('1. SUMMARY'!$C$20,rate,Sheet1!AJ$21,0),((IF(($B$203+$C$203+$D$203+$E$203)&gt;=25000,0,(((25000-($B$203+$C$203+$D$203+$E$203))/+$AH592)*AG592)*(VLOOKUP('1. SUMMARY'!$C$20,rate,Sheet1!AJ$21,0))))))))</f>
        <v>0</v>
      </c>
      <c r="AH593" s="219">
        <f>SUM(Q593:AG593)</f>
        <v>0</v>
      </c>
      <c r="AI593" s="410">
        <f>IF(AI592=0,0,((+$F203/$AZ592)*AI592)*VLOOKUP('1. SUMMARY'!$C$20,rate,Sheet1!T$21,0))</f>
        <v>0</v>
      </c>
      <c r="AJ593" s="410">
        <f>IF(AJ592=0,0,((+$F203/$AZ592)*AJ592)*VLOOKUP('1. SUMMARY'!$C$20,rate,Sheet1!U$21,0))</f>
        <v>0</v>
      </c>
      <c r="AK593" s="410">
        <f>IF(AK592=0,0,((+$F203/$AZ592)*AK592)*VLOOKUP('1. SUMMARY'!$C$20,rate,Sheet1!V$21,0))</f>
        <v>0</v>
      </c>
      <c r="AL593" s="410">
        <f>IF(AL592=0,0,((+$F203/$AZ592)*AL592)*VLOOKUP('1. SUMMARY'!$C$20,rate,Sheet1!W$21,0))</f>
        <v>0</v>
      </c>
      <c r="AM593" s="410">
        <f>IF(AM592=0,0,((+$F203/$AZ592)*AM592)*VLOOKUP('1. SUMMARY'!$C$20,rate,Sheet1!X$21,0))</f>
        <v>0</v>
      </c>
      <c r="AN593" s="410">
        <f>IF(AN592=0,0,((+$F203/$AZ592)*AN592)*VLOOKUP('1. SUMMARY'!$C$20,rate,Sheet1!Y$21,0))</f>
        <v>0</v>
      </c>
      <c r="AO593" s="410">
        <f>IF(AO592=0,0,((+$F203/$AZ592)*AO592)*VLOOKUP('1. SUMMARY'!$C$20,rate,Sheet1!Z$21,0))</f>
        <v>0</v>
      </c>
      <c r="AP593" s="410">
        <f>IF(AP592=0,0,((+$F203/$AZ592)*AP592)*VLOOKUP('1. SUMMARY'!$C$20,rate,Sheet1!AA$21,0))</f>
        <v>0</v>
      </c>
      <c r="AQ593" s="410">
        <f>IF(AQ592=0,0,((+$F203/$AZ592)*AQ592)*VLOOKUP('1. SUMMARY'!$C$20,rate,Sheet1!AB$21,0))</f>
        <v>0</v>
      </c>
      <c r="AR593" s="410">
        <f>IF(AR592=0,0,((+$F203/$AZ592)*AR592)*VLOOKUP('1. SUMMARY'!$C$20,rate,Sheet1!AC$21,0))</f>
        <v>0</v>
      </c>
      <c r="AS593" s="410">
        <f>IF(AS592=0,0,((+$F203/$AZ592)*AS592)*VLOOKUP('1. SUMMARY'!$C$20,rate,Sheet1!AD$21,0))</f>
        <v>0</v>
      </c>
      <c r="AT593" s="410">
        <f>IF(AT592=0,0,((+$F203/$AZ592)*AT592)*VLOOKUP('1. SUMMARY'!$C$20,rate,Sheet1!AE$21,0))</f>
        <v>0</v>
      </c>
      <c r="AU593" s="410">
        <f>IF(AU592=0,0,((+$F203/$AZ592)*AU592)*VLOOKUP('1. SUMMARY'!$C$20,rate,Sheet1!AF$21,0))</f>
        <v>0</v>
      </c>
      <c r="AV593" s="410">
        <f>IF(AV592=0,0,((+$F203/$AZ592)*AV592)*VLOOKUP('1. SUMMARY'!$C$20,rate,Sheet1!AG$21,0))</f>
        <v>0</v>
      </c>
      <c r="AW593" s="410">
        <f>IF(AW592=0,0,((+$F203/$AZ592)*AW592)*VLOOKUP('1. SUMMARY'!$C$20,rate,Sheet1!AH$21,0))</f>
        <v>0</v>
      </c>
      <c r="AX593" s="410">
        <f>IF(AX592=0,0,((+$F203/$AZ592)*AX592)*VLOOKUP('1. SUMMARY'!$C$20,rate,Sheet1!AI$21,0))</f>
        <v>0</v>
      </c>
      <c r="AY593" s="410">
        <f>IF(AY592=0,0,((+$F203/$AZ592)*AY592)*VLOOKUP('1. SUMMARY'!$C$20,rate,Sheet1!AJ$21,0))</f>
        <v>0</v>
      </c>
      <c r="AZ593" s="410">
        <f>SUM(AI593:AY593)</f>
        <v>0</v>
      </c>
    </row>
    <row r="594" spans="17:52" hidden="1">
      <c r="Q594" s="410">
        <f>+Q593/VLOOKUP('1. SUMMARY'!$C$20,rate,Sheet1!T$21,0)</f>
        <v>0</v>
      </c>
      <c r="R594" s="410">
        <f>+R593/VLOOKUP('1. SUMMARY'!$C$20,rate,Sheet1!U$21,0)</f>
        <v>0</v>
      </c>
      <c r="S594" s="410">
        <f>+S593/VLOOKUP('1. SUMMARY'!$C$20,rate,Sheet1!V$21,0)</f>
        <v>0</v>
      </c>
      <c r="T594" s="410">
        <f>+T593/VLOOKUP('1. SUMMARY'!$C$20,rate,Sheet1!W$21,0)</f>
        <v>0</v>
      </c>
      <c r="U594" s="410">
        <f>+U593/VLOOKUP('1. SUMMARY'!$C$20,rate,Sheet1!X$21,0)</f>
        <v>0</v>
      </c>
      <c r="V594" s="410">
        <f>+V593/VLOOKUP('1. SUMMARY'!$C$20,rate,Sheet1!Y$21,0)</f>
        <v>0</v>
      </c>
      <c r="W594" s="410">
        <f>+W593/VLOOKUP('1. SUMMARY'!$C$20,rate,Sheet1!Z$21,0)</f>
        <v>0</v>
      </c>
      <c r="X594" s="410">
        <f>+X593/VLOOKUP('1. SUMMARY'!$C$20,rate,Sheet1!AA$21,0)</f>
        <v>0</v>
      </c>
      <c r="Y594" s="410">
        <f>+Y593/VLOOKUP('1. SUMMARY'!$C$20,rate,Sheet1!AB$21,0)</f>
        <v>0</v>
      </c>
      <c r="Z594" s="410">
        <f>+Z593/VLOOKUP('1. SUMMARY'!$C$20,rate,Sheet1!AC$21,0)</f>
        <v>0</v>
      </c>
      <c r="AA594" s="410">
        <f>+AA593/VLOOKUP('1. SUMMARY'!$C$20,rate,Sheet1!AD$21,0)</f>
        <v>0</v>
      </c>
      <c r="AB594" s="410">
        <f>+AB593/VLOOKUP('1. SUMMARY'!$C$20,rate,Sheet1!AE$21,0)</f>
        <v>0</v>
      </c>
      <c r="AC594" s="410">
        <f>+AC593/VLOOKUP('1. SUMMARY'!$C$20,rate,Sheet1!AF$21,0)</f>
        <v>0</v>
      </c>
      <c r="AD594" s="410">
        <f>+AD593/VLOOKUP('1. SUMMARY'!$C$20,rate,Sheet1!AG$21,0)</f>
        <v>0</v>
      </c>
      <c r="AE594" s="410">
        <f>+AE593/VLOOKUP('1. SUMMARY'!$C$20,rate,Sheet1!AH$21,0)</f>
        <v>0</v>
      </c>
      <c r="AF594" s="410">
        <f>+AF593/VLOOKUP('1. SUMMARY'!$C$20,rate,Sheet1!AI$21,0)</f>
        <v>0</v>
      </c>
      <c r="AG594" s="410">
        <f>+AG593/VLOOKUP('1. SUMMARY'!$C$20,rate,Sheet1!AJ$21,0)</f>
        <v>0</v>
      </c>
      <c r="AH594" s="219"/>
      <c r="AI594" s="410">
        <v>0</v>
      </c>
      <c r="AJ594" s="410">
        <v>0</v>
      </c>
      <c r="AK594" s="410">
        <v>0</v>
      </c>
      <c r="AL594" s="410">
        <v>0</v>
      </c>
      <c r="AM594" s="410">
        <v>0</v>
      </c>
      <c r="AN594" s="410">
        <v>0</v>
      </c>
      <c r="AO594" s="410">
        <v>0</v>
      </c>
      <c r="AP594" s="410">
        <v>0</v>
      </c>
      <c r="AQ594" s="410"/>
      <c r="AR594" s="410"/>
      <c r="AS594" s="410"/>
      <c r="AT594" s="410"/>
      <c r="AU594" s="410"/>
      <c r="AV594" s="410"/>
      <c r="AW594" s="410"/>
      <c r="AX594" s="410"/>
      <c r="AY594" s="410"/>
      <c r="AZ594" s="410"/>
    </row>
    <row r="595" spans="17:52" hidden="1">
      <c r="Q595" s="413">
        <f>Sheet1!$T$8</f>
        <v>44105</v>
      </c>
      <c r="R595" s="413">
        <f>Sheet1!$U$8</f>
        <v>44470</v>
      </c>
      <c r="S595" s="413">
        <f>Sheet1!$V$8</f>
        <v>44835</v>
      </c>
      <c r="T595" s="413">
        <f>Sheet1!$W$8</f>
        <v>45200</v>
      </c>
      <c r="U595" s="413">
        <f>Sheet1!$X$8</f>
        <v>45566</v>
      </c>
      <c r="V595" s="413">
        <f>Sheet1!$Y$8</f>
        <v>45931</v>
      </c>
      <c r="W595" s="413">
        <f>Sheet1!$Z$8</f>
        <v>46296</v>
      </c>
      <c r="X595" s="413">
        <f>Sheet1!$AA$8</f>
        <v>46661</v>
      </c>
      <c r="Y595" s="413">
        <f>Sheet1!$AB$8</f>
        <v>47027</v>
      </c>
      <c r="Z595" s="413">
        <f>Sheet1!$AC$8</f>
        <v>47392</v>
      </c>
      <c r="AA595" s="413">
        <f>$AA$5</f>
        <v>47757</v>
      </c>
      <c r="AB595" s="413">
        <f>$AB$5</f>
        <v>48122</v>
      </c>
      <c r="AC595" s="413">
        <f>$AC$5</f>
        <v>48488</v>
      </c>
      <c r="AD595" s="413">
        <f>$AD$5</f>
        <v>48853</v>
      </c>
      <c r="AE595" s="413">
        <f>$AE$5</f>
        <v>49218</v>
      </c>
      <c r="AF595" s="413">
        <f>$AF$5</f>
        <v>49583</v>
      </c>
      <c r="AG595" s="413">
        <f>$AG$5</f>
        <v>49949</v>
      </c>
      <c r="AH595" s="219"/>
      <c r="AI595" s="413">
        <f t="shared" ref="AI595:AR597" si="268">+Q595</f>
        <v>44105</v>
      </c>
      <c r="AJ595" s="413">
        <f t="shared" si="268"/>
        <v>44470</v>
      </c>
      <c r="AK595" s="413">
        <f t="shared" si="268"/>
        <v>44835</v>
      </c>
      <c r="AL595" s="413">
        <f t="shared" si="268"/>
        <v>45200</v>
      </c>
      <c r="AM595" s="413">
        <f t="shared" si="268"/>
        <v>45566</v>
      </c>
      <c r="AN595" s="413">
        <f t="shared" si="268"/>
        <v>45931</v>
      </c>
      <c r="AO595" s="413">
        <f t="shared" si="268"/>
        <v>46296</v>
      </c>
      <c r="AP595" s="413">
        <f t="shared" si="268"/>
        <v>46661</v>
      </c>
      <c r="AQ595" s="413">
        <f t="shared" si="268"/>
        <v>47027</v>
      </c>
      <c r="AR595" s="413">
        <f t="shared" si="268"/>
        <v>47392</v>
      </c>
      <c r="AS595" s="413">
        <f t="shared" ref="AS595:AY597" si="269">+AA595</f>
        <v>47757</v>
      </c>
      <c r="AT595" s="413">
        <f t="shared" si="269"/>
        <v>48122</v>
      </c>
      <c r="AU595" s="413">
        <f t="shared" si="269"/>
        <v>48488</v>
      </c>
      <c r="AV595" s="413">
        <f t="shared" si="269"/>
        <v>48853</v>
      </c>
      <c r="AW595" s="413">
        <f t="shared" si="269"/>
        <v>49218</v>
      </c>
      <c r="AX595" s="413">
        <f t="shared" si="269"/>
        <v>49583</v>
      </c>
      <c r="AY595" s="413">
        <f t="shared" si="269"/>
        <v>49949</v>
      </c>
      <c r="AZ595" s="413"/>
    </row>
    <row r="596" spans="17:52" hidden="1">
      <c r="Q596" s="413">
        <f>Sheet1!$T$9</f>
        <v>44469</v>
      </c>
      <c r="R596" s="413">
        <f>Sheet1!$U$9</f>
        <v>44834</v>
      </c>
      <c r="S596" s="413">
        <f>Sheet1!$V$9</f>
        <v>45199</v>
      </c>
      <c r="T596" s="413">
        <f>Sheet1!$W$9</f>
        <v>45565</v>
      </c>
      <c r="U596" s="413">
        <f>Sheet1!$X$9</f>
        <v>45930</v>
      </c>
      <c r="V596" s="413">
        <f>Sheet1!$Y$9</f>
        <v>46295</v>
      </c>
      <c r="W596" s="413">
        <f>Sheet1!$Z$9</f>
        <v>46660</v>
      </c>
      <c r="X596" s="413">
        <f>Sheet1!$AA$9</f>
        <v>47026</v>
      </c>
      <c r="Y596" s="413">
        <f>Sheet1!$AB$9</f>
        <v>47391</v>
      </c>
      <c r="Z596" s="413">
        <f>Sheet1!$AC$9</f>
        <v>47756</v>
      </c>
      <c r="AA596" s="413">
        <f>$AA$6</f>
        <v>48121</v>
      </c>
      <c r="AB596" s="413">
        <f>$AB$6</f>
        <v>48487</v>
      </c>
      <c r="AC596" s="413">
        <f>$AC$6</f>
        <v>48852</v>
      </c>
      <c r="AD596" s="413">
        <f>$AD$6</f>
        <v>49217</v>
      </c>
      <c r="AE596" s="413">
        <f>$AE$6</f>
        <v>49582</v>
      </c>
      <c r="AF596" s="413">
        <f>$AF$6</f>
        <v>49948</v>
      </c>
      <c r="AG596" s="413">
        <f>$AG$6</f>
        <v>50313</v>
      </c>
      <c r="AH596" s="219"/>
      <c r="AI596" s="413">
        <f t="shared" si="268"/>
        <v>44469</v>
      </c>
      <c r="AJ596" s="413">
        <f t="shared" si="268"/>
        <v>44834</v>
      </c>
      <c r="AK596" s="413">
        <f t="shared" si="268"/>
        <v>45199</v>
      </c>
      <c r="AL596" s="413">
        <f t="shared" si="268"/>
        <v>45565</v>
      </c>
      <c r="AM596" s="413">
        <f t="shared" si="268"/>
        <v>45930</v>
      </c>
      <c r="AN596" s="413">
        <f t="shared" si="268"/>
        <v>46295</v>
      </c>
      <c r="AO596" s="413">
        <f t="shared" si="268"/>
        <v>46660</v>
      </c>
      <c r="AP596" s="413">
        <f t="shared" si="268"/>
        <v>47026</v>
      </c>
      <c r="AQ596" s="413">
        <f t="shared" si="268"/>
        <v>47391</v>
      </c>
      <c r="AR596" s="413">
        <f t="shared" si="268"/>
        <v>47756</v>
      </c>
      <c r="AS596" s="413">
        <f t="shared" si="269"/>
        <v>48121</v>
      </c>
      <c r="AT596" s="413">
        <f t="shared" si="269"/>
        <v>48487</v>
      </c>
      <c r="AU596" s="413">
        <f t="shared" si="269"/>
        <v>48852</v>
      </c>
      <c r="AV596" s="413">
        <f t="shared" si="269"/>
        <v>49217</v>
      </c>
      <c r="AW596" s="413">
        <f t="shared" si="269"/>
        <v>49582</v>
      </c>
      <c r="AX596" s="413">
        <f t="shared" si="269"/>
        <v>49948</v>
      </c>
      <c r="AY596" s="413">
        <f t="shared" si="269"/>
        <v>50313</v>
      </c>
      <c r="AZ596" s="413"/>
    </row>
    <row r="597" spans="17:52" hidden="1">
      <c r="Q597" s="424">
        <f>IF(IF(Q596&lt;$G$27,0,DATEDIF($G$27,Q596+1,"m"))&lt;0,0,IF(Q596&lt;$G$27,0,DATEDIF($G$27,Q596+1,"m")))</f>
        <v>0</v>
      </c>
      <c r="R597" s="424">
        <f>IF(IF(Q597=12,0,IF(R596&gt;$G$28,12-DATEDIF($G$28,R596+1,"m"),IF(R596&lt;$G$27,0,DATEDIF($G$27,R596+1,"m"))))&lt;0,0,IF(Q597=12,0,IF(R596&gt;$G$28,12-DATEDIF($G$28,R596+1,"m"),IF(R596&lt;$G$27,0,DATEDIF($G$27,R596+1,"m")))))</f>
        <v>0</v>
      </c>
      <c r="S597" s="424">
        <f>IF(IF(Q597+R597=12,0,IF(S596&gt;$G$28,12-DATEDIF($G$28,S596+1,"m"),IF(S596&lt;$G$27,0,DATEDIF($G$27,S596+1,"m"))))&lt;0,0,IF(Q597+R597=12,0,IF(S596&gt;$G$28,12-DATEDIF($G$28,S596+1,"m"),IF(S596&lt;$G$27,0,DATEDIF($G$27,S596+1,"m")))))</f>
        <v>0</v>
      </c>
      <c r="T597" s="424">
        <f>IF(IF(R597+S597+Q597=12,0,IF(T596&gt;$G$28,12-DATEDIF($G$28,T596+1,"m"),IF(T596&lt;$G$27,0,DATEDIF($G$27,T596+1,"m"))))&lt;0,0,IF(R597+S597+Q597=12,0,IF(T596&gt;$G$28,12-DATEDIF($G$28,T596+1,"m"),IF(T596&lt;$G$27,0,DATEDIF($G$27,T596+1,"m")))))</f>
        <v>0</v>
      </c>
      <c r="U597" s="424">
        <f>IF(IF(S597+T597+R597+Q597=12,0,IF(U596&gt;$G$28,12-DATEDIF($G$28,U596+1,"m"),IF(U596&lt;$G$27,0,DATEDIF($G$27,U596+1,"m"))))&lt;0,0,IF(S597+T597+R597+Q597=12,0,IF(U596&gt;$G$28,12-DATEDIF($G$28,U596+1,"m"),IF(U596&lt;$G$27,0,DATEDIF($G$27,U596+1,"m")))))</f>
        <v>0</v>
      </c>
      <c r="V597" s="424">
        <f>IF(IF(T597+U597+S597+R597+Q597=12,0,IF(V596&gt;$G$28,12-DATEDIF($G$28,V596+1,"m"),IF(V596&lt;$G$27,0,DATEDIF($G$27,V596+1,"m"))))&lt;0,0,IF(T597+U597+S597+R597+Q597=12,0,IF(V596&gt;$G$28,12-DATEDIF($G$28,V596+1,"m"),IF(V596&lt;$G$27,0,DATEDIF($G$27,V596+1,"m")))))</f>
        <v>0</v>
      </c>
      <c r="W597" s="424">
        <f>IF(IF(U597+V597+T597+S597+R597+Q597=12,0,IF(W596&gt;$G$28,12-DATEDIF($G$28,W596+1,"m"),IF(W596&lt;$G$27,0,DATEDIF($G$27,W596+1,"m"))))&lt;0,0,IF(U597+V597+T597+S597+R597+Q597=12,0,IF(W596&gt;$G$28,12-DATEDIF($G$28,W596+1,"m"),IF(W596&lt;$G$27,0,DATEDIF($G$27,W596+1,"m")))))</f>
        <v>0</v>
      </c>
      <c r="X597" s="424">
        <f>IF(IF(V597+W597+U597+T597+S597+R597+Q597=12,0,IF(X596&gt;$G$28,12-DATEDIF($G$28,X596+1,"m"),IF(X596&lt;$G$27,0,DATEDIF($G$27,X596+1,"m"))))&lt;0,0,IF(V597+W597+U597+T597+S597+R597+Q597=12,0,IF(X596&gt;$G$28,12-DATEDIF($G$28,X596+1,"m"),IF(X596&lt;$G$27,0,DATEDIF($G$27,X596+1,"m")))))</f>
        <v>0</v>
      </c>
      <c r="Y597" s="424">
        <f>IF(IF(W597+X597+V597+U597+T597+S597+R597+Q597=12,0,IF(Y596&gt;$G$28,12-DATEDIF($G$28,Y596+1,"m"),IF(Y596&lt;$G$27,0,DATEDIF($G$27,Y596+1,"m"))))&lt;0,0,IF(W597+X597+V597+U597+T597+S597+R597+Q597=12,0,IF(Y596&gt;$G$28,12-DATEDIF($G$28,Y596+1,"m"),IF(Y596&lt;$G$27,0,DATEDIF($G$27,Y596+1,"m")))))</f>
        <v>0</v>
      </c>
      <c r="Z597" s="424">
        <f>IF(IF(X597+Y597+W597+V597+U597+T597+S597+R597+Q597=12,0,IF(Z596&gt;$G$28,12-DATEDIF($G$28,Z596+1,"m"),IF(Z596&lt;$G$27,0,DATEDIF($G$27,Z596+1,"m"))))&lt;0,0,IF(X597+Y597+W597+V597+U597+T597+S597+R597+Q597=12,0,IF(Z596&gt;$G$28,12-DATEDIF($G$28,Z596+1,"m"),IF(Z596&lt;$G$27,0,DATEDIF($G$27,Z596+1,"m")))))</f>
        <v>0</v>
      </c>
      <c r="AA597" s="414">
        <f>IF(IF(Q597+R597+S597+Y597+Z597+X597+W597+V597+U597+T597=12,0,IF(AA596&gt;$G$28,12-DATEDIF($G$28,AA596+1,"m"),IF(AA596&lt;$G$27,0,DATEDIF($G$27,AA596+1,"m"))))&lt;0,0,IF(Q597+R597+S597+Y597+Z597+X597+W597+V597+U597+T597=12,0,IF(AA596&gt;$G$28,12-DATEDIF($G$28,AA596+1,"m"),IF(AA596&lt;$G$27,0,DATEDIF($G$27,AA596+1,"m")))))</f>
        <v>0</v>
      </c>
      <c r="AB597" s="414">
        <f>IF(IF(Q597+R597+S597+T597+Z597+AA597+Y597+X597+W597+V597+U597=12,0,IF(AB596&gt;$G$28,12-DATEDIF($G$28,AB596+1,"m"),IF(AB596&lt;$G$27,0,DATEDIF($G$27,AB596+1,"m"))))&lt;0,0,IF(Q597+R597+S597+T597+Z597+AA597+Y597+X597+W597+V597+U597=12,0,IF(AB596&gt;$G$28,12-DATEDIF($G$28,AB596+1,"m"),IF(AB596&lt;$G$27,0,DATEDIF($G$27,AB596+1,"m")))))</f>
        <v>0</v>
      </c>
      <c r="AC597" s="414">
        <f>IF(IF(Q597+R597+S597+T597+U597+AA597+AB597+Z597+Y597+X597+W597+V597=12,0,IF(AC596&gt;$G$28,12-DATEDIF($G$28,AC596+1,"m"),IF(AC596&lt;$G$27,0,DATEDIF($G$27,AC596+1,"m"))))&lt;0,0,IF(Q597+R597+S597+T597+U597+AA597+AB597+Z597+Y597+X597+W597+V597=12,0,IF(AC596&gt;$G$28,12-DATEDIF($G$28,AC596+1,"m"),IF(AC596&lt;$G$27,0,DATEDIF($G$27,AC596+1,"m")))))</f>
        <v>0</v>
      </c>
      <c r="AD597" s="414">
        <f>IF(IF(Q597+R597+S597+T597+U597+V597+AB597+AC597+AA597+Z597+Y597+X597+W597=12,0,IF(AD596&gt;$G$28,12-DATEDIF($G$28,AD596+1,"m"),IF(AD596&lt;$G$27,0,DATEDIF($G$27,AD596+1,"m"))))&lt;0,0,IF(Q597+R597+S597+T597+U597+V597+AB597+AC597+AA597+Z597+Y597+X597+W597=12,0,IF(AD596&gt;$G$28,12-DATEDIF($G$28,AD596+1,"m"),IF(AD596&lt;$G$27,0,DATEDIF($G$27,AD596+1,"m")))))</f>
        <v>0</v>
      </c>
      <c r="AE597" s="414"/>
      <c r="AF597" s="414"/>
      <c r="AG597" s="414"/>
      <c r="AH597" s="423">
        <f>SUM(Q597:AG597)</f>
        <v>0</v>
      </c>
      <c r="AI597" s="414">
        <f t="shared" si="268"/>
        <v>0</v>
      </c>
      <c r="AJ597" s="414">
        <f t="shared" si="268"/>
        <v>0</v>
      </c>
      <c r="AK597" s="414">
        <f t="shared" si="268"/>
        <v>0</v>
      </c>
      <c r="AL597" s="414">
        <f t="shared" si="268"/>
        <v>0</v>
      </c>
      <c r="AM597" s="414">
        <f t="shared" si="268"/>
        <v>0</v>
      </c>
      <c r="AN597" s="414">
        <f t="shared" si="268"/>
        <v>0</v>
      </c>
      <c r="AO597" s="414">
        <f t="shared" si="268"/>
        <v>0</v>
      </c>
      <c r="AP597" s="414">
        <f t="shared" si="268"/>
        <v>0</v>
      </c>
      <c r="AQ597" s="414">
        <f t="shared" si="268"/>
        <v>0</v>
      </c>
      <c r="AR597" s="414">
        <f t="shared" si="268"/>
        <v>0</v>
      </c>
      <c r="AS597" s="414">
        <f t="shared" si="269"/>
        <v>0</v>
      </c>
      <c r="AT597" s="414">
        <f t="shared" si="269"/>
        <v>0</v>
      </c>
      <c r="AU597" s="414">
        <f t="shared" si="269"/>
        <v>0</v>
      </c>
      <c r="AV597" s="414">
        <f t="shared" si="269"/>
        <v>0</v>
      </c>
      <c r="AW597" s="414">
        <f t="shared" si="269"/>
        <v>0</v>
      </c>
      <c r="AX597" s="414">
        <f t="shared" si="269"/>
        <v>0</v>
      </c>
      <c r="AY597" s="414">
        <f t="shared" si="269"/>
        <v>0</v>
      </c>
      <c r="AZ597" s="414">
        <f>SUM(AI597:AY597)</f>
        <v>0</v>
      </c>
    </row>
    <row r="598" spans="17:52" hidden="1">
      <c r="Q598" s="415">
        <f>IF(Q597=0,0,(IF(($B$203+$C$203+$D$203+$E$203+$F$203+$G$203)&lt;=25000,(($G$203/+$AH597)*Q597)*VLOOKUP('1. SUMMARY'!$C$20,rate,Sheet1!T$21,0),((IF(($F$203+$B$203+$C$203+$D$203+$E$203)&gt;=25000,0,(((25000-($B$203+$C$203+$D$203+$E$203+$F$203))/+$AH597)*Q597)*(VLOOKUP('1. SUMMARY'!$C$20,rate,Sheet1!T$21,0))))))))</f>
        <v>0</v>
      </c>
      <c r="R598" s="415">
        <f>IF(R597=0,0,(IF(($B$203+$C$203+$D$203+$E$203+$F$203+$G$203)&lt;=25000,(($G$203/+$AH597)*R597)*VLOOKUP('1. SUMMARY'!$C$20,rate,Sheet1!U$21,0),((IF(($F$203+$B$203+$C$203+$D$203+$E$203)&gt;=25000,0,(((25000-($B$203+$C$203+$D$203+$E$203+$F$203))/+$AH597)*R597)*(VLOOKUP('1. SUMMARY'!$C$20,rate,Sheet1!U$21,0))))))))</f>
        <v>0</v>
      </c>
      <c r="S598" s="415">
        <f>IF(S597=0,0,(IF(($B$203+$C$203+$D$203+$E$203+$F$203+$G$203)&lt;=25000,(($G$203/+$AH597)*S597)*VLOOKUP('1. SUMMARY'!$C$20,rate,Sheet1!V$21,0),((IF(($F$203+$B$203+$C$203+$D$203+$E$203)&gt;=25000,0,(((25000-($B$203+$C$203+$D$203+$E$203+$F$203))/+$AH597)*S597)*(VLOOKUP('1. SUMMARY'!$C$20,rate,Sheet1!V$21,0))))))))</f>
        <v>0</v>
      </c>
      <c r="T598" s="415">
        <f>IF(T597=0,0,(IF(($B$203+$C$203+$D$203+$E$203+$F$203+$G$203)&lt;=25000,(($G$203/+$AH597)*T597)*VLOOKUP('1. SUMMARY'!$C$20,rate,Sheet1!W$21,0),((IF(($F$203+$B$203+$C$203+$D$203+$E$203)&gt;=25000,0,(((25000-($B$203+$C$203+$D$203+$E$203+$F$203))/+$AH597)*T597)*(VLOOKUP('1. SUMMARY'!$C$20,rate,Sheet1!W$21,0))))))))</f>
        <v>0</v>
      </c>
      <c r="U598" s="415">
        <f>IF(U597=0,0,(IF(($B$203+$C$203+$D$203+$E$203+$F$203+$G$203)&lt;=25000,(($G$203/+$AH597)*U597)*VLOOKUP('1. SUMMARY'!$C$20,rate,Sheet1!X$21,0),((IF(($F$203+$B$203+$C$203+$D$203+$E$203)&gt;=25000,0,(((25000-($B$203+$C$203+$D$203+$E$203+$F$203))/+$AH597)*U597)*(VLOOKUP('1. SUMMARY'!$C$20,rate,Sheet1!X$21,0))))))))</f>
        <v>0</v>
      </c>
      <c r="V598" s="415">
        <f>IF(V597=0,0,(IF(($B$203+$C$203+$D$203+$E$203+$F$203+$G$203)&lt;=25000,(($G$203/+$AH597)*V597)*VLOOKUP('1. SUMMARY'!$C$20,rate,Sheet1!Y$21,0),((IF(($F$203+$B$203+$C$203+$D$203+$E$203)&gt;=25000,0,(((25000-($B$203+$C$203+$D$203+$E$203+$F$203))/+$AH597)*V597)*(VLOOKUP('1. SUMMARY'!$C$20,rate,Sheet1!Y$21,0))))))))</f>
        <v>0</v>
      </c>
      <c r="W598" s="415">
        <f>IF(W597=0,0,(IF(($B$203+$C$203+$D$203+$E$203+$F$203+$G$203)&lt;=25000,(($G$203/+$AH597)*W597)*VLOOKUP('1. SUMMARY'!$C$20,rate,Sheet1!Z$21,0),((IF(($F$203+$B$203+$C$203+$D$203+$E$203)&gt;=25000,0,(((25000-($B$203+$C$203+$D$203+$E$203+$F$203))/+$AH597)*W597)*(VLOOKUP('1. SUMMARY'!$C$20,rate,Sheet1!Z$21,0))))))))</f>
        <v>0</v>
      </c>
      <c r="X598" s="415">
        <f>IF(X597=0,0,(IF(($B$203+$C$203+$D$203+$E$203+$F$203+$G$203)&lt;=25000,(($G$203/+$AH597)*X597)*VLOOKUP('1. SUMMARY'!$C$20,rate,Sheet1!AA$21,0),((IF(($F$203+$B$203+$C$203+$D$203+$E$203)&gt;=25000,0,(((25000-($B$203+$C$203+$D$203+$E$203+$F$203))/+$AH597)*X597)*(VLOOKUP('1. SUMMARY'!$C$20,rate,Sheet1!AA$21,0))))))))</f>
        <v>0</v>
      </c>
      <c r="Y598" s="415">
        <f>IF(Y597=0,0,(IF(($B$203+$C$203+$D$203+$E$203+$F$203+$G$203)&lt;=25000,(($G$203/+$AH597)*Y597)*VLOOKUP('1. SUMMARY'!$C$20,rate,Sheet1!AB$21,0),((IF(($F$203+$B$203+$C$203+$D$203+$E$203)&gt;=25000,0,(((25000-($B$203+$C$203+$D$203+$E$203+$F$203))/+$AH597)*Y597)*(VLOOKUP('1. SUMMARY'!$C$20,rate,Sheet1!AB$21,0))))))))</f>
        <v>0</v>
      </c>
      <c r="Z598" s="415">
        <f>IF(Z597=0,0,(IF(($B$203+$C$203+$D$203+$E$203+$F$203+$G$203)&lt;=25000,(($G$203/+$AH597)*Z597)*VLOOKUP('1. SUMMARY'!$C$20,rate,Sheet1!AC$21,0),((IF(($F$203+$B$203+$C$203+$D$203+$E$203)&gt;=25000,0,(((25000-($B$203+$C$203+$D$203+$E$203+$F$203))/+$AH597)*Z597)*(VLOOKUP('1. SUMMARY'!$C$20,rate,Sheet1!AC$21,0))))))))</f>
        <v>0</v>
      </c>
      <c r="AA598" s="415">
        <f>IF(AA597=0,0,(IF(($B$203+$C$203+$D$203+$E$203+$F$203+$G$203)&lt;=25000,(($G$203/+$AH597)*AA597)*VLOOKUP('1. SUMMARY'!$C$20,rate,Sheet1!AD$21,0),((IF(($F$203+$B$203+$C$203+$D$203+$E$203)&gt;=25000,0,(((25000-($B$203+$C$203+$D$203+$E$203+$F$203))/+$AH597)*AA597)*(VLOOKUP('1. SUMMARY'!$C$20,rate,Sheet1!AD$21,0))))))))</f>
        <v>0</v>
      </c>
      <c r="AB598" s="415">
        <f>IF(AB597=0,0,(IF(($B$203+$C$203+$D$203+$E$203+$F$203+$G$203)&lt;=25000,(($G$203/+$AH597)*AB597)*VLOOKUP('1. SUMMARY'!$C$20,rate,Sheet1!AE$21,0),((IF(($F$203+$B$203+$C$203+$D$203+$E$203)&gt;=25000,0,(((25000-($B$203+$C$203+$D$203+$E$203+$F$203))/+$AH597)*AB597)*(VLOOKUP('1. SUMMARY'!$C$20,rate,Sheet1!AE$21,0))))))))</f>
        <v>0</v>
      </c>
      <c r="AC598" s="415">
        <f>IF(AC597=0,0,(IF(($B$203+$C$203+$D$203+$E$203+$F$203+$G$203)&lt;=25000,(($G$203/+$AH597)*AC597)*VLOOKUP('1. SUMMARY'!$C$20,rate,Sheet1!AF$21,0),((IF(($F$203+$B$203+$C$203+$D$203+$E$203)&gt;=25000,0,(((25000-($B$203+$C$203+$D$203+$E$203+$F$203))/+$AH597)*AC597)*(VLOOKUP('1. SUMMARY'!$C$20,rate,Sheet1!AF$21,0))))))))</f>
        <v>0</v>
      </c>
      <c r="AD598" s="415">
        <f>IF(AD597=0,0,(IF(($B$203+$C$203+$D$203+$E$203+$F$203+$G$203)&lt;=25000,(($G$203/+$AH597)*AD597)*VLOOKUP('1. SUMMARY'!$C$20,rate,Sheet1!AG$21,0),((IF(($F$203+$B$203+$C$203+$D$203+$E$203)&gt;=25000,0,(((25000-($B$203+$C$203+$D$203+$E$203+$F$203))/+$AH597)*AD597)*(VLOOKUP('1. SUMMARY'!$C$20,rate,Sheet1!AG$21,0))))))))</f>
        <v>0</v>
      </c>
      <c r="AE598" s="415">
        <f>IF(AE597=0,0,(IF(($B$203+$C$203+$D$203+$E$203+$F$203+$G$203)&lt;=25000,(($G$203/+$AH597)*AE597)*VLOOKUP('1. SUMMARY'!$C$20,rate,Sheet1!AH$21,0),((IF(($F$203+$B$203+$C$203+$D$203+$E$203)&gt;=25000,0,(((25000-($B$203+$C$203+$D$203+$E$203+$F$203))/+$AH597)*AE597)*(VLOOKUP('1. SUMMARY'!$C$20,rate,Sheet1!AH$21,0))))))))</f>
        <v>0</v>
      </c>
      <c r="AF598" s="415">
        <f>IF(AF597=0,0,(IF(($B$203+$C$203+$D$203+$E$203+$F$203+$G$203)&lt;=25000,(($G$203/+$AH597)*AF597)*VLOOKUP('1. SUMMARY'!$C$20,rate,Sheet1!AI$21,0),((IF(($F$203+$B$203+$C$203+$D$203+$E$203)&gt;=25000,0,(((25000-($B$203+$C$203+$D$203+$E$203+$F$203))/+$AH597)*AF597)*(VLOOKUP('1. SUMMARY'!$C$20,rate,Sheet1!AI$21,0))))))))</f>
        <v>0</v>
      </c>
      <c r="AG598" s="415">
        <f>IF(AG597=0,0,(IF(($B$203+$C$203+$D$203+$E$203+$F$203+$G$203)&lt;=25000,(($G$203/+$AH597)*AG597)*VLOOKUP('1. SUMMARY'!$C$20,rate,Sheet1!AJ$21,0),((IF(($F$203+$B$203+$C$203+$D$203+$E$203)&gt;=25000,0,(((25000-($B$203+$C$203+$D$203+$E$203+$F$203))/+$AH597)*AG597)*(VLOOKUP('1. SUMMARY'!$C$20,rate,Sheet1!AJ$21,0))))))))</f>
        <v>0</v>
      </c>
      <c r="AH598" s="219">
        <f>SUM(Q598:AG598)</f>
        <v>0</v>
      </c>
      <c r="AI598" s="415">
        <f>IF(AI597=0,0,((+$G203/$AZ597)*AI597)*VLOOKUP('1. SUMMARY'!$C$20,rate,Sheet1!T$21,0))</f>
        <v>0</v>
      </c>
      <c r="AJ598" s="415">
        <f>IF(AJ597=0,0,((+$G203/$AZ597)*AJ597)*VLOOKUP('1. SUMMARY'!$C$20,rate,Sheet1!U$21,0))</f>
        <v>0</v>
      </c>
      <c r="AK598" s="415">
        <f>IF(AK597=0,0,((+$G203/$AZ597)*AK597)*VLOOKUP('1. SUMMARY'!$C$20,rate,Sheet1!V$21,0))</f>
        <v>0</v>
      </c>
      <c r="AL598" s="415">
        <f>IF(AL597=0,0,((+$G203/$AZ597)*AL597)*VLOOKUP('1. SUMMARY'!$C$20,rate,Sheet1!W$21,0))</f>
        <v>0</v>
      </c>
      <c r="AM598" s="415">
        <f>IF(AM597=0,0,((+$G203/$AZ597)*AM597)*VLOOKUP('1. SUMMARY'!$C$20,rate,Sheet1!X$21,0))</f>
        <v>0</v>
      </c>
      <c r="AN598" s="415">
        <f>IF(AN597=0,0,((+$G203/$AZ597)*AN597)*VLOOKUP('1. SUMMARY'!$C$20,rate,Sheet1!Y$21,0))</f>
        <v>0</v>
      </c>
      <c r="AO598" s="415">
        <f>IF(AO597=0,0,((+$G203/$AZ597)*AO597)*VLOOKUP('1. SUMMARY'!$C$20,rate,Sheet1!Z$21,0))</f>
        <v>0</v>
      </c>
      <c r="AP598" s="415">
        <f>IF(AP597=0,0,((+$G203/$AZ597)*AP597)*VLOOKUP('1. SUMMARY'!$C$20,rate,Sheet1!AA$21,0))</f>
        <v>0</v>
      </c>
      <c r="AQ598" s="415">
        <f>IF(AQ597=0,0,((+$G203/$AZ597)*AQ597)*VLOOKUP('1. SUMMARY'!$C$20,rate,Sheet1!AB$21,0))</f>
        <v>0</v>
      </c>
      <c r="AR598" s="415">
        <f>IF(AR597=0,0,((+$G203/$AZ597)*AR597)*VLOOKUP('1. SUMMARY'!$C$20,rate,Sheet1!AC$21,0))</f>
        <v>0</v>
      </c>
      <c r="AS598" s="415">
        <f>IF(AS597=0,0,((+$G203/$AZ597)*AS597)*VLOOKUP('1. SUMMARY'!$C$20,rate,Sheet1!AD$21,0))</f>
        <v>0</v>
      </c>
      <c r="AT598" s="415">
        <f>IF(AT597=0,0,((+$G203/$AZ597)*AT597)*VLOOKUP('1. SUMMARY'!$C$20,rate,Sheet1!AE$21,0))</f>
        <v>0</v>
      </c>
      <c r="AU598" s="415">
        <f>IF(AU597=0,0,((+$G203/$AZ597)*AU597)*VLOOKUP('1. SUMMARY'!$C$20,rate,Sheet1!AF$21,0))</f>
        <v>0</v>
      </c>
      <c r="AV598" s="415">
        <f>IF(AV597=0,0,((+$G203/$AZ597)*AV597)*VLOOKUP('1. SUMMARY'!$C$20,rate,Sheet1!AG$21,0))</f>
        <v>0</v>
      </c>
      <c r="AW598" s="415">
        <f>IF(AW597=0,0,((+$G203/$AZ597)*AW597)*VLOOKUP('1. SUMMARY'!$C$20,rate,Sheet1!AH$21,0))</f>
        <v>0</v>
      </c>
      <c r="AX598" s="415">
        <f>IF(AX597=0,0,((+$G203/$AZ597)*AX597)*VLOOKUP('1. SUMMARY'!$C$20,rate,Sheet1!AI$21,0))</f>
        <v>0</v>
      </c>
      <c r="AY598" s="415">
        <f>IF(AY597=0,0,((+$G203/$AZ597)*AY597)*VLOOKUP('1. SUMMARY'!$C$20,rate,Sheet1!AJ$21,0))</f>
        <v>0</v>
      </c>
      <c r="AZ598" s="415">
        <f>SUM(AI598:AY598)</f>
        <v>0</v>
      </c>
    </row>
    <row r="599" spans="17:52" hidden="1">
      <c r="Q599" s="415">
        <f>+Q598/VLOOKUP('1. SUMMARY'!$C$20,rate,Sheet1!T$21,0)</f>
        <v>0</v>
      </c>
      <c r="R599" s="415">
        <f>+R598/VLOOKUP('1. SUMMARY'!$C$20,rate,Sheet1!U$21,0)</f>
        <v>0</v>
      </c>
      <c r="S599" s="415">
        <f>+S598/VLOOKUP('1. SUMMARY'!$C$20,rate,Sheet1!V$21,0)</f>
        <v>0</v>
      </c>
      <c r="T599" s="415">
        <f>+T598/VLOOKUP('1. SUMMARY'!$C$20,rate,Sheet1!W$21,0)</f>
        <v>0</v>
      </c>
      <c r="U599" s="415">
        <f>+U598/VLOOKUP('1. SUMMARY'!$C$20,rate,Sheet1!X$21,0)</f>
        <v>0</v>
      </c>
      <c r="V599" s="415">
        <f>+V598/VLOOKUP('1. SUMMARY'!$C$20,rate,Sheet1!Y$21,0)</f>
        <v>0</v>
      </c>
      <c r="W599" s="415">
        <f>+W598/VLOOKUP('1. SUMMARY'!$C$20,rate,Sheet1!Z$21,0)</f>
        <v>0</v>
      </c>
      <c r="X599" s="415">
        <f>+X598/VLOOKUP('1. SUMMARY'!$C$20,rate,Sheet1!AA$21,0)</f>
        <v>0</v>
      </c>
      <c r="Y599" s="415">
        <f>+Y598/VLOOKUP('1. SUMMARY'!$C$20,rate,Sheet1!AB$21,0)</f>
        <v>0</v>
      </c>
      <c r="Z599" s="415">
        <f>+Z598/VLOOKUP('1. SUMMARY'!$C$20,rate,Sheet1!AC$21,0)</f>
        <v>0</v>
      </c>
      <c r="AA599" s="415">
        <f>+AA598/VLOOKUP('1. SUMMARY'!$C$20,rate,Sheet1!AD$21,0)</f>
        <v>0</v>
      </c>
      <c r="AB599" s="415">
        <f>+AB598/VLOOKUP('1. SUMMARY'!$C$20,rate,Sheet1!AE$21,0)</f>
        <v>0</v>
      </c>
      <c r="AC599" s="415">
        <f>+AC598/VLOOKUP('1. SUMMARY'!$C$20,rate,Sheet1!AF$21,0)</f>
        <v>0</v>
      </c>
      <c r="AD599" s="415">
        <f>+AD598/VLOOKUP('1. SUMMARY'!$C$20,rate,Sheet1!AG$21,0)</f>
        <v>0</v>
      </c>
      <c r="AE599" s="415">
        <f>+AE598/VLOOKUP('1. SUMMARY'!$C$20,rate,Sheet1!AH$21,0)</f>
        <v>0</v>
      </c>
      <c r="AF599" s="415">
        <f>+AF598/VLOOKUP('1. SUMMARY'!$C$20,rate,Sheet1!AI$21,0)</f>
        <v>0</v>
      </c>
      <c r="AG599" s="415">
        <f>+AG598/VLOOKUP('1. SUMMARY'!$C$20,rate,Sheet1!AJ$21,0)</f>
        <v>0</v>
      </c>
      <c r="AH599" s="219">
        <f>SUM(Q599:AG599)</f>
        <v>0</v>
      </c>
      <c r="AI599" s="415"/>
      <c r="AJ599" s="415"/>
      <c r="AK599" s="415"/>
      <c r="AL599" s="415"/>
      <c r="AM599" s="415"/>
      <c r="AN599" s="415"/>
      <c r="AO599" s="415"/>
      <c r="AP599" s="415"/>
      <c r="AQ599" s="415"/>
      <c r="AR599" s="415"/>
      <c r="AS599" s="415"/>
      <c r="AT599" s="415"/>
      <c r="AU599" s="415"/>
      <c r="AV599" s="415"/>
      <c r="AW599" s="415"/>
      <c r="AX599" s="415"/>
      <c r="AY599" s="415"/>
      <c r="AZ599" s="415"/>
    </row>
    <row r="600" spans="17:52" hidden="1">
      <c r="Q600" s="411">
        <f>Sheet1!$T$8</f>
        <v>44105</v>
      </c>
      <c r="R600" s="411">
        <f>Sheet1!$U$8</f>
        <v>44470</v>
      </c>
      <c r="S600" s="411">
        <f>Sheet1!$V$8</f>
        <v>44835</v>
      </c>
      <c r="T600" s="411">
        <f>Sheet1!$W$8</f>
        <v>45200</v>
      </c>
      <c r="U600" s="411">
        <f>Sheet1!$X$8</f>
        <v>45566</v>
      </c>
      <c r="V600" s="411">
        <f>Sheet1!$Y$8</f>
        <v>45931</v>
      </c>
      <c r="W600" s="411">
        <f>Sheet1!$Z$8</f>
        <v>46296</v>
      </c>
      <c r="X600" s="411">
        <f>Sheet1!$AA$8</f>
        <v>46661</v>
      </c>
      <c r="Y600" s="411">
        <f>Sheet1!$AB$8</f>
        <v>47027</v>
      </c>
      <c r="Z600" s="411">
        <f>Sheet1!$AC$8</f>
        <v>47392</v>
      </c>
      <c r="AA600" s="411">
        <f>$AA$5</f>
        <v>47757</v>
      </c>
      <c r="AB600" s="411">
        <f>$AB$5</f>
        <v>48122</v>
      </c>
      <c r="AC600" s="411">
        <f>$AC$5</f>
        <v>48488</v>
      </c>
      <c r="AD600" s="411">
        <f>$AD$5</f>
        <v>48853</v>
      </c>
      <c r="AE600" s="411">
        <f>$AE$5</f>
        <v>49218</v>
      </c>
      <c r="AF600" s="411">
        <f>$AF$5</f>
        <v>49583</v>
      </c>
      <c r="AG600" s="411">
        <f>$AG$5</f>
        <v>49949</v>
      </c>
      <c r="AH600" s="219"/>
      <c r="AI600" s="411">
        <f t="shared" ref="AI600:AR602" si="270">+Q600</f>
        <v>44105</v>
      </c>
      <c r="AJ600" s="411">
        <f t="shared" si="270"/>
        <v>44470</v>
      </c>
      <c r="AK600" s="411">
        <f t="shared" si="270"/>
        <v>44835</v>
      </c>
      <c r="AL600" s="411">
        <f t="shared" si="270"/>
        <v>45200</v>
      </c>
      <c r="AM600" s="411">
        <f t="shared" si="270"/>
        <v>45566</v>
      </c>
      <c r="AN600" s="411">
        <f t="shared" si="270"/>
        <v>45931</v>
      </c>
      <c r="AO600" s="411">
        <f t="shared" si="270"/>
        <v>46296</v>
      </c>
      <c r="AP600" s="411">
        <f t="shared" si="270"/>
        <v>46661</v>
      </c>
      <c r="AQ600" s="411">
        <f t="shared" si="270"/>
        <v>47027</v>
      </c>
      <c r="AR600" s="411">
        <f t="shared" si="270"/>
        <v>47392</v>
      </c>
      <c r="AS600" s="411">
        <f t="shared" ref="AS600:AY602" si="271">+AA600</f>
        <v>47757</v>
      </c>
      <c r="AT600" s="411">
        <f t="shared" si="271"/>
        <v>48122</v>
      </c>
      <c r="AU600" s="411">
        <f t="shared" si="271"/>
        <v>48488</v>
      </c>
      <c r="AV600" s="411">
        <f t="shared" si="271"/>
        <v>48853</v>
      </c>
      <c r="AW600" s="411">
        <f t="shared" si="271"/>
        <v>49218</v>
      </c>
      <c r="AX600" s="411">
        <f t="shared" si="271"/>
        <v>49583</v>
      </c>
      <c r="AY600" s="411">
        <f t="shared" si="271"/>
        <v>49949</v>
      </c>
      <c r="AZ600" s="411"/>
    </row>
    <row r="601" spans="17:52" hidden="1">
      <c r="Q601" s="411">
        <f>Sheet1!$T$9</f>
        <v>44469</v>
      </c>
      <c r="R601" s="411">
        <f>Sheet1!$U$9</f>
        <v>44834</v>
      </c>
      <c r="S601" s="411">
        <f>Sheet1!$V$9</f>
        <v>45199</v>
      </c>
      <c r="T601" s="411">
        <f>Sheet1!$W$9</f>
        <v>45565</v>
      </c>
      <c r="U601" s="411">
        <f>Sheet1!$X$9</f>
        <v>45930</v>
      </c>
      <c r="V601" s="411">
        <f>Sheet1!$Y$9</f>
        <v>46295</v>
      </c>
      <c r="W601" s="411">
        <f>Sheet1!$Z$9</f>
        <v>46660</v>
      </c>
      <c r="X601" s="411">
        <f>Sheet1!$AA$9</f>
        <v>47026</v>
      </c>
      <c r="Y601" s="411">
        <f>Sheet1!$AB$9</f>
        <v>47391</v>
      </c>
      <c r="Z601" s="411">
        <f>Sheet1!$AC$9</f>
        <v>47756</v>
      </c>
      <c r="AA601" s="411">
        <f>$AA$6</f>
        <v>48121</v>
      </c>
      <c r="AB601" s="411">
        <f>$AB$6</f>
        <v>48487</v>
      </c>
      <c r="AC601" s="411">
        <f>$AC$6</f>
        <v>48852</v>
      </c>
      <c r="AD601" s="411">
        <f>$AD$6</f>
        <v>49217</v>
      </c>
      <c r="AE601" s="411">
        <f>$AE$6</f>
        <v>49582</v>
      </c>
      <c r="AF601" s="411">
        <f>$AF$6</f>
        <v>49948</v>
      </c>
      <c r="AG601" s="411">
        <f>$AG$6</f>
        <v>50313</v>
      </c>
      <c r="AH601" s="219"/>
      <c r="AI601" s="411">
        <f t="shared" si="270"/>
        <v>44469</v>
      </c>
      <c r="AJ601" s="411">
        <f t="shared" si="270"/>
        <v>44834</v>
      </c>
      <c r="AK601" s="411">
        <f t="shared" si="270"/>
        <v>45199</v>
      </c>
      <c r="AL601" s="411">
        <f t="shared" si="270"/>
        <v>45565</v>
      </c>
      <c r="AM601" s="411">
        <f t="shared" si="270"/>
        <v>45930</v>
      </c>
      <c r="AN601" s="411">
        <f t="shared" si="270"/>
        <v>46295</v>
      </c>
      <c r="AO601" s="411">
        <f t="shared" si="270"/>
        <v>46660</v>
      </c>
      <c r="AP601" s="411">
        <f t="shared" si="270"/>
        <v>47026</v>
      </c>
      <c r="AQ601" s="411">
        <f t="shared" si="270"/>
        <v>47391</v>
      </c>
      <c r="AR601" s="411">
        <f t="shared" si="270"/>
        <v>47756</v>
      </c>
      <c r="AS601" s="411">
        <f t="shared" si="271"/>
        <v>48121</v>
      </c>
      <c r="AT601" s="411">
        <f t="shared" si="271"/>
        <v>48487</v>
      </c>
      <c r="AU601" s="411">
        <f t="shared" si="271"/>
        <v>48852</v>
      </c>
      <c r="AV601" s="411">
        <f t="shared" si="271"/>
        <v>49217</v>
      </c>
      <c r="AW601" s="411">
        <f t="shared" si="271"/>
        <v>49582</v>
      </c>
      <c r="AX601" s="411">
        <f t="shared" si="271"/>
        <v>49948</v>
      </c>
      <c r="AY601" s="411">
        <f t="shared" si="271"/>
        <v>50313</v>
      </c>
      <c r="AZ601" s="411"/>
    </row>
    <row r="602" spans="17:52" hidden="1">
      <c r="Q602" s="412">
        <f>IF(IF(Q601&lt;$H$27,0,DATEDIF($H$27,Q601+1,"m"))&lt;0,0,IF(Q601&lt;$H$27,0,DATEDIF($H$27,Q601+1,"m")))</f>
        <v>0</v>
      </c>
      <c r="R602" s="412">
        <f>IF(IF(Q602=12,0,IF(R601&gt;$H$28,12-DATEDIF($H$28,R601+1,"m"),IF(R601&lt;$H$27,0,DATEDIF($H$27,R601+1,"m"))))&lt;0,0,IF(Q602=12,0,IF(R601&gt;$H$28,12-DATEDIF($H$28,R601+1,"m"),IF(R601&lt;$H$27,0,DATEDIF($H$27,R601+1,"m")))))</f>
        <v>0</v>
      </c>
      <c r="S602" s="412">
        <f>IF(IF(Q602+R602=12,0,IF(S601&gt;$H$28,12-DATEDIF($H$28,S601+1,"m"),IF(S601&lt;$H$27,0,DATEDIF($H$27,S601+1,"m"))))&lt;0,0,IF(Q602+R602=12,0,IF(S601&gt;$H$28,12-DATEDIF($H$28,S601+1,"m"),IF(S601&lt;$H$27,0,DATEDIF($H$27,S601+1,"m")))))</f>
        <v>0</v>
      </c>
      <c r="T602" s="412">
        <f>IF(IF(R602+S602+Q602=12,0,IF(T601&gt;$H$28,12-DATEDIF($H$28,T601+1,"m"),IF(T601&lt;$H$27,0,DATEDIF($H$27,T601+1,"m"))))&lt;0,0,IF(R602+S602+Q602=12,0,IF(T601&gt;$H$28,12-DATEDIF($H$28,T601+1,"m"),IF(T601&lt;$H$27,0,DATEDIF($H$27,T601+1,"m")))))</f>
        <v>0</v>
      </c>
      <c r="U602" s="412">
        <f>IF(IF(S602+T602+R602+Q602=12,0,IF(U601&gt;$H$28,12-DATEDIF($H$28,U601+1,"m"),IF(U601&lt;$H$27,0,DATEDIF($H$27,U601+1,"m"))))&lt;0,0,IF(S602+T602+R602+Q602=12,0,IF(U601&gt;$H$28,12-DATEDIF($H$28,U601+1,"m"),IF(U601&lt;$H$27,0,DATEDIF($H$27,U601+1,"m")))))</f>
        <v>0</v>
      </c>
      <c r="V602" s="412">
        <f>IF(IF(T602+U602+S602+R602+Q602=12,0,IF(V601&gt;$H$28,12-DATEDIF($H$28,V601+1,"m"),IF(V601&lt;$H$27,0,DATEDIF($H$27,V601+1,"m"))))&lt;0,0,IF(T602+U602+S602+R602+Q602=12,0,IF(V601&gt;$H$28,12-DATEDIF($H$28,V601+1,"m"),IF(V601&lt;$H$27,0,DATEDIF($H$27,V601+1,"m")))))</f>
        <v>0</v>
      </c>
      <c r="W602" s="412">
        <f>IF(IF(U602+V602+T602+S602+R602+Q602=12,0,IF(W601&gt;$H$28,12-DATEDIF($H$28,W601+1,"m"),IF(W601&lt;$H$27,0,DATEDIF($H$27,W601+1,"m"))))&lt;0,0,IF(U602+V602+T602+S602+R602+Q602=12,0,IF(W601&gt;$H$28,12-DATEDIF($H$28,W601+1,"m"),IF(W601&lt;$H$27,0,DATEDIF($H$27,W601+1,"m")))))</f>
        <v>0</v>
      </c>
      <c r="X602" s="412">
        <f>IF(IF(V602+W602+U602+T602+S602+R602+Q602=12,0,IF(X601&gt;$H$28,12-DATEDIF($H$28,X601+1,"m"),IF(X601&lt;$H$27,0,DATEDIF($H$27,X601+1,"m"))))&lt;0,0,IF(V602+W602+U602+T602+S602+R602+Q602=12,0,IF(X601&gt;$H$28,12-DATEDIF($H$28,X601+1,"m"),IF(X601&lt;$H$27,0,DATEDIF($H$27,X601+1,"m")))))</f>
        <v>0</v>
      </c>
      <c r="Y602" s="412">
        <f>IF(IF(W602+X602+V602+U602+T602+S602+R602+Q602=12,0,IF(Y601&gt;$H$28,12-DATEDIF($H$28,Y601+1,"m"),IF(Y601&lt;$H$27,0,DATEDIF($H$27,Y601+1,"m"))))&lt;0,0,IF(W602+X602+V602+U602+T602+S602+R602+Q602=12,0,IF(Y601&gt;$H$28,12-DATEDIF($H$28,Y601+1,"m"),IF(Y601&lt;$H$27,0,DATEDIF($H$27,Y601+1,"m")))))</f>
        <v>0</v>
      </c>
      <c r="Z602" s="412">
        <f>IF(IF(X602+Y602+W602+V602+U602+T602+S602+R602+Q602=12,0,IF(Z601&gt;$H$28,12-DATEDIF($H$28,Z601+1,"m"),IF(Z601&lt;$H$27,0,DATEDIF($H$27,Z601+1,"m"))))&lt;0,0,IF(X602+Y602+W602+V602+U602+T602+S602+R602+Q602=12,0,IF(Z601&gt;$H$28,12-DATEDIF($H$28,Z601+1,"m"),IF(Z601&lt;$H$27,0,DATEDIF($H$27,Z601+1,"m")))))</f>
        <v>0</v>
      </c>
      <c r="AA602" s="412">
        <f>IF(IF(Q602+R602+S602+Y602+Z602+X602+W602+V602+U602+T602=12,0,IF(AA601&gt;$H$28,12-DATEDIF($H$28,AA601+1,"m"),IF(AA601&lt;$H$27,0,DATEDIF($H$27,AA601+1,"m"))))&lt;0,0,IF(Q602+R602+S602+Y602+Z602+X602+W602+V602+U602+T602=12,0,IF(AA601&gt;$H$28,12-DATEDIF($H$28,AA601+1,"m"),IF(AA601&lt;$H$27,0,DATEDIF($H$27,AA601+1,"m")))))</f>
        <v>0</v>
      </c>
      <c r="AB602" s="412">
        <f>IF(IF(Q602+R602+S602+T602+Z602+AA602+Y602+X602+W602+V602+U602=12,0,IF(AB601&gt;$H$28,12-DATEDIF($H$28,AB601+1,"m"),IF(AB601&lt;$H$27,0,DATEDIF($H$27,AB601+1,"m"))))&lt;0,0,IF(Q602+R602+S602+T602+Z602+AA602+Y602+X602+W602+V602+U602=12,0,IF(AB601&gt;$H$28,12-DATEDIF($H$28,AB601+1,"m"),IF(AB601&lt;$H$27,0,DATEDIF($H$27,AB601+1,"m")))))</f>
        <v>0</v>
      </c>
      <c r="AC602" s="412">
        <f>IF(IF(Q602+R602+S602+T602+U602+AA602+AB602+Z602+Y602+X602+W602+V602=12,0,IF(AC601&gt;$H$28,12-DATEDIF($H$28,AC601+1,"m"),IF(AC601&lt;$H$27,0,DATEDIF($H$27,AC601+1,"m"))))&lt;0,0,IF(Q602+R602+S602+T602+U602+AA602+AB602+Z602+Y602+X602+W602+V602=12,0,IF(AC601&gt;$H$28,12-DATEDIF($H$28,AC601+1,"m"),IF(AC601&lt;$H$27,0,DATEDIF($H$27,AC601+1,"m")))))</f>
        <v>0</v>
      </c>
      <c r="AD602" s="412">
        <f>IF(IF(Q602+R602+S602+T602+U602+V602+AB602+AC602+AA602+Z602+Y602+X602+W602=12,0,IF(AD601&gt;$H$28,12-DATEDIF($H$28,AD601+1,"m"),IF(AD601&lt;$H$27,0,DATEDIF($H$27,AD601+1,"m"))))&lt;0,0,IF(Q602+R602+S602+T602+U602+V602+AB602+AC602+AA602+Z602+Y602+X602+W602=12,0,IF(AD601&gt;$H$28,12-DATEDIF($H$28,AD601+1,"m"),IF(AD601&lt;$H$27,0,DATEDIF($H$27,AD601+1,"m")))))</f>
        <v>0</v>
      </c>
      <c r="AE602" s="412">
        <f>IF(IF(Q602+R602+S602+T602+U602+V602+W602+AC602+AD602+AB602+AA602+Z602+Y602+X602=12,0,IF(AE601&gt;$H$28,12-DATEDIF($H$28,AE601+1,"m"),IF(AE601&lt;$H$27,0,DATEDIF($H$27,AE601+1,"m"))))&lt;0,0,IF(Q602+R602+S602+T602+U602+V602+W602+AC602+AD602+AB602+AA602+Z602+Y602+X602=12,0,IF(AE601&gt;$H$28,12-DATEDIF($H$28,AE601+1,"m"),IF(AE601&lt;$H$27,0,DATEDIF($H$27,AE601+1,"m")))))</f>
        <v>0</v>
      </c>
      <c r="AF602" s="412">
        <f>IF(IF(Q602+R602+S602+T602+U602+V602+W602+X602+AD602+AE602+AC602+AB602+AA602+Z602+Y602=12,0,IF(AF601&gt;$H$28,12-DATEDIF($H$28,AF601+1,"m"),IF(AF601&lt;$H$27,0,DATEDIF($H$27,AF601+1,"m"))))&lt;0,0,IF(Q602+R602+S602+T602+U602+V602+W602+X602+AD602+AE602+AC602+AB602+AA602+Z602+Y602=12,0,IF(AF601&gt;$H$28,12-DATEDIF($H$28,AF601+1,"m"),IF(AF601&lt;$H$27,0,DATEDIF($H$27,AF601+1,"m")))))</f>
        <v>0</v>
      </c>
      <c r="AG602" s="412">
        <f>IF(IF(Q602+R602+S602+T602+U602+V602+W602+X602+Y602+AE602+AF602+AD602+AC602+AB602+AA602+Z602=12,0,IF(AG601&gt;$H$28,12-DATEDIF($H$28,AG601+1,"m"),IF(AG601&lt;$H$27,0,DATEDIF($H$27,AG601+1,"m"))))&lt;0,0,IF(Q602+R602+S602+T602+U602+V602+W602+X602+Y602+AE602+AF602+AD602+AC602+AB602+AA602+Z602=12,0,IF(AG601&gt;$H$28,12-DATEDIF($H$28,AG601+1,"m"),IF(AG601&lt;$H$27,0,DATEDIF($H$27,AG601+1,"m")))))</f>
        <v>0</v>
      </c>
      <c r="AH602" s="423">
        <f>SUM(Q602:AG602)</f>
        <v>0</v>
      </c>
      <c r="AI602" s="425">
        <f t="shared" si="270"/>
        <v>0</v>
      </c>
      <c r="AJ602" s="425">
        <f t="shared" si="270"/>
        <v>0</v>
      </c>
      <c r="AK602" s="425">
        <f t="shared" si="270"/>
        <v>0</v>
      </c>
      <c r="AL602" s="425">
        <f t="shared" si="270"/>
        <v>0</v>
      </c>
      <c r="AM602" s="425">
        <f t="shared" si="270"/>
        <v>0</v>
      </c>
      <c r="AN602" s="425">
        <f t="shared" si="270"/>
        <v>0</v>
      </c>
      <c r="AO602" s="425">
        <f t="shared" si="270"/>
        <v>0</v>
      </c>
      <c r="AP602" s="425">
        <f t="shared" si="270"/>
        <v>0</v>
      </c>
      <c r="AQ602" s="425">
        <f t="shared" si="270"/>
        <v>0</v>
      </c>
      <c r="AR602" s="425">
        <f t="shared" si="270"/>
        <v>0</v>
      </c>
      <c r="AS602" s="425">
        <f t="shared" si="271"/>
        <v>0</v>
      </c>
      <c r="AT602" s="425">
        <f t="shared" si="271"/>
        <v>0</v>
      </c>
      <c r="AU602" s="425">
        <f t="shared" si="271"/>
        <v>0</v>
      </c>
      <c r="AV602" s="425">
        <f t="shared" si="271"/>
        <v>0</v>
      </c>
      <c r="AW602" s="425">
        <f t="shared" si="271"/>
        <v>0</v>
      </c>
      <c r="AX602" s="425">
        <f t="shared" si="271"/>
        <v>0</v>
      </c>
      <c r="AY602" s="425">
        <f t="shared" si="271"/>
        <v>0</v>
      </c>
      <c r="AZ602" s="425">
        <f>SUM(AI602:AY602)</f>
        <v>0</v>
      </c>
    </row>
    <row r="603" spans="17:52" hidden="1">
      <c r="Q603" s="412">
        <f>IF(Q602=0,0,(IF(($B$203+$C$203+$D$203+$E$203+$F$203+$G$203+$H$203)&lt;=25000,(($H$203/+$AH602)*Q602)*VLOOKUP('1. SUMMARY'!$C$20,rate,Sheet1!T$21,0),((IF(($F$203+$B$203+$C$203+$D$203+$E$203+$G$203)&gt;=25000,0,(((25000-($B$203+$C$203+$D$203+$E$203+$F$203+$G$203))/+$AH602)*Q602)*(VLOOKUP('1. SUMMARY'!$C$20,rate,Sheet1!T$21,0))))))))</f>
        <v>0</v>
      </c>
      <c r="R603" s="412">
        <f>IF(R602=0,0,(IF(($B$203+$C$203+$D$203+$E$203+$F$203+$G$203+$H$203)&lt;=25000,(($H$203/+$AH602)*R602)*VLOOKUP('1. SUMMARY'!$C$20,rate,Sheet1!U$21,0),((IF(($F$203+$B$203+$C$203+$D$203+$E$203+$G$203)&gt;=25000,0,(((25000-($B$203+$C$203+$D$203+$E$203+$F$203+$G$203))/+$AH602)*R602)*(VLOOKUP('1. SUMMARY'!$C$20,rate,Sheet1!U$21,0))))))))</f>
        <v>0</v>
      </c>
      <c r="S603" s="412">
        <f>IF(S602=0,0,(IF(($B$203+$C$203+$D$203+$E$203+$F$203+$G$203+$H$203)&lt;=25000,(($H$203/+$AH602)*S602)*VLOOKUP('1. SUMMARY'!$C$20,rate,Sheet1!V$21,0),((IF(($F$203+$B$203+$C$203+$D$203+$E$203+$G$203)&gt;=25000,0,(((25000-($B$203+$C$203+$D$203+$E$203+$F$203+$G$203))/+$AH602)*S602)*(VLOOKUP('1. SUMMARY'!$C$20,rate,Sheet1!V$21,0))))))))</f>
        <v>0</v>
      </c>
      <c r="T603" s="412">
        <f>IF(T602=0,0,(IF(($B$203+$C$203+$D$203+$E$203+$F$203+$G$203+$H$203)&lt;=25000,(($H$203/+$AH602)*T602)*VLOOKUP('1. SUMMARY'!$C$20,rate,Sheet1!W$21,0),((IF(($F$203+$B$203+$C$203+$D$203+$E$203+$G$203)&gt;=25000,0,(((25000-($B$203+$C$203+$D$203+$E$203+$F$203+$G$203))/+$AH602)*T602)*(VLOOKUP('1. SUMMARY'!$C$20,rate,Sheet1!W$21,0))))))))</f>
        <v>0</v>
      </c>
      <c r="U603" s="412">
        <f>IF(U602=0,0,(IF(($B$203+$C$203+$D$203+$E$203+$F$203+$G$203+$H$203)&lt;=25000,(($H$203/+$AH602)*U602)*VLOOKUP('1. SUMMARY'!$C$20,rate,Sheet1!X$21,0),((IF(($F$203+$B$203+$C$203+$D$203+$E$203+$G$203)&gt;=25000,0,(((25000-($B$203+$C$203+$D$203+$E$203+$F$203+$G$203))/+$AH602)*U602)*(VLOOKUP('1. SUMMARY'!$C$20,rate,Sheet1!X$21,0))))))))</f>
        <v>0</v>
      </c>
      <c r="V603" s="412">
        <f>IF(V602=0,0,(IF(($B$203+$C$203+$D$203+$E$203+$F$203+$G$203+$H$203)&lt;=25000,(($H$203/+$AH602)*V602)*VLOOKUP('1. SUMMARY'!$C$20,rate,Sheet1!Y$21,0),((IF(($F$203+$B$203+$C$203+$D$203+$E$203+$G$203)&gt;=25000,0,(((25000-($B$203+$C$203+$D$203+$E$203+$F$203+$G$203))/+$AH602)*V602)*(VLOOKUP('1. SUMMARY'!$C$20,rate,Sheet1!Y$21,0))))))))</f>
        <v>0</v>
      </c>
      <c r="W603" s="412">
        <f>IF(W602=0,0,(IF(($B$203+$C$203+$D$203+$E$203+$F$203+$G$203+$H$203)&lt;=25000,(($H$203/+$AH602)*W602)*VLOOKUP('1. SUMMARY'!$C$20,rate,Sheet1!Z$21,0),((IF(($F$203+$B$203+$C$203+$D$203+$E$203+$G$203)&gt;=25000,0,(((25000-($B$203+$C$203+$D$203+$E$203+$F$203+$G$203))/+$AH602)*W602)*(VLOOKUP('1. SUMMARY'!$C$20,rate,Sheet1!Z$21,0))))))))</f>
        <v>0</v>
      </c>
      <c r="X603" s="412">
        <f>IF(X602=0,0,(IF(($B$203+$C$203+$D$203+$E$203+$F$203+$G$203+$H$203)&lt;=25000,(($H$203/+$AH602)*X602)*VLOOKUP('1. SUMMARY'!$C$20,rate,Sheet1!AA$21,0),((IF(($F$203+$B$203+$C$203+$D$203+$E$203+$G$203)&gt;=25000,0,(((25000-($B$203+$C$203+$D$203+$E$203+$F$203+$G$203))/+$AH602)*X602)*(VLOOKUP('1. SUMMARY'!$C$20,rate,Sheet1!AA$21,0))))))))</f>
        <v>0</v>
      </c>
      <c r="Y603" s="412">
        <f>IF(Y602=0,0,(IF(($B$203+$C$203+$D$203+$E$203+$F$203+$G$203+$H$203)&lt;=25000,(($H$203/+$AH602)*Y602)*VLOOKUP('1. SUMMARY'!$C$20,rate,Sheet1!AB$21,0),((IF(($F$203+$B$203+$C$203+$D$203+$E$203+$G$203)&gt;=25000,0,(((25000-($B$203+$C$203+$D$203+$E$203+$F$203+$G$203))/+$AH602)*Y602)*(VLOOKUP('1. SUMMARY'!$C$20,rate,Sheet1!AB$21,0))))))))</f>
        <v>0</v>
      </c>
      <c r="Z603" s="412">
        <f>IF(Z602=0,0,(IF(($B$203+$C$203+$D$203+$E$203+$F$203+$G$203+$H$203)&lt;=25000,(($H$203/+$AH602)*Z602)*VLOOKUP('1. SUMMARY'!$C$20,rate,Sheet1!AC$21,0),((IF(($F$203+$B$203+$C$203+$D$203+$E$203+$G$203)&gt;=25000,0,(((25000-($B$203+$C$203+$D$203+$E$203+$F$203+$G$203))/+$AH602)*Z602)*(VLOOKUP('1. SUMMARY'!$C$20,rate,Sheet1!AC$21,0))))))))</f>
        <v>0</v>
      </c>
      <c r="AA603" s="412">
        <f>IF(AA602=0,0,(IF(($B$203+$C$203+$D$203+$E$203+$F$203+$G$203+$H$203)&lt;=25000,(($H$203/+$AH602)*AA602)*VLOOKUP('1. SUMMARY'!$C$20,rate,Sheet1!AD$21,0),((IF(($F$203+$B$203+$C$203+$D$203+$E$203+$G$203)&gt;=25000,0,(((25000-($B$203+$C$203+$D$203+$E$203+$F$203+$G$203))/+$AH602)*AA602)*(VLOOKUP('1. SUMMARY'!$C$20,rate,Sheet1!AD$21,0))))))))</f>
        <v>0</v>
      </c>
      <c r="AB603" s="412">
        <f>IF(AB602=0,0,(IF(($B$203+$C$203+$D$203+$E$203+$F$203+$G$203+$H$203)&lt;=25000,(($H$203/+$AH602)*AB602)*VLOOKUP('1. SUMMARY'!$C$20,rate,Sheet1!AE$21,0),((IF(($F$203+$B$203+$C$203+$D$203+$E$203+$G$203)&gt;=25000,0,(((25000-($B$203+$C$203+$D$203+$E$203+$F$203+$G$203))/+$AH602)*AB602)*(VLOOKUP('1. SUMMARY'!$C$20,rate,Sheet1!AE$21,0))))))))</f>
        <v>0</v>
      </c>
      <c r="AC603" s="412">
        <f>IF(AC602=0,0,(IF(($B$203+$C$203+$D$203+$E$203+$F$203+$G$203+$H$203)&lt;=25000,(($H$203/+$AH602)*AC602)*VLOOKUP('1. SUMMARY'!$C$20,rate,Sheet1!AF$21,0),((IF(($F$203+$B$203+$C$203+$D$203+$E$203+$G$203)&gt;=25000,0,(((25000-($B$203+$C$203+$D$203+$E$203+$F$203+$G$203))/+$AH602)*AC602)*(VLOOKUP('1. SUMMARY'!$C$20,rate,Sheet1!AF$21,0))))))))</f>
        <v>0</v>
      </c>
      <c r="AD603" s="412">
        <f>IF(AD602=0,0,(IF(($B$203+$C$203+$D$203+$E$203+$F$203+$G$203+$H$203)&lt;=25000,(($H$203/+$AH602)*AD602)*VLOOKUP('1. SUMMARY'!$C$20,rate,Sheet1!AG$21,0),((IF(($F$203+$B$203+$C$203+$D$203+$E$203+$G$203)&gt;=25000,0,(((25000-($B$203+$C$203+$D$203+$E$203+$F$203+$G$203))/+$AH602)*AD602)*(VLOOKUP('1. SUMMARY'!$C$20,rate,Sheet1!AG$21,0))))))))</f>
        <v>0</v>
      </c>
      <c r="AE603" s="412">
        <f>IF(AE602=0,0,(IF(($B$203+$C$203+$D$203+$E$203+$F$203+$G$203+$H$203)&lt;=25000,(($H$203/+$AH602)*AE602)*VLOOKUP('1. SUMMARY'!$C$20,rate,Sheet1!AH$21,0),((IF(($F$203+$B$203+$C$203+$D$203+$E$203+$G$203)&gt;=25000,0,(((25000-($B$203+$C$203+$D$203+$E$203+$F$203+$G$203))/+$AH602)*AE602)*(VLOOKUP('1. SUMMARY'!$C$20,rate,Sheet1!AH$21,0))))))))</f>
        <v>0</v>
      </c>
      <c r="AF603" s="412">
        <f>IF(AF602=0,0,(IF(($B$203+$C$203+$D$203+$E$203+$F$203+$G$203+$H$203)&lt;=25000,(($H$203/+$AH602)*AF602)*VLOOKUP('1. SUMMARY'!$C$20,rate,Sheet1!AI$21,0),((IF(($F$203+$B$203+$C$203+$D$203+$E$203+$G$203)&gt;=25000,0,(((25000-($B$203+$C$203+$D$203+$E$203+$F$203+$G$203))/+$AH602)*AF602)*(VLOOKUP('1. SUMMARY'!$C$20,rate,Sheet1!AI$21,0))))))))</f>
        <v>0</v>
      </c>
      <c r="AG603" s="412">
        <f>IF(AG602=0,0,(IF(($B$203+$C$203+$D$203+$E$203+$F$203+$G$203+$H$203)&lt;=25000,(($H$203/+$AH602)*AG602)*VLOOKUP('1. SUMMARY'!$C$20,rate,Sheet1!AJ$21,0),((IF(($F$203+$B$203+$C$203+$D$203+$E$203+$G$203)&gt;=25000,0,(((25000-($B$203+$C$203+$D$203+$E$203+$F$203+$G$203))/+$AH602)*AG602)*(VLOOKUP('1. SUMMARY'!$C$20,rate,Sheet1!AJ$21,0))))))))</f>
        <v>0</v>
      </c>
      <c r="AH603" s="219">
        <f>SUM(Q603:AG603)</f>
        <v>0</v>
      </c>
      <c r="AI603" s="412">
        <f>IF(AI602=0,0,((+$H203/$AZ602)*AI602)*VLOOKUP('1. SUMMARY'!$C$20,rate,Sheet1!T$21,0))</f>
        <v>0</v>
      </c>
      <c r="AJ603" s="412">
        <f>IF(AJ602=0,0,((+$H203/$AZ602)*AJ602)*VLOOKUP('1. SUMMARY'!$C$20,rate,Sheet1!U$21,0))</f>
        <v>0</v>
      </c>
      <c r="AK603" s="412">
        <f>IF(AK602=0,0,((+$H203/$AZ602)*AK602)*VLOOKUP('1. SUMMARY'!$C$20,rate,Sheet1!V$21,0))</f>
        <v>0</v>
      </c>
      <c r="AL603" s="412">
        <f>IF(AL602=0,0,((+$H203/$AZ602)*AL602)*VLOOKUP('1. SUMMARY'!$C$20,rate,Sheet1!W$21,0))</f>
        <v>0</v>
      </c>
      <c r="AM603" s="412">
        <f>IF(AM602=0,0,((+$H203/$AZ602)*AM602)*VLOOKUP('1. SUMMARY'!$C$20,rate,Sheet1!X$21,0))</f>
        <v>0</v>
      </c>
      <c r="AN603" s="412">
        <f>IF(AN602=0,0,((+$H203/$AZ602)*AN602)*VLOOKUP('1. SUMMARY'!$C$20,rate,Sheet1!Y$21,0))</f>
        <v>0</v>
      </c>
      <c r="AO603" s="412">
        <f>IF(AO602=0,0,((+$H203/$AZ602)*AO602)*VLOOKUP('1. SUMMARY'!$C$20,rate,Sheet1!Z$21,0))</f>
        <v>0</v>
      </c>
      <c r="AP603" s="412">
        <f>IF(AP602=0,0,((+$H203/$AZ602)*AP602)*VLOOKUP('1. SUMMARY'!$C$20,rate,Sheet1!AA$21,0))</f>
        <v>0</v>
      </c>
      <c r="AQ603" s="412">
        <f>IF(AQ602=0,0,((+$H203/$AZ602)*AQ602)*VLOOKUP('1. SUMMARY'!$C$20,rate,Sheet1!AB$21,0))</f>
        <v>0</v>
      </c>
      <c r="AR603" s="412">
        <f>IF(AR602=0,0,((+$H203/$AZ602)*AR602)*VLOOKUP('1. SUMMARY'!$C$20,rate,Sheet1!AC$21,0))</f>
        <v>0</v>
      </c>
      <c r="AS603" s="412">
        <f>IF(AS602=0,0,((+$H203/$AZ602)*AS602)*VLOOKUP('1. SUMMARY'!$C$20,rate,Sheet1!AD$21,0))</f>
        <v>0</v>
      </c>
      <c r="AT603" s="412">
        <f>IF(AT602=0,0,((+$H203/$AZ602)*AT602)*VLOOKUP('1. SUMMARY'!$C$20,rate,Sheet1!AE$21,0))</f>
        <v>0</v>
      </c>
      <c r="AU603" s="412">
        <f>IF(AU602=0,0,((+$H203/$AZ602)*AU602)*VLOOKUP('1. SUMMARY'!$C$20,rate,Sheet1!AF$21,0))</f>
        <v>0</v>
      </c>
      <c r="AV603" s="412">
        <f>IF(AV602=0,0,((+$H203/$AZ602)*AV602)*VLOOKUP('1. SUMMARY'!$C$20,rate,Sheet1!AG$21,0))</f>
        <v>0</v>
      </c>
      <c r="AW603" s="412">
        <f>IF(AW602=0,0,((+$H203/$AZ602)*AW602)*VLOOKUP('1. SUMMARY'!$C$20,rate,Sheet1!AH$21,0))</f>
        <v>0</v>
      </c>
      <c r="AX603" s="412">
        <f>IF(AX602=0,0,((+$H203/$AZ602)*AX602)*VLOOKUP('1. SUMMARY'!$C$20,rate,Sheet1!AI$21,0))</f>
        <v>0</v>
      </c>
      <c r="AY603" s="412">
        <f>IF(AY602=0,0,((+$H203/$AZ602)*AY602)*VLOOKUP('1. SUMMARY'!$C$20,rate,Sheet1!AJ$21,0))</f>
        <v>0</v>
      </c>
      <c r="AZ603" s="412">
        <f>SUM(AI603:AY603)</f>
        <v>0</v>
      </c>
    </row>
    <row r="604" spans="17:52" hidden="1">
      <c r="Q604" s="412">
        <f>+Q603/VLOOKUP('1. SUMMARY'!$C$20,rate,Sheet1!T$21,0)</f>
        <v>0</v>
      </c>
      <c r="R604" s="412">
        <f>+R603/VLOOKUP('1. SUMMARY'!$C$20,rate,Sheet1!U$21,0)</f>
        <v>0</v>
      </c>
      <c r="S604" s="412">
        <f>+S603/VLOOKUP('1. SUMMARY'!$C$20,rate,Sheet1!V$21,0)</f>
        <v>0</v>
      </c>
      <c r="T604" s="412">
        <f>+T603/VLOOKUP('1. SUMMARY'!$C$20,rate,Sheet1!W$21,0)</f>
        <v>0</v>
      </c>
      <c r="U604" s="412">
        <f>+U603/VLOOKUP('1. SUMMARY'!$C$20,rate,Sheet1!X$21,0)</f>
        <v>0</v>
      </c>
      <c r="V604" s="412">
        <f>+V603/VLOOKUP('1. SUMMARY'!$C$20,rate,Sheet1!Y$21,0)</f>
        <v>0</v>
      </c>
      <c r="W604" s="412">
        <f>+W603/VLOOKUP('1. SUMMARY'!$C$20,rate,Sheet1!Z$21,0)</f>
        <v>0</v>
      </c>
      <c r="X604" s="412">
        <f>+X603/VLOOKUP('1. SUMMARY'!$C$20,rate,Sheet1!AA$21,0)</f>
        <v>0</v>
      </c>
      <c r="Y604" s="412">
        <f>+Y603/VLOOKUP('1. SUMMARY'!$C$20,rate,Sheet1!AB$21,0)</f>
        <v>0</v>
      </c>
      <c r="Z604" s="412">
        <f>+Z603/VLOOKUP('1. SUMMARY'!$C$20,rate,Sheet1!AC$21,0)</f>
        <v>0</v>
      </c>
      <c r="AA604" s="412">
        <f>+AA603/VLOOKUP('1. SUMMARY'!$C$20,rate,Sheet1!AD$21,0)</f>
        <v>0</v>
      </c>
      <c r="AB604" s="412">
        <f>+AB603/VLOOKUP('1. SUMMARY'!$C$20,rate,Sheet1!AE$21,0)</f>
        <v>0</v>
      </c>
      <c r="AC604" s="412">
        <f>+AC603/VLOOKUP('1. SUMMARY'!$C$20,rate,Sheet1!AF$21,0)</f>
        <v>0</v>
      </c>
      <c r="AD604" s="412">
        <f>+AD603/VLOOKUP('1. SUMMARY'!$C$20,rate,Sheet1!AG$21,0)</f>
        <v>0</v>
      </c>
      <c r="AE604" s="412">
        <f>+AE603/VLOOKUP('1. SUMMARY'!$C$20,rate,Sheet1!AH$21,0)</f>
        <v>0</v>
      </c>
      <c r="AF604" s="412">
        <f>+AF603/VLOOKUP('1. SUMMARY'!$C$20,rate,Sheet1!AI$21,0)</f>
        <v>0</v>
      </c>
      <c r="AG604" s="412">
        <f>+AG603/VLOOKUP('1. SUMMARY'!$C$20,rate,Sheet1!AJ$21,0)</f>
        <v>0</v>
      </c>
      <c r="AH604" s="219"/>
      <c r="AI604" s="412"/>
      <c r="AJ604" s="412"/>
      <c r="AK604" s="412"/>
      <c r="AL604" s="412"/>
      <c r="AM604" s="412"/>
      <c r="AN604" s="412"/>
      <c r="AO604" s="412"/>
      <c r="AP604" s="412"/>
      <c r="AQ604" s="412"/>
      <c r="AR604" s="412"/>
      <c r="AS604" s="412"/>
      <c r="AT604" s="412"/>
      <c r="AU604" s="412"/>
      <c r="AV604" s="412"/>
      <c r="AW604" s="412"/>
      <c r="AX604" s="412"/>
      <c r="AY604" s="412"/>
      <c r="AZ604" s="412"/>
    </row>
    <row r="605" spans="17:52" hidden="1">
      <c r="Q605" s="418">
        <f>Sheet1!$T$8</f>
        <v>44105</v>
      </c>
      <c r="R605" s="418">
        <f>Sheet1!$U$8</f>
        <v>44470</v>
      </c>
      <c r="S605" s="418">
        <f>Sheet1!$V$8</f>
        <v>44835</v>
      </c>
      <c r="T605" s="418">
        <f>Sheet1!$W$8</f>
        <v>45200</v>
      </c>
      <c r="U605" s="418">
        <f>Sheet1!$X$8</f>
        <v>45566</v>
      </c>
      <c r="V605" s="418">
        <f>Sheet1!$Y$8</f>
        <v>45931</v>
      </c>
      <c r="W605" s="418">
        <f>Sheet1!$Z$8</f>
        <v>46296</v>
      </c>
      <c r="X605" s="418">
        <f>Sheet1!$AA$8</f>
        <v>46661</v>
      </c>
      <c r="Y605" s="418">
        <f>Sheet1!$AB$8</f>
        <v>47027</v>
      </c>
      <c r="Z605" s="418">
        <f>Sheet1!$AC$8</f>
        <v>47392</v>
      </c>
      <c r="AA605" s="418">
        <f>$AA$5</f>
        <v>47757</v>
      </c>
      <c r="AB605" s="418">
        <f>$AB$5</f>
        <v>48122</v>
      </c>
      <c r="AC605" s="418">
        <f>$AC$5</f>
        <v>48488</v>
      </c>
      <c r="AD605" s="418">
        <f>$AD$5</f>
        <v>48853</v>
      </c>
      <c r="AE605" s="418">
        <f>$AE$5</f>
        <v>49218</v>
      </c>
      <c r="AF605" s="418">
        <f>$AF$5</f>
        <v>49583</v>
      </c>
      <c r="AG605" s="418">
        <f>$AG$5</f>
        <v>49949</v>
      </c>
      <c r="AH605" s="219"/>
      <c r="AI605" s="418">
        <f t="shared" ref="AI605:AR607" si="272">+Q605</f>
        <v>44105</v>
      </c>
      <c r="AJ605" s="418">
        <f t="shared" si="272"/>
        <v>44470</v>
      </c>
      <c r="AK605" s="418">
        <f t="shared" si="272"/>
        <v>44835</v>
      </c>
      <c r="AL605" s="418">
        <f t="shared" si="272"/>
        <v>45200</v>
      </c>
      <c r="AM605" s="418">
        <f t="shared" si="272"/>
        <v>45566</v>
      </c>
      <c r="AN605" s="418">
        <f t="shared" si="272"/>
        <v>45931</v>
      </c>
      <c r="AO605" s="418">
        <f t="shared" si="272"/>
        <v>46296</v>
      </c>
      <c r="AP605" s="418">
        <f t="shared" si="272"/>
        <v>46661</v>
      </c>
      <c r="AQ605" s="418">
        <f t="shared" si="272"/>
        <v>47027</v>
      </c>
      <c r="AR605" s="418">
        <f t="shared" si="272"/>
        <v>47392</v>
      </c>
      <c r="AS605" s="418">
        <f t="shared" ref="AS605:AY607" si="273">+AA605</f>
        <v>47757</v>
      </c>
      <c r="AT605" s="418">
        <f t="shared" si="273"/>
        <v>48122</v>
      </c>
      <c r="AU605" s="418">
        <f t="shared" si="273"/>
        <v>48488</v>
      </c>
      <c r="AV605" s="418">
        <f t="shared" si="273"/>
        <v>48853</v>
      </c>
      <c r="AW605" s="418">
        <f t="shared" si="273"/>
        <v>49218</v>
      </c>
      <c r="AX605" s="418">
        <f t="shared" si="273"/>
        <v>49583</v>
      </c>
      <c r="AY605" s="418">
        <f t="shared" si="273"/>
        <v>49949</v>
      </c>
      <c r="AZ605" s="418"/>
    </row>
    <row r="606" spans="17:52" hidden="1">
      <c r="Q606" s="418">
        <f>Sheet1!$T$9</f>
        <v>44469</v>
      </c>
      <c r="R606" s="418">
        <f>Sheet1!$U$9</f>
        <v>44834</v>
      </c>
      <c r="S606" s="418">
        <f>Sheet1!$V$9</f>
        <v>45199</v>
      </c>
      <c r="T606" s="418">
        <f>Sheet1!$W$9</f>
        <v>45565</v>
      </c>
      <c r="U606" s="418">
        <f>Sheet1!$X$9</f>
        <v>45930</v>
      </c>
      <c r="V606" s="418">
        <f>Sheet1!$Y$9</f>
        <v>46295</v>
      </c>
      <c r="W606" s="418">
        <f>Sheet1!$Z$9</f>
        <v>46660</v>
      </c>
      <c r="X606" s="418">
        <f>Sheet1!$AA$9</f>
        <v>47026</v>
      </c>
      <c r="Y606" s="418">
        <f>Sheet1!$AB$9</f>
        <v>47391</v>
      </c>
      <c r="Z606" s="418">
        <f>Sheet1!$AC$9</f>
        <v>47756</v>
      </c>
      <c r="AA606" s="418">
        <f>$AA$6</f>
        <v>48121</v>
      </c>
      <c r="AB606" s="418">
        <f>$AB$6</f>
        <v>48487</v>
      </c>
      <c r="AC606" s="418">
        <f>$AC$6</f>
        <v>48852</v>
      </c>
      <c r="AD606" s="418">
        <f>$AD$6</f>
        <v>49217</v>
      </c>
      <c r="AE606" s="418">
        <f>$AE$6</f>
        <v>49582</v>
      </c>
      <c r="AF606" s="418">
        <f>$AF$6</f>
        <v>49948</v>
      </c>
      <c r="AG606" s="418">
        <f>$AG$6</f>
        <v>50313</v>
      </c>
      <c r="AH606" s="219"/>
      <c r="AI606" s="418">
        <f t="shared" si="272"/>
        <v>44469</v>
      </c>
      <c r="AJ606" s="418">
        <f t="shared" si="272"/>
        <v>44834</v>
      </c>
      <c r="AK606" s="418">
        <f t="shared" si="272"/>
        <v>45199</v>
      </c>
      <c r="AL606" s="418">
        <f t="shared" si="272"/>
        <v>45565</v>
      </c>
      <c r="AM606" s="418">
        <f t="shared" si="272"/>
        <v>45930</v>
      </c>
      <c r="AN606" s="418">
        <f t="shared" si="272"/>
        <v>46295</v>
      </c>
      <c r="AO606" s="418">
        <f t="shared" si="272"/>
        <v>46660</v>
      </c>
      <c r="AP606" s="418">
        <f t="shared" si="272"/>
        <v>47026</v>
      </c>
      <c r="AQ606" s="418">
        <f t="shared" si="272"/>
        <v>47391</v>
      </c>
      <c r="AR606" s="418">
        <f t="shared" si="272"/>
        <v>47756</v>
      </c>
      <c r="AS606" s="418">
        <f t="shared" si="273"/>
        <v>48121</v>
      </c>
      <c r="AT606" s="418">
        <f t="shared" si="273"/>
        <v>48487</v>
      </c>
      <c r="AU606" s="418">
        <f t="shared" si="273"/>
        <v>48852</v>
      </c>
      <c r="AV606" s="418">
        <f t="shared" si="273"/>
        <v>49217</v>
      </c>
      <c r="AW606" s="418">
        <f t="shared" si="273"/>
        <v>49582</v>
      </c>
      <c r="AX606" s="418">
        <f t="shared" si="273"/>
        <v>49948</v>
      </c>
      <c r="AY606" s="418">
        <f t="shared" si="273"/>
        <v>50313</v>
      </c>
      <c r="AZ606" s="418"/>
    </row>
    <row r="607" spans="17:52" hidden="1">
      <c r="Q607" s="419">
        <f>IF(IF(Q606&lt;$I$27,0,DATEDIF($I$27,Q606+1,"m"))&lt;0,0,IF(Q606&lt;$I$27,0,DATEDIF($I$27,Q606+1,"m")))</f>
        <v>0</v>
      </c>
      <c r="R607" s="419">
        <f>IF(IF(Q607=12,0,IF(R606&gt;$I$28,12-DATEDIF($I$28,R606+1,"m"),IF(R606&lt;$I$27,0,DATEDIF($I$27,R606+1,"m"))))&lt;0,0,IF(Q607=12,0,IF(R606&gt;$I$28,12-DATEDIF($I$28,R606+1,"m"),IF(R606&lt;$I$27,0,DATEDIF($I$27,R606+1,"m")))))</f>
        <v>0</v>
      </c>
      <c r="S607" s="419">
        <f>IF(IF(Q607+R607=12,0,IF(S606&gt;$I$28,12-DATEDIF($I$28,S606+1,"m"),IF(S606&lt;$I$27,0,DATEDIF($I$27,S606+1,"m"))))&lt;0,0,IF(Q607+R607=12,0,IF(S606&gt;$I$28,12-DATEDIF($I$28,S606+1,"m"),IF(S606&lt;$I$27,0,DATEDIF($I$27,S606+1,"m")))))</f>
        <v>0</v>
      </c>
      <c r="T607" s="419">
        <f>IF(IF(R607+S607+Q607=12,0,IF(T606&gt;$I$28,12-DATEDIF($I$28,T606+1,"m"),IF(T606&lt;$I$27,0,DATEDIF($I$27,T606+1,"m"))))&lt;0,0,IF(R607+S607+Q607=12,0,IF(T606&gt;$I$28,12-DATEDIF($I$28,T606+1,"m"),IF(T606&lt;$I$27,0,DATEDIF($I$27,T606+1,"m")))))</f>
        <v>0</v>
      </c>
      <c r="U607" s="419">
        <f>IF(IF(S607+T607+R607+Q607=12,0,IF(U606&gt;$I$28,12-DATEDIF($I$28,U606+1,"m"),IF(U606&lt;$I$27,0,DATEDIF($I$27,U606+1,"m"))))&lt;0,0,IF(S607+T607+R607+Q607=12,0,IF(U606&gt;$I$28,12-DATEDIF($I$28,U606+1,"m"),IF(U606&lt;$I$27,0,DATEDIF($I$27,U606+1,"m")))))</f>
        <v>0</v>
      </c>
      <c r="V607" s="419">
        <f>IF(IF(T607+U607+S607+R607+Q607=12,0,IF(V606&gt;$I$28,12-DATEDIF($I$28,V606+1,"m"),IF(V606&lt;$I$27,0,DATEDIF($I$27,V606+1,"m"))))&lt;0,0,IF(T607+U607+S607+R607+Q607=12,0,IF(V606&gt;$I$28,12-DATEDIF($I$28,V606+1,"m"),IF(V606&lt;$I$27,0,DATEDIF($I$27,V606+1,"m")))))</f>
        <v>0</v>
      </c>
      <c r="W607" s="419">
        <f>IF(IF(U607+V607+T607+S607+R607+Q607=12,0,IF(W606&gt;$I$28,12-DATEDIF($I$28,W606+1,"m"),IF(W606&lt;$I$27,0,DATEDIF($I$27,W606+1,"m"))))&lt;0,0,IF(U607+V607+T607+S607+R607+Q607=12,0,IF(W606&gt;$I$28,12-DATEDIF($I$28,W606+1,"m"),IF(W606&lt;$I$27,0,DATEDIF($I$27,W606+1,"m")))))</f>
        <v>0</v>
      </c>
      <c r="X607" s="419">
        <f>IF(IF(V607+W607+U607+T607+S607+R607+Q607=12,0,IF(X606&gt;$I$28,12-DATEDIF($I$28,X606+1,"m"),IF(X606&lt;$I$27,0,DATEDIF($I$27,X606+1,"m"))))&lt;0,0,IF(V607+W607+U607+T607+S607+R607+Q607=12,0,IF(X606&gt;$I$28,12-DATEDIF($I$28,X606+1,"m"),IF(X606&lt;$I$27,0,DATEDIF($I$27,X606+1,"m")))))</f>
        <v>0</v>
      </c>
      <c r="Y607" s="419">
        <f>IF(IF(W607+X607+V607+U607+T607+S607+R607+Q607=12,0,IF(Y606&gt;$I$28,12-DATEDIF($I$28,Y606+1,"m"),IF(Y606&lt;$I$27,0,DATEDIF($I$27,Y606+1,"m"))))&lt;0,0,IF(W607+X607+V607+U607+T607+S607+R607+Q607=12,0,IF(Y606&gt;$I$28,12-DATEDIF($I$28,Y606+1,"m"),IF(Y606&lt;$I$27,0,DATEDIF($I$27,Y606+1,"m")))))</f>
        <v>0</v>
      </c>
      <c r="Z607" s="419">
        <f>IF(IF(X607+Y607+W607+V607+U607+T607+S607+R607+Q607=12,0,IF(Z606&gt;$I$28,12-DATEDIF($I$28,Z606+1,"m"),IF(Z606&lt;$I$27,0,DATEDIF($I$27,Z606+1,"m"))))&lt;0,0,IF(X607+Y607+W607+V607+U607+T607+S607+R607+Q607=12,0,IF(Z606&gt;$I$28,12-DATEDIF($I$28,Z606+1,"m"),IF(Z606&lt;$I$27,0,DATEDIF($I$27,Z606+1,"m")))))</f>
        <v>0</v>
      </c>
      <c r="AA607" s="419">
        <f>IF(IF(Q607+R607+S607+Y607+Z607+X607+W607+V607+U607+T607=12,0,IF(AA606&gt;$I$28,12-DATEDIF($I$28,AA606+1,"m"),IF(AA606&lt;$I$27,0,DATEDIF($I$27,AA606+1,"m"))))&lt;0,0,IF(Q607+R607+S607+Y607+Z607+X607+W607+V607+U607+T607=12,0,IF(AA606&gt;$I$28,12-DATEDIF($I$28,AA606+1,"m"),IF(AA606&lt;$I$27,0,DATEDIF($I$27,AA606+1,"m")))))</f>
        <v>0</v>
      </c>
      <c r="AB607" s="419">
        <f>IF(IF(Q607+R607+S607+T607+Z607+AA607+Y607+X607+W607+V607+U607=12,0,IF(AB606&gt;$I$28,12-DATEDIF($I$28,AB606+1,"m"),IF(AB606&lt;$I$27,0,DATEDIF($I$27,AB606+1,"m"))))&lt;0,0,IF(Q607+R607+S607+T607+Z607+AA607+Y607+X607+W607+V607+U607=12,0,IF(AB606&gt;$I$28,12-DATEDIF($I$28,AB606+1,"m"),IF(AB606&lt;$I$27,0,DATEDIF($I$27,AB606+1,"m")))))</f>
        <v>0</v>
      </c>
      <c r="AC607" s="419">
        <f>IF(IF(Q607+R607+S607+T607+U607+AA607+AB607+Z607+Y607+X607+W607+V607=12,0,IF(AC606&gt;$I$28,12-DATEDIF($I$28,AC606+1,"m"),IF(AC606&lt;$I$27,0,DATEDIF($I$27,AC606+1,"m"))))&lt;0,0,IF(Q607+R607+S607+T607+U607+AA607+AB607+Z607+Y607+X607+W607+V607=12,0,IF(AC606&gt;$I$28,12-DATEDIF($I$28,AC606+1,"m"),IF(AC606&lt;$I$27,0,DATEDIF($I$27,AC606+1,"m")))))</f>
        <v>0</v>
      </c>
      <c r="AD607" s="419">
        <f>IF(IF(Q607+R607+S607+T607+U607+V607+AB607+AC607+AA607+Z607+Y607+X607+W607=12,0,IF(AD606&gt;$I$28,12-DATEDIF($I$28,AD606+1,"m"),IF(AD606&lt;$I$27,0,DATEDIF($I$27,AD606+1,"m"))))&lt;0,0,IF(Q607+R607+S607+T607+U607+V607+AB607+AC607+AA607+Z607+Y607+X607+W607=12,0,IF(AD606&gt;$I$28,12-DATEDIF($I$28,AD606+1,"m"),IF(AD606&lt;$I$27,0,DATEDIF($I$27,AD606+1,"m")))))</f>
        <v>0</v>
      </c>
      <c r="AE607" s="419">
        <f>IF(IF(Q607+R607+S607+T607+U607+V607+W607+AC607+AD607+AB607+AA607+Z607+Y607+X607=12,0,IF(AE606&gt;$I$28,12-DATEDIF($I$28,AE606+1,"m"),IF(AE606&lt;$I$27,0,DATEDIF($I$27,AE606+1,"m"))))&lt;0,0,IF(Q607+R607+S607+T607+U607+V607+W607+AC607+AD607+AB607+AA607+Z607+Y607+X607=12,0,IF(AE606&gt;$I$28,12-DATEDIF($I$28,AE606+1,"m"),IF(AE606&lt;$I$27,0,DATEDIF($I$27,AE606+1,"m")))))</f>
        <v>0</v>
      </c>
      <c r="AF607" s="419">
        <f>IF(IF(Q607+R607+S607+T607+U607+V607+W607+X607+AD607+AE607+AC607+AB607+AA607+Z607+Y607=12,0,IF(AF606&gt;$I$28,12-DATEDIF($I$28,AF606+1,"m"),IF(AF606&lt;$I$27,0,DATEDIF($I$27,AF606+1,"m"))))&lt;0,0,IF(Q607+R607+S607+T607+U607+V607+W607+X607+AD607+AE607+AC607+AB607+AA607+Z607+Y607=12,0,IF(AF606&gt;$I$28,12-DATEDIF($I$28,AF606+1,"m"),IF(AF606&lt;$I$27,0,DATEDIF($I$27,AF606+1,"m")))))</f>
        <v>0</v>
      </c>
      <c r="AG607" s="419">
        <f>IF(IF(Q607+R607+S607+T607+U607+V607+W607+X607+Y607+AE607+AF607+AD607+AC607+AB607+AA607+Z607=12,0,IF(AG606&gt;$I$28,12-DATEDIF($I$28,AG606+1,"m"),IF(AG606&lt;$I$27,0,DATEDIF($I$27,AG606+1,"m"))))&lt;0,0,IF(Q607+R607+S607+T607+U607+V607+W607+X607+Y607+AE607+AF607+AD607+AC607+AB607+AA607+Z607=12,0,IF(AG606&gt;$I$28,12-DATEDIF($I$28,AG606+1,"m"),IF(AG606&lt;$I$27,0,DATEDIF($I$27,AG606+1,"m")))))</f>
        <v>0</v>
      </c>
      <c r="AH607" s="423">
        <f>SUM(Q607:AG607)</f>
        <v>0</v>
      </c>
      <c r="AI607" s="426">
        <f t="shared" si="272"/>
        <v>0</v>
      </c>
      <c r="AJ607" s="426">
        <f t="shared" si="272"/>
        <v>0</v>
      </c>
      <c r="AK607" s="426">
        <f t="shared" si="272"/>
        <v>0</v>
      </c>
      <c r="AL607" s="426">
        <f t="shared" si="272"/>
        <v>0</v>
      </c>
      <c r="AM607" s="426">
        <f t="shared" si="272"/>
        <v>0</v>
      </c>
      <c r="AN607" s="426">
        <f t="shared" si="272"/>
        <v>0</v>
      </c>
      <c r="AO607" s="426">
        <f t="shared" si="272"/>
        <v>0</v>
      </c>
      <c r="AP607" s="426">
        <f t="shared" si="272"/>
        <v>0</v>
      </c>
      <c r="AQ607" s="426">
        <f t="shared" si="272"/>
        <v>0</v>
      </c>
      <c r="AR607" s="426">
        <f t="shared" si="272"/>
        <v>0</v>
      </c>
      <c r="AS607" s="426">
        <f t="shared" si="273"/>
        <v>0</v>
      </c>
      <c r="AT607" s="426">
        <f t="shared" si="273"/>
        <v>0</v>
      </c>
      <c r="AU607" s="426">
        <f t="shared" si="273"/>
        <v>0</v>
      </c>
      <c r="AV607" s="426">
        <f t="shared" si="273"/>
        <v>0</v>
      </c>
      <c r="AW607" s="426">
        <f t="shared" si="273"/>
        <v>0</v>
      </c>
      <c r="AX607" s="426">
        <f t="shared" si="273"/>
        <v>0</v>
      </c>
      <c r="AY607" s="426">
        <f t="shared" si="273"/>
        <v>0</v>
      </c>
      <c r="AZ607" s="426">
        <f>SUM(AI607:AY607)</f>
        <v>0</v>
      </c>
    </row>
    <row r="608" spans="17:52" hidden="1">
      <c r="Q608" s="419">
        <f>IF(Q607=0,0,(IF(($B$203+$C$203+$D$203+$E$203+$F$203+$G$203+$H$203+$I$203)&lt;=25000,(($I$203/+$AH607)*Q607)*VLOOKUP('1. SUMMARY'!$C$20,rate,Sheet1!T$21,0),((IF(($F$203+$B$203+$C$203+$D$203+$E$203+$G$203+$H$203)&gt;=25000,0,(((25000-($B$203+$C$203+$D$203+$E$203+$F$203+$G$203+$H$203))/+$AH607)*Q607)*(VLOOKUP('1. SUMMARY'!$C$20,rate,Sheet1!T$21,0))))))))</f>
        <v>0</v>
      </c>
      <c r="R608" s="419">
        <f>IF(R607=0,0,(IF(($B$203+$C$203+$D$203+$E$203+$F$203+$G$203+$H$203+$I$203)&lt;=25000,(($I$203/+$AH607)*R607)*VLOOKUP('1. SUMMARY'!$C$20,rate,Sheet1!U$21,0),((IF(($F$203+$B$203+$C$203+$D$203+$E$203+$G$203+$H$203)&gt;=25000,0,(((25000-($B$203+$C$203+$D$203+$E$203+$F$203+$G$203+$H$203))/+$AH607)*R607)*(VLOOKUP('1. SUMMARY'!$C$20,rate,Sheet1!U$21,0))))))))</f>
        <v>0</v>
      </c>
      <c r="S608" s="419">
        <f>IF(S607=0,0,(IF(($B$203+$C$203+$D$203+$E$203+$F$203+$G$203+$H$203+$I$203)&lt;=25000,(($I$203/+$AH607)*S607)*VLOOKUP('1. SUMMARY'!$C$20,rate,Sheet1!V$21,0),((IF(($F$203+$B$203+$C$203+$D$203+$E$203+$G$203+$H$203)&gt;=25000,0,(((25000-($B$203+$C$203+$D$203+$E$203+$F$203+$G$203+$H$203))/+$AH607)*S607)*(VLOOKUP('1. SUMMARY'!$C$20,rate,Sheet1!V$21,0))))))))</f>
        <v>0</v>
      </c>
      <c r="T608" s="419">
        <f>IF(T607=0,0,(IF(($B$203+$C$203+$D$203+$E$203+$F$203+$G$203+$H$203+$I$203)&lt;=25000,(($I$203/+$AH607)*T607)*VLOOKUP('1. SUMMARY'!$C$20,rate,Sheet1!W$21,0),((IF(($F$203+$B$203+$C$203+$D$203+$E$203+$G$203+$H$203)&gt;=25000,0,(((25000-($B$203+$C$203+$D$203+$E$203+$F$203+$G$203+$H$203))/+$AH607)*T607)*(VLOOKUP('1. SUMMARY'!$C$20,rate,Sheet1!W$21,0))))))))</f>
        <v>0</v>
      </c>
      <c r="U608" s="419">
        <f>IF(U607=0,0,(IF(($B$203+$C$203+$D$203+$E$203+$F$203+$G$203+$H$203+$I$203)&lt;=25000,(($I$203/+$AH607)*U607)*VLOOKUP('1. SUMMARY'!$C$20,rate,Sheet1!X$21,0),((IF(($F$203+$B$203+$C$203+$D$203+$E$203+$G$203+$H$203)&gt;=25000,0,(((25000-($B$203+$C$203+$D$203+$E$203+$F$203+$G$203+$H$203))/+$AH607)*U607)*(VLOOKUP('1. SUMMARY'!$C$20,rate,Sheet1!X$21,0))))))))</f>
        <v>0</v>
      </c>
      <c r="V608" s="419">
        <f>IF(V607=0,0,(IF(($B$203+$C$203+$D$203+$E$203+$F$203+$G$203+$H$203+$I$203)&lt;=25000,(($I$203/+$AH607)*V607)*VLOOKUP('1. SUMMARY'!$C$20,rate,Sheet1!Y$21,0),((IF(($F$203+$B$203+$C$203+$D$203+$E$203+$G$203+$H$203)&gt;=25000,0,(((25000-($B$203+$C$203+$D$203+$E$203+$F$203+$G$203+$H$203))/+$AH607)*V607)*(VLOOKUP('1. SUMMARY'!$C$20,rate,Sheet1!Y$21,0))))))))</f>
        <v>0</v>
      </c>
      <c r="W608" s="419">
        <f>IF(W607=0,0,(IF(($B$203+$C$203+$D$203+$E$203+$F$203+$G$203+$H$203+$I$203)&lt;=25000,(($I$203/+$AH607)*W607)*VLOOKUP('1. SUMMARY'!$C$20,rate,Sheet1!Z$21,0),((IF(($F$203+$B$203+$C$203+$D$203+$E$203+$G$203+$H$203)&gt;=25000,0,(((25000-($B$203+$C$203+$D$203+$E$203+$F$203+$G$203+$H$203))/+$AH607)*W607)*(VLOOKUP('1. SUMMARY'!$C$20,rate,Sheet1!Z$21,0))))))))</f>
        <v>0</v>
      </c>
      <c r="X608" s="419">
        <f>IF(X607=0,0,(IF(($B$203+$C$203+$D$203+$E$203+$F$203+$G$203+$H$203+$I$203)&lt;=25000,(($I$203/+$AH607)*X607)*VLOOKUP('1. SUMMARY'!$C$20,rate,Sheet1!AA$21,0),((IF(($F$203+$B$203+$C$203+$D$203+$E$203+$G$203+$H$203)&gt;=25000,0,(((25000-($B$203+$C$203+$D$203+$E$203+$F$203+$G$203+$H$203))/+$AH607)*X607)*(VLOOKUP('1. SUMMARY'!$C$20,rate,Sheet1!AA$21,0))))))))</f>
        <v>0</v>
      </c>
      <c r="Y608" s="419">
        <f>IF(Y607=0,0,(IF(($B$203+$C$203+$D$203+$E$203+$F$203+$G$203+$H$203+$I$203)&lt;=25000,(($I$203/+$AH607)*Y607)*VLOOKUP('1. SUMMARY'!$C$20,rate,Sheet1!AB$21,0),((IF(($F$203+$B$203+$C$203+$D$203+$E$203+$G$203+$H$203)&gt;=25000,0,(((25000-($B$203+$C$203+$D$203+$E$203+$F$203+$G$203+$H$203))/+$AH607)*Y607)*(VLOOKUP('1. SUMMARY'!$C$20,rate,Sheet1!AB$21,0))))))))</f>
        <v>0</v>
      </c>
      <c r="Z608" s="419">
        <f>IF(Z607=0,0,(IF(($B$203+$C$203+$D$203+$E$203+$F$203+$G$203+$H$203+$I$203)&lt;=25000,(($I$203/+$AH607)*Z607)*VLOOKUP('1. SUMMARY'!$C$20,rate,Sheet1!AC$21,0),((IF(($F$203+$B$203+$C$203+$D$203+$E$203+$G$203+$H$203)&gt;=25000,0,(((25000-($B$203+$C$203+$D$203+$E$203+$F$203+$G$203+$H$203))/+$AH607)*Z607)*(VLOOKUP('1. SUMMARY'!$C$20,rate,Sheet1!AC$21,0))))))))</f>
        <v>0</v>
      </c>
      <c r="AA608" s="419">
        <f>IF(AA607=0,0,(IF(($B$203+$C$203+$D$203+$E$203+$F$203+$G$203+$H$203+$I$203)&lt;=25000,(($I$203/+$AH607)*AA607)*VLOOKUP('1. SUMMARY'!$C$20,rate,Sheet1!AD$21,0),((IF(($F$203+$B$203+$C$203+$D$203+$E$203+$G$203+$H$203)&gt;=25000,0,(((25000-($B$203+$C$203+$D$203+$E$203+$F$203+$G$203+$H$203))/+$AH607)*AA607)*(VLOOKUP('1. SUMMARY'!$C$20,rate,Sheet1!AD$21,0))))))))</f>
        <v>0</v>
      </c>
      <c r="AB608" s="419">
        <f>IF(AB607=0,0,(IF(($B$203+$C$203+$D$203+$E$203+$F$203+$G$203+$H$203+$I$203)&lt;=25000,(($I$203/+$AH607)*AB607)*VLOOKUP('1. SUMMARY'!$C$20,rate,Sheet1!AE$21,0),((IF(($F$203+$B$203+$C$203+$D$203+$E$203+$G$203+$H$203)&gt;=25000,0,(((25000-($B$203+$C$203+$D$203+$E$203+$F$203+$G$203+$H$203))/+$AH607)*AB607)*(VLOOKUP('1. SUMMARY'!$C$20,rate,Sheet1!AE$21,0))))))))</f>
        <v>0</v>
      </c>
      <c r="AC608" s="419">
        <f>IF(AC607=0,0,(IF(($B$203+$C$203+$D$203+$E$203+$F$203+$G$203+$H$203+$I$203)&lt;=25000,(($I$203/+$AH607)*AC607)*VLOOKUP('1. SUMMARY'!$C$20,rate,Sheet1!AF$21,0),((IF(($F$203+$B$203+$C$203+$D$203+$E$203+$G$203+$H$203)&gt;=25000,0,(((25000-($B$203+$C$203+$D$203+$E$203+$F$203+$G$203+$H$203))/+$AH607)*AC607)*(VLOOKUP('1. SUMMARY'!$C$20,rate,Sheet1!AF$21,0))))))))</f>
        <v>0</v>
      </c>
      <c r="AD608" s="419">
        <f>IF(AD607=0,0,(IF(($B$203+$C$203+$D$203+$E$203+$F$203+$G$203+$H$203+$I$203)&lt;=25000,(($I$203/+$AH607)*AD607)*VLOOKUP('1. SUMMARY'!$C$20,rate,Sheet1!AG$21,0),((IF(($F$203+$B$203+$C$203+$D$203+$E$203+$G$203+$H$203)&gt;=25000,0,(((25000-($B$203+$C$203+$D$203+$E$203+$F$203+$G$203+$H$203))/+$AH607)*AD607)*(VLOOKUP('1. SUMMARY'!$C$20,rate,Sheet1!AG$21,0))))))))</f>
        <v>0</v>
      </c>
      <c r="AE608" s="419">
        <f>IF(AE607=0,0,(IF(($B$203+$C$203+$D$203+$E$203+$F$203+$G$203+$H$203+$I$203)&lt;=25000,(($I$203/+$AH607)*AE607)*VLOOKUP('1. SUMMARY'!$C$20,rate,Sheet1!AH$21,0),((IF(($F$203+$B$203+$C$203+$D$203+$E$203+$G$203+$H$203)&gt;=25000,0,(((25000-($B$203+$C$203+$D$203+$E$203+$F$203+$G$203+$H$203))/+$AH607)*AE607)*(VLOOKUP('1. SUMMARY'!$C$20,rate,Sheet1!AH$21,0))))))))</f>
        <v>0</v>
      </c>
      <c r="AF608" s="419">
        <f>IF(AF607=0,0,(IF(($B$203+$C$203+$D$203+$E$203+$F$203+$G$203+$H$203+$I$203)&lt;=25000,(($I$203/+$AH607)*AF607)*VLOOKUP('1. SUMMARY'!$C$20,rate,Sheet1!AI$21,0),((IF(($F$203+$B$203+$C$203+$D$203+$E$203+$G$203+$H$203)&gt;=25000,0,(((25000-($B$203+$C$203+$D$203+$E$203+$F$203+$G$203+$H$203))/+$AH607)*AF607)*(VLOOKUP('1. SUMMARY'!$C$20,rate,Sheet1!AI$21,0))))))))</f>
        <v>0</v>
      </c>
      <c r="AG608" s="419">
        <f>IF(AG607=0,0,(IF(($B$203+$C$203+$D$203+$E$203+$F$203+$G$203+$H$203+$I$203)&lt;=25000,(($I$203/+$AH607)*AG607)*VLOOKUP('1. SUMMARY'!$C$20,rate,Sheet1!AJ$21,0),((IF(($F$203+$B$203+$C$203+$D$203+$E$203+$G$203+$H$203)&gt;=25000,0,(((25000-($B$203+$C$203+$D$203+$E$203+$F$203+$G$203+$H$203))/+$AH607)*AG607)*(VLOOKUP('1. SUMMARY'!$C$20,rate,Sheet1!AJ$21,0))))))))</f>
        <v>0</v>
      </c>
      <c r="AH608" s="219">
        <f>SUM(Q608:AG608)</f>
        <v>0</v>
      </c>
      <c r="AI608" s="419">
        <f>IF(AI607=0,0,((+$I203/$AZ607)*AI607)*VLOOKUP('1. SUMMARY'!$C$20,rate,Sheet1!T$21,0))</f>
        <v>0</v>
      </c>
      <c r="AJ608" s="419">
        <f>IF(AJ607=0,0,((+$I203/$AZ607)*AJ607)*VLOOKUP('1. SUMMARY'!$C$20,rate,Sheet1!U$21,0))</f>
        <v>0</v>
      </c>
      <c r="AK608" s="419">
        <f>IF(AK607=0,0,((+$I203/$AZ607)*AK607)*VLOOKUP('1. SUMMARY'!$C$20,rate,Sheet1!V$21,0))</f>
        <v>0</v>
      </c>
      <c r="AL608" s="419">
        <f>IF(AL607=0,0,((+$I203/$AZ607)*AL607)*VLOOKUP('1. SUMMARY'!$C$20,rate,Sheet1!W$21,0))</f>
        <v>0</v>
      </c>
      <c r="AM608" s="419">
        <f>IF(AM607=0,0,((+$I203/$AZ607)*AM607)*VLOOKUP('1. SUMMARY'!$C$20,rate,Sheet1!X$21,0))</f>
        <v>0</v>
      </c>
      <c r="AN608" s="419">
        <f>IF(AN607=0,0,((+$I203/$AZ607)*AN607)*VLOOKUP('1. SUMMARY'!$C$20,rate,Sheet1!Y$21,0))</f>
        <v>0</v>
      </c>
      <c r="AO608" s="419">
        <f>IF(AO607=0,0,((+$I203/$AZ607)*AO607)*VLOOKUP('1. SUMMARY'!$C$20,rate,Sheet1!Z$21,0))</f>
        <v>0</v>
      </c>
      <c r="AP608" s="419">
        <f>IF(AP607=0,0,((+$I203/$AZ607)*AP607)*VLOOKUP('1. SUMMARY'!$C$20,rate,Sheet1!AA$21,0))</f>
        <v>0</v>
      </c>
      <c r="AQ608" s="419">
        <f>IF(AQ607=0,0,((+$I203/$AZ607)*AQ607)*VLOOKUP('1. SUMMARY'!$C$20,rate,Sheet1!AB$21,0))</f>
        <v>0</v>
      </c>
      <c r="AR608" s="419">
        <f>IF(AR607=0,0,((+$I203/$AZ607)*AR607)*VLOOKUP('1. SUMMARY'!$C$20,rate,Sheet1!AC$21,0))</f>
        <v>0</v>
      </c>
      <c r="AS608" s="419">
        <f>IF(AS607=0,0,((+$I203/$AZ607)*AS607)*VLOOKUP('1. SUMMARY'!$C$20,rate,Sheet1!AD$21,0))</f>
        <v>0</v>
      </c>
      <c r="AT608" s="419">
        <f>IF(AT607=0,0,((+$I203/$AZ607)*AT607)*VLOOKUP('1. SUMMARY'!$C$20,rate,Sheet1!AE$21,0))</f>
        <v>0</v>
      </c>
      <c r="AU608" s="419">
        <f>IF(AU607=0,0,((+$I203/$AZ607)*AU607)*VLOOKUP('1. SUMMARY'!$C$20,rate,Sheet1!AF$21,0))</f>
        <v>0</v>
      </c>
      <c r="AV608" s="419">
        <f>IF(AV607=0,0,((+$I203/$AZ607)*AV607)*VLOOKUP('1. SUMMARY'!$C$20,rate,Sheet1!AG$21,0))</f>
        <v>0</v>
      </c>
      <c r="AW608" s="419">
        <f>IF(AW607=0,0,((+$I203/$AZ607)*AW607)*VLOOKUP('1. SUMMARY'!$C$20,rate,Sheet1!AH$21,0))</f>
        <v>0</v>
      </c>
      <c r="AX608" s="419">
        <f>IF(AX607=0,0,((+$I203/$AZ607)*AX607)*VLOOKUP('1. SUMMARY'!$C$20,rate,Sheet1!AI$21,0))</f>
        <v>0</v>
      </c>
      <c r="AY608" s="419">
        <f>IF(AY607=0,0,((+$I203/$AZ607)*AY607)*VLOOKUP('1. SUMMARY'!$C$20,rate,Sheet1!AJ$21,0))</f>
        <v>0</v>
      </c>
      <c r="AZ608" s="419">
        <f>SUM(AI608:AY608)</f>
        <v>0</v>
      </c>
    </row>
    <row r="609" spans="17:52" hidden="1">
      <c r="Q609" s="419">
        <f>+Q608/VLOOKUP('1. SUMMARY'!$C$20,rate,Sheet1!T$21,0)</f>
        <v>0</v>
      </c>
      <c r="R609" s="419">
        <f>+R608/VLOOKUP('1. SUMMARY'!$C$20,rate,Sheet1!U$21,0)</f>
        <v>0</v>
      </c>
      <c r="S609" s="419">
        <f>+S608/VLOOKUP('1. SUMMARY'!$C$20,rate,Sheet1!V$21,0)</f>
        <v>0</v>
      </c>
      <c r="T609" s="419">
        <f>+T608/VLOOKUP('1. SUMMARY'!$C$20,rate,Sheet1!W$21,0)</f>
        <v>0</v>
      </c>
      <c r="U609" s="419">
        <f>+U608/VLOOKUP('1. SUMMARY'!$C$20,rate,Sheet1!X$21,0)</f>
        <v>0</v>
      </c>
      <c r="V609" s="419">
        <f>+V608/VLOOKUP('1. SUMMARY'!$C$20,rate,Sheet1!Y$21,0)</f>
        <v>0</v>
      </c>
      <c r="W609" s="419">
        <f>+W608/VLOOKUP('1. SUMMARY'!$C$20,rate,Sheet1!Z$21,0)</f>
        <v>0</v>
      </c>
      <c r="X609" s="419">
        <f>+X608/VLOOKUP('1. SUMMARY'!$C$20,rate,Sheet1!AA$21,0)</f>
        <v>0</v>
      </c>
      <c r="Y609" s="419">
        <f>+Y608/VLOOKUP('1. SUMMARY'!$C$20,rate,Sheet1!AB$21,0)</f>
        <v>0</v>
      </c>
      <c r="Z609" s="419">
        <f>+Z608/VLOOKUP('1. SUMMARY'!$C$20,rate,Sheet1!AC$21,0)</f>
        <v>0</v>
      </c>
      <c r="AA609" s="419">
        <f>+AA608/VLOOKUP('1. SUMMARY'!$C$20,rate,Sheet1!AD$21,0)</f>
        <v>0</v>
      </c>
      <c r="AB609" s="419">
        <f>+AB608/VLOOKUP('1. SUMMARY'!$C$20,rate,Sheet1!AE$21,0)</f>
        <v>0</v>
      </c>
      <c r="AC609" s="419">
        <f>+AC608/VLOOKUP('1. SUMMARY'!$C$20,rate,Sheet1!AF$21,0)</f>
        <v>0</v>
      </c>
      <c r="AD609" s="419">
        <f>+AD608/VLOOKUP('1. SUMMARY'!$C$20,rate,Sheet1!AG$21,0)</f>
        <v>0</v>
      </c>
      <c r="AE609" s="419">
        <f>+AE608/VLOOKUP('1. SUMMARY'!$C$20,rate,Sheet1!AH$21,0)</f>
        <v>0</v>
      </c>
      <c r="AF609" s="419">
        <f>+AF608/VLOOKUP('1. SUMMARY'!$C$20,rate,Sheet1!AI$21,0)</f>
        <v>0</v>
      </c>
      <c r="AG609" s="419">
        <f>+AG608/VLOOKUP('1. SUMMARY'!$C$20,rate,Sheet1!AJ$21,0)</f>
        <v>0</v>
      </c>
      <c r="AH609" s="219"/>
      <c r="AI609" s="419"/>
      <c r="AJ609" s="419"/>
      <c r="AK609" s="419"/>
      <c r="AL609" s="419"/>
      <c r="AM609" s="419"/>
      <c r="AN609" s="419"/>
      <c r="AO609" s="419"/>
      <c r="AP609" s="419"/>
      <c r="AQ609" s="419"/>
      <c r="AR609" s="419"/>
      <c r="AS609" s="419"/>
      <c r="AT609" s="419"/>
      <c r="AU609" s="419"/>
      <c r="AV609" s="419"/>
      <c r="AW609" s="419"/>
      <c r="AX609" s="419"/>
      <c r="AY609" s="419"/>
      <c r="AZ609" s="419"/>
    </row>
    <row r="610" spans="17:52" hidden="1">
      <c r="Q610" s="416">
        <f>Sheet1!$T$8</f>
        <v>44105</v>
      </c>
      <c r="R610" s="416">
        <f>Sheet1!$U$8</f>
        <v>44470</v>
      </c>
      <c r="S610" s="416">
        <f>Sheet1!$V$8</f>
        <v>44835</v>
      </c>
      <c r="T610" s="416">
        <f>Sheet1!$W$8</f>
        <v>45200</v>
      </c>
      <c r="U610" s="416">
        <f>Sheet1!$X$8</f>
        <v>45566</v>
      </c>
      <c r="V610" s="416">
        <f>Sheet1!$Y$8</f>
        <v>45931</v>
      </c>
      <c r="W610" s="416">
        <f>Sheet1!$Z$8</f>
        <v>46296</v>
      </c>
      <c r="X610" s="416">
        <f>Sheet1!$AA$8</f>
        <v>46661</v>
      </c>
      <c r="Y610" s="416">
        <f>Sheet1!$AB$8</f>
        <v>47027</v>
      </c>
      <c r="Z610" s="416">
        <f>Sheet1!$AC$8</f>
        <v>47392</v>
      </c>
      <c r="AA610" s="416">
        <f>$AA$5</f>
        <v>47757</v>
      </c>
      <c r="AB610" s="416">
        <f>$AB$5</f>
        <v>48122</v>
      </c>
      <c r="AC610" s="416">
        <f>$AC$5</f>
        <v>48488</v>
      </c>
      <c r="AD610" s="416">
        <f>$AD$5</f>
        <v>48853</v>
      </c>
      <c r="AE610" s="416">
        <f>$AE$5</f>
        <v>49218</v>
      </c>
      <c r="AF610" s="416">
        <f>$AF$5</f>
        <v>49583</v>
      </c>
      <c r="AG610" s="416">
        <f>$AG$5</f>
        <v>49949</v>
      </c>
      <c r="AH610" s="219"/>
      <c r="AI610" s="416">
        <f t="shared" ref="AI610:AR612" si="274">+Q610</f>
        <v>44105</v>
      </c>
      <c r="AJ610" s="416">
        <f t="shared" si="274"/>
        <v>44470</v>
      </c>
      <c r="AK610" s="416">
        <f t="shared" si="274"/>
        <v>44835</v>
      </c>
      <c r="AL610" s="416">
        <f t="shared" si="274"/>
        <v>45200</v>
      </c>
      <c r="AM610" s="416">
        <f t="shared" si="274"/>
        <v>45566</v>
      </c>
      <c r="AN610" s="416">
        <f t="shared" si="274"/>
        <v>45931</v>
      </c>
      <c r="AO610" s="416">
        <f t="shared" si="274"/>
        <v>46296</v>
      </c>
      <c r="AP610" s="416">
        <f t="shared" si="274"/>
        <v>46661</v>
      </c>
      <c r="AQ610" s="416">
        <f t="shared" si="274"/>
        <v>47027</v>
      </c>
      <c r="AR610" s="416">
        <f t="shared" si="274"/>
        <v>47392</v>
      </c>
      <c r="AS610" s="416">
        <f t="shared" ref="AS610:AY612" si="275">+AA610</f>
        <v>47757</v>
      </c>
      <c r="AT610" s="416">
        <f t="shared" si="275"/>
        <v>48122</v>
      </c>
      <c r="AU610" s="416">
        <f t="shared" si="275"/>
        <v>48488</v>
      </c>
      <c r="AV610" s="416">
        <f t="shared" si="275"/>
        <v>48853</v>
      </c>
      <c r="AW610" s="416">
        <f t="shared" si="275"/>
        <v>49218</v>
      </c>
      <c r="AX610" s="416">
        <f t="shared" si="275"/>
        <v>49583</v>
      </c>
      <c r="AY610" s="416">
        <f t="shared" si="275"/>
        <v>49949</v>
      </c>
      <c r="AZ610" s="416"/>
    </row>
    <row r="611" spans="17:52" hidden="1">
      <c r="Q611" s="416">
        <f>Sheet1!$T$9</f>
        <v>44469</v>
      </c>
      <c r="R611" s="416">
        <f>Sheet1!$U$9</f>
        <v>44834</v>
      </c>
      <c r="S611" s="416">
        <f>Sheet1!$V$9</f>
        <v>45199</v>
      </c>
      <c r="T611" s="416">
        <f>Sheet1!$W$9</f>
        <v>45565</v>
      </c>
      <c r="U611" s="416">
        <f>Sheet1!$X$9</f>
        <v>45930</v>
      </c>
      <c r="V611" s="416">
        <f>Sheet1!$Y$9</f>
        <v>46295</v>
      </c>
      <c r="W611" s="416">
        <f>Sheet1!$Z$9</f>
        <v>46660</v>
      </c>
      <c r="X611" s="416">
        <f>Sheet1!$AA$9</f>
        <v>47026</v>
      </c>
      <c r="Y611" s="416">
        <f>Sheet1!$AB$9</f>
        <v>47391</v>
      </c>
      <c r="Z611" s="416">
        <f>Sheet1!$AC$9</f>
        <v>47756</v>
      </c>
      <c r="AA611" s="416">
        <f>$AA$6</f>
        <v>48121</v>
      </c>
      <c r="AB611" s="416">
        <f>$AB$6</f>
        <v>48487</v>
      </c>
      <c r="AC611" s="416">
        <f>$AC$6</f>
        <v>48852</v>
      </c>
      <c r="AD611" s="416">
        <f>$AD$6</f>
        <v>49217</v>
      </c>
      <c r="AE611" s="416">
        <f>$AE$6</f>
        <v>49582</v>
      </c>
      <c r="AF611" s="416">
        <f>$AF$6</f>
        <v>49948</v>
      </c>
      <c r="AG611" s="416">
        <f>$AG$6</f>
        <v>50313</v>
      </c>
      <c r="AH611" s="219"/>
      <c r="AI611" s="416">
        <f t="shared" si="274"/>
        <v>44469</v>
      </c>
      <c r="AJ611" s="416">
        <f t="shared" si="274"/>
        <v>44834</v>
      </c>
      <c r="AK611" s="416">
        <f t="shared" si="274"/>
        <v>45199</v>
      </c>
      <c r="AL611" s="416">
        <f t="shared" si="274"/>
        <v>45565</v>
      </c>
      <c r="AM611" s="416">
        <f t="shared" si="274"/>
        <v>45930</v>
      </c>
      <c r="AN611" s="416">
        <f t="shared" si="274"/>
        <v>46295</v>
      </c>
      <c r="AO611" s="416">
        <f t="shared" si="274"/>
        <v>46660</v>
      </c>
      <c r="AP611" s="416">
        <f t="shared" si="274"/>
        <v>47026</v>
      </c>
      <c r="AQ611" s="416">
        <f t="shared" si="274"/>
        <v>47391</v>
      </c>
      <c r="AR611" s="416">
        <f t="shared" si="274"/>
        <v>47756</v>
      </c>
      <c r="AS611" s="416">
        <f t="shared" si="275"/>
        <v>48121</v>
      </c>
      <c r="AT611" s="416">
        <f t="shared" si="275"/>
        <v>48487</v>
      </c>
      <c r="AU611" s="416">
        <f t="shared" si="275"/>
        <v>48852</v>
      </c>
      <c r="AV611" s="416">
        <f t="shared" si="275"/>
        <v>49217</v>
      </c>
      <c r="AW611" s="416">
        <f t="shared" si="275"/>
        <v>49582</v>
      </c>
      <c r="AX611" s="416">
        <f t="shared" si="275"/>
        <v>49948</v>
      </c>
      <c r="AY611" s="416">
        <f t="shared" si="275"/>
        <v>50313</v>
      </c>
      <c r="AZ611" s="416"/>
    </row>
    <row r="612" spans="17:52" hidden="1">
      <c r="Q612" s="417">
        <f>IF(IF(Q611&lt;$J$27,0,DATEDIF($J$27,Q611+1,"m"))&lt;0,0,IF(Q611&lt;$J$27,0,DATEDIF($J$27,Q611+1,"m")))</f>
        <v>0</v>
      </c>
      <c r="R612" s="417">
        <f>IF(IF(Q612=12,0,IF(R611&gt;$J$28,12-DATEDIF($J$28,R611+1,"m"),IF(R611&lt;$J$27,0,DATEDIF($J$27,R611+1,"m"))))&lt;0,0,IF(Q612=12,0,IF(R611&gt;$J$28,12-DATEDIF($J$28,R611+1,"m"),IF(R611&lt;$J$27,0,DATEDIF($J$27,R611+1,"m")))))</f>
        <v>0</v>
      </c>
      <c r="S612" s="417">
        <f>IF(IF(Q612+R612=12,0,IF(S611&gt;$J$28,12-DATEDIF($J$28,S611+1,"m"),IF(S611&lt;$J$27,0,DATEDIF($J$27,S611+1,"m"))))&lt;0,0,IF(Q612+R612=12,0,IF(S611&gt;$J$28,12-DATEDIF($J$28,S611+1,"m"),IF(S611&lt;$J$27,0,DATEDIF($J$27,S611+1,"m")))))</f>
        <v>0</v>
      </c>
      <c r="T612" s="417">
        <f>IF(IF(R612+S612+Q612=12,0,IF(T611&gt;$J$28,12-DATEDIF($J$28,T611+1,"m"),IF(T611&lt;$J$27,0,DATEDIF($J$27,T611+1,"m"))))&lt;0,0,IF(R612+S612+Q612=12,0,IF(T611&gt;$J$28,12-DATEDIF($J$28,T611+1,"m"),IF(T611&lt;$J$27,0,DATEDIF($J$27,T611+1,"m")))))</f>
        <v>0</v>
      </c>
      <c r="U612" s="417">
        <f>IF(IF(S612+T612+R612+Q612=12,0,IF(U611&gt;$J$28,12-DATEDIF($J$28,U611+1,"m"),IF(U611&lt;$J$27,0,DATEDIF($J$27,U611+1,"m"))))&lt;0,0,IF(S612+T612+R612+Q612=12,0,IF(U611&gt;$J$28,12-DATEDIF($J$28,U611+1,"m"),IF(U611&lt;$J$27,0,DATEDIF($J$27,U611+1,"m")))))</f>
        <v>0</v>
      </c>
      <c r="V612" s="417">
        <f>IF(IF(T612+U612+S612+R612+Q612=12,0,IF(V611&gt;$J$28,12-DATEDIF($J$28,V611+1,"m"),IF(V611&lt;$J$27,0,DATEDIF($J$27,V611+1,"m"))))&lt;0,0,IF(T612+U612+S612+R612+Q612=12,0,IF(V611&gt;$J$28,12-DATEDIF($J$28,V611+1,"m"),IF(V611&lt;$J$27,0,DATEDIF($J$27,V611+1,"m")))))</f>
        <v>0</v>
      </c>
      <c r="W612" s="417">
        <f>IF(IF(U612+V612+T612+S612+R612+Q612=12,0,IF(W611&gt;$J$28,12-DATEDIF($J$28,W611+1,"m"),IF(W611&lt;$J$27,0,DATEDIF($J$27,W611+1,"m"))))&lt;0,0,IF(U612+V612+T612+S612+R612+Q612=12,0,IF(W611&gt;$J$28,12-DATEDIF($J$28,W611+1,"m"),IF(W611&lt;$J$27,0,DATEDIF($J$27,W611+1,"m")))))</f>
        <v>0</v>
      </c>
      <c r="X612" s="417">
        <f>IF(IF(V612+W612+U612+T612+S612+R612+Q612=12,0,IF(X611&gt;$J$28,12-DATEDIF($J$28,X611+1,"m"),IF(X611&lt;$J$27,0,DATEDIF($J$27,X611+1,"m"))))&lt;0,0,IF(V612+W612+U612+T612+S612+R612+Q612=12,0,IF(X611&gt;$J$28,12-DATEDIF($J$28,X611+1,"m"),IF(X611&lt;$J$27,0,DATEDIF($J$27,X611+1,"m")))))</f>
        <v>0</v>
      </c>
      <c r="Y612" s="417">
        <f>IF(IF(W612+X612+V612+U612+T612+S612+R612+Q612=12,0,IF(Y611&gt;$J$28,12-DATEDIF($J$28,Y611+1,"m"),IF(Y611&lt;$J$27,0,DATEDIF($J$27,Y611+1,"m"))))&lt;0,0,IF(W612+X612+V612+U612+T612+S612+R612+Q612=12,0,IF(Y611&gt;$J$28,12-DATEDIF($J$28,Y611+1,"m"),IF(Y611&lt;$J$27,0,DATEDIF($J$27,Y611+1,"m")))))</f>
        <v>0</v>
      </c>
      <c r="Z612" s="417">
        <f>IF(IF(X612+Y612+W612+V612+U612+T612+S612+R612+Q612=12,0,IF(Z611&gt;$J$28,12-DATEDIF($J$28,Z611+1,"m"),IF(Z611&lt;$J$27,0,DATEDIF($J$27,Z611+1,"m"))))&lt;0,0,IF(X612+Y612+W612+V612+U612+T612+S612+R612+Q612=12,0,IF(Z611&gt;$J$28,12-DATEDIF($J$28,Z611+1,"m"),IF(Z611&lt;$J$27,0,DATEDIF($J$27,Z611+1,"m")))))</f>
        <v>0</v>
      </c>
      <c r="AA612" s="417">
        <f>IF(IF(Q612+R612+S612+Y612+Z612+X612+W612+V612+U612+T612=12,0,IF(AA611&gt;$J$28,12-DATEDIF($J$28,AA611+1,"m"),IF(AA611&lt;$J$27,0,DATEDIF($J$27,AA611+1,"m"))))&lt;0,0,IF(Q612+R612+S612+Y612+Z612+X612+W612+V612+U612+T612=12,0,IF(AA611&gt;$J$28,12-DATEDIF($J$28,AA611+1,"m"),IF(AA611&lt;$J$27,0,DATEDIF($J$27,AA611+1,"m")))))</f>
        <v>0</v>
      </c>
      <c r="AB612" s="417">
        <f>IF(IF(Q612+R612+S612+T612+Z612+AA612+Y612+X612+W612+V612+U612=12,0,IF(AB611&gt;$J$28,12-DATEDIF($J$28,AB611+1,"m"),IF(AB611&lt;$J$27,0,DATEDIF($J$27,AB611+1,"m"))))&lt;0,0,IF(Q612+R612+S612+T612+Z612+AA612+Y612+X612+W612+V612+U612=12,0,IF(AB611&gt;$J$28,12-DATEDIF($J$28,AB611+1,"m"),IF(AB611&lt;$J$27,0,DATEDIF($J$27,AB611+1,"m")))))</f>
        <v>0</v>
      </c>
      <c r="AC612" s="417">
        <f>IF(IF(Q612+R612+S612+T612+U612+AA612+AB612+Z612+Y612+X612+W612+V612=12,0,IF(AC611&gt;$J$28,12-DATEDIF($J$28,AC611+1,"m"),IF(AC611&lt;$J$27,0,DATEDIF($J$27,AC611+1,"m"))))&lt;0,0,IF(Q612+R612+S612+T612+U612+AA612+AB612+Z612+Y612+X612+W612+V612=12,0,IF(AC611&gt;$J$28,12-DATEDIF($J$28,AC611+1,"m"),IF(AC611&lt;$J$27,0,DATEDIF($J$27,AC611+1,"m")))))</f>
        <v>0</v>
      </c>
      <c r="AD612" s="417">
        <f>IF(IF(Q612+R612+S612+T612+U612+V612+AB612+AC612+AA612+Z612+Y612+X612+W612=12,0,IF(AD611&gt;$J$28,12-DATEDIF($J$28,AD611+1,"m"),IF(AD611&lt;$J$27,0,DATEDIF($J$27,AD611+1,"m"))))&lt;0,0,IF(Q612+R612+S612+T612+U612+V612+AB612+AC612+AA612+Z612+Y612+X612+W612=12,0,IF(AD611&gt;$J$28,12-DATEDIF($J$28,AD611+1,"m"),IF(AD611&lt;$J$27,0,DATEDIF($J$27,AD611+1,"m")))))</f>
        <v>0</v>
      </c>
      <c r="AE612" s="417">
        <f>IF(IF(Q612+R612+S612+T612+U612+V612+W612+AC612+AD612+AB612+AA612+Z612+Y612+X612=12,0,IF(AE611&gt;$J$28,12-DATEDIF($J$28,AE611+1,"m"),IF(AE611&lt;$J$27,0,DATEDIF($J$27,AE611+1,"m"))))&lt;0,0,IF(Q612+R612+S612+T612+U612+V612+W612+AC612+AD612+AB612+AA612+Z612+Y612+X612=12,0,IF(AE611&gt;$J$28,12-DATEDIF($J$28,AE611+1,"m"),IF(AE611&lt;$J$27,0,DATEDIF($J$27,AE611+1,"m")))))</f>
        <v>0</v>
      </c>
      <c r="AF612" s="417">
        <f>IF(IF(Q612+R612+S612+T612+U612+V612+W612+X612+AD612+AE612+AC612+AB612+AA612+Z612+Y612=12,0,IF(AF611&gt;$J$28,12-DATEDIF($J$28,AF611+1,"m"),IF(AF611&lt;$J$27,0,DATEDIF($J$27,AF611+1,"m"))))&lt;0,0,IF(Q612+R612+S612+T612+U612+V612+W612+X612+AD612+AE612+AC612+AB612+AA612+Z612+Y612=12,0,IF(AF611&gt;$J$28,12-DATEDIF($J$28,AF611+1,"m"),IF(AF611&lt;$J$27,0,DATEDIF($J$27,AF611+1,"m")))))</f>
        <v>0</v>
      </c>
      <c r="AG612" s="417">
        <f>IF(IF(Q612+R612+S612+T612+U612+V612+W612+X612+Y612+AE612+AF612+AD612+AC612+AB612+AA612+Z612=12,0,IF(AG611&gt;$J$28,12-DATEDIF($J$28,AG611+1,"m"),IF(AG611&lt;$J$27,0,DATEDIF($J$27,AG611+1,"m"))))&lt;0,0,IF(Q612+R612+S612+T612+U612+V612+W612+X612+Y612+AE612+AF612+AD612+AC612+AB612+AA612+Z612=12,0,IF(AG611&gt;$J$28,12-DATEDIF($J$28,AG611+1,"m"),IF(AG611&lt;$J$27,0,DATEDIF($J$27,AG611+1,"m")))))</f>
        <v>0</v>
      </c>
      <c r="AH612" s="423">
        <f>SUM(Q612:AG612)</f>
        <v>0</v>
      </c>
      <c r="AI612" s="427">
        <f t="shared" si="274"/>
        <v>0</v>
      </c>
      <c r="AJ612" s="427">
        <f t="shared" si="274"/>
        <v>0</v>
      </c>
      <c r="AK612" s="427">
        <f t="shared" si="274"/>
        <v>0</v>
      </c>
      <c r="AL612" s="427">
        <f t="shared" si="274"/>
        <v>0</v>
      </c>
      <c r="AM612" s="427">
        <f t="shared" si="274"/>
        <v>0</v>
      </c>
      <c r="AN612" s="427">
        <f t="shared" si="274"/>
        <v>0</v>
      </c>
      <c r="AO612" s="427">
        <f t="shared" si="274"/>
        <v>0</v>
      </c>
      <c r="AP612" s="427">
        <f t="shared" si="274"/>
        <v>0</v>
      </c>
      <c r="AQ612" s="427">
        <f t="shared" si="274"/>
        <v>0</v>
      </c>
      <c r="AR612" s="427">
        <f t="shared" si="274"/>
        <v>0</v>
      </c>
      <c r="AS612" s="427">
        <f t="shared" si="275"/>
        <v>0</v>
      </c>
      <c r="AT612" s="427">
        <f t="shared" si="275"/>
        <v>0</v>
      </c>
      <c r="AU612" s="427">
        <f t="shared" si="275"/>
        <v>0</v>
      </c>
      <c r="AV612" s="427">
        <f t="shared" si="275"/>
        <v>0</v>
      </c>
      <c r="AW612" s="427">
        <f t="shared" si="275"/>
        <v>0</v>
      </c>
      <c r="AX612" s="427">
        <f t="shared" si="275"/>
        <v>0</v>
      </c>
      <c r="AY612" s="427">
        <f t="shared" si="275"/>
        <v>0</v>
      </c>
      <c r="AZ612" s="427">
        <f>SUM(AI612:AY612)</f>
        <v>0</v>
      </c>
    </row>
    <row r="613" spans="17:52" hidden="1">
      <c r="Q613" s="417">
        <f>IF(Q612=0,0,(IF(($B$203+$C$203+$D$203+$E$203+$F$203+$G$203+$H$203+$I$203+$J$203)&lt;=25000,(($J$203/+$AH612)*Q612)*VLOOKUP('1. SUMMARY'!$C$20,rate,Sheet1!T$21,0),((IF(($F$203+$B$203+$C$203+$D$203+$E$203+$G$203+$H$203+$I$203)&gt;=25000,0,(((25000-($B$203+$C$203+$D$203+$E$203+$F$203+$G$203+$H$203+$I$203))/+$AH612)*Q612)*(VLOOKUP('1. SUMMARY'!$C$20,rate,Sheet1!T$21,0))))))))</f>
        <v>0</v>
      </c>
      <c r="R613" s="417">
        <f>IF(R612=0,0,(IF(($B$203+$C$203+$D$203+$E$203+$F$203+$G$203+$H$203+$I$203+$J$203)&lt;=25000,(($J$203/+$AH612)*R612)*VLOOKUP('1. SUMMARY'!$C$20,rate,Sheet1!U$21,0),((IF(($F$203+$B$203+$C$203+$D$203+$E$203+$G$203+$H$203+$I$203)&gt;=25000,0,(((25000-($B$203+$C$203+$D$203+$E$203+$F$203+$G$203+$H$203+$I$203))/+$AH612)*R612)*(VLOOKUP('1. SUMMARY'!$C$20,rate,Sheet1!U$21,0))))))))</f>
        <v>0</v>
      </c>
      <c r="S613" s="417">
        <f>IF(S612=0,0,(IF(($B$203+$C$203+$D$203+$E$203+$F$203+$G$203+$H$203+$I$203+$J$203)&lt;=25000,(($J$203/+$AH612)*S612)*VLOOKUP('1. SUMMARY'!$C$20,rate,Sheet1!V$21,0),((IF(($F$203+$B$203+$C$203+$D$203+$E$203+$G$203+$H$203+$I$203)&gt;=25000,0,(((25000-($B$203+$C$203+$D$203+$E$203+$F$203+$G$203+$H$203+$I$203))/+$AH612)*S612)*(VLOOKUP('1. SUMMARY'!$C$20,rate,Sheet1!V$21,0))))))))</f>
        <v>0</v>
      </c>
      <c r="T613" s="417">
        <f>IF(T612=0,0,(IF(($B$203+$C$203+$D$203+$E$203+$F$203+$G$203+$H$203+$I$203+$J$203)&lt;=25000,(($J$203/+$AH612)*T612)*VLOOKUP('1. SUMMARY'!$C$20,rate,Sheet1!W$21,0),((IF(($F$203+$B$203+$C$203+$D$203+$E$203+$G$203+$H$203+$I$203)&gt;=25000,0,(((25000-($B$203+$C$203+$D$203+$E$203+$F$203+$G$203+$H$203+$I$203))/+$AH612)*T612)*(VLOOKUP('1. SUMMARY'!$C$20,rate,Sheet1!W$21,0))))))))</f>
        <v>0</v>
      </c>
      <c r="U613" s="417">
        <f>IF(U612=0,0,(IF(($B$203+$C$203+$D$203+$E$203+$F$203+$G$203+$H$203+$I$203+$J$203)&lt;=25000,(($J$203/+$AH612)*U612)*VLOOKUP('1. SUMMARY'!$C$20,rate,Sheet1!X$21,0),((IF(($F$203+$B$203+$C$203+$D$203+$E$203+$G$203+$H$203+$I$203)&gt;=25000,0,(((25000-($B$203+$C$203+$D$203+$E$203+$F$203+$G$203+$H$203+$I$203))/+$AH612)*U612)*(VLOOKUP('1. SUMMARY'!$C$20,rate,Sheet1!X$21,0))))))))</f>
        <v>0</v>
      </c>
      <c r="V613" s="417">
        <f>IF(V612=0,0,(IF(($B$203+$C$203+$D$203+$E$203+$F$203+$G$203+$H$203+$I$203+$J$203)&lt;=25000,(($J$203/+$AH612)*V612)*VLOOKUP('1. SUMMARY'!$C$20,rate,Sheet1!Y$21,0),((IF(($F$203+$B$203+$C$203+$D$203+$E$203+$G$203+$H$203+$I$203)&gt;=25000,0,(((25000-($B$203+$C$203+$D$203+$E$203+$F$203+$G$203+$H$203+$I$203))/+$AH612)*V612)*(VLOOKUP('1. SUMMARY'!$C$20,rate,Sheet1!Y$21,0))))))))</f>
        <v>0</v>
      </c>
      <c r="W613" s="417">
        <f>IF(W612=0,0,(IF(($B$203+$C$203+$D$203+$E$203+$F$203+$G$203+$H$203+$I$203+$J$203)&lt;=25000,(($J$203/+$AH612)*W612)*VLOOKUP('1. SUMMARY'!$C$20,rate,Sheet1!Z$21,0),((IF(($F$203+$B$203+$C$203+$D$203+$E$203+$G$203+$H$203+$I$203)&gt;=25000,0,(((25000-($B$203+$C$203+$D$203+$E$203+$F$203+$G$203+$H$203+$I$203))/+$AH612)*W612)*(VLOOKUP('1. SUMMARY'!$C$20,rate,Sheet1!Z$21,0))))))))</f>
        <v>0</v>
      </c>
      <c r="X613" s="417">
        <f>IF(X612=0,0,(IF(($B$203+$C$203+$D$203+$E$203+$F$203+$G$203+$H$203+$I$203+$J$203)&lt;=25000,(($J$203/+$AH612)*X612)*VLOOKUP('1. SUMMARY'!$C$20,rate,Sheet1!AA$21,0),((IF(($F$203+$B$203+$C$203+$D$203+$E$203+$G$203+$H$203+$I$203)&gt;=25000,0,(((25000-($B$203+$C$203+$D$203+$E$203+$F$203+$G$203+$H$203+$I$203))/+$AH612)*X612)*(VLOOKUP('1. SUMMARY'!$C$20,rate,Sheet1!AA$21,0))))))))</f>
        <v>0</v>
      </c>
      <c r="Y613" s="417">
        <f>IF(Y612=0,0,(IF(($B$203+$C$203+$D$203+$E$203+$F$203+$G$203+$H$203+$I$203+$J$203)&lt;=25000,(($J$203/+$AH612)*Y612)*VLOOKUP('1. SUMMARY'!$C$20,rate,Sheet1!AB$21,0),((IF(($F$203+$B$203+$C$203+$D$203+$E$203+$G$203+$H$203+$I$203)&gt;=25000,0,(((25000-($B$203+$C$203+$D$203+$E$203+$F$203+$G$203+$H$203+$I$203))/+$AH612)*Y612)*(VLOOKUP('1. SUMMARY'!$C$20,rate,Sheet1!AB$21,0))))))))</f>
        <v>0</v>
      </c>
      <c r="Z613" s="417">
        <f>IF(Z612=0,0,(IF(($B$203+$C$203+$D$203+$E$203+$F$203+$G$203+$H$203+$I$203+$J$203)&lt;=25000,(($J$203/+$AH612)*Z612)*VLOOKUP('1. SUMMARY'!$C$20,rate,Sheet1!AC$21,0),((IF(($F$203+$B$203+$C$203+$D$203+$E$203+$G$203+$H$203+$I$203)&gt;=25000,0,(((25000-($B$203+$C$203+$D$203+$E$203+$F$203+$G$203+$H$203+$I$203))/+$AH612)*Z612)*(VLOOKUP('1. SUMMARY'!$C$20,rate,Sheet1!AC$21,0))))))))</f>
        <v>0</v>
      </c>
      <c r="AA613" s="417">
        <f>IF(AA612=0,0,(IF(($B$203+$C$203+$D$203+$E$203+$F$203+$G$203+$H$203+$I$203+$J$203)&lt;=25000,(($J$203/+$AH612)*AA612)*VLOOKUP('1. SUMMARY'!$C$20,rate,Sheet1!AD$21,0),((IF(($F$203+$B$203+$C$203+$D$203+$E$203+$G$203+$H$203+$I$203)&gt;=25000,0,(((25000-($B$203+$C$203+$D$203+$E$203+$F$203+$G$203+$H$203+$I$203))/+$AH612)*AA612)*(VLOOKUP('1. SUMMARY'!$C$20,rate,Sheet1!AD$21,0))))))))</f>
        <v>0</v>
      </c>
      <c r="AB613" s="417">
        <f>IF(AB612=0,0,(IF(($B$203+$C$203+$D$203+$E$203+$F$203+$G$203+$H$203+$I$203+$J$203)&lt;=25000,(($J$203/+$AH612)*AB612)*VLOOKUP('1. SUMMARY'!$C$20,rate,Sheet1!AE$21,0),((IF(($F$203+$B$203+$C$203+$D$203+$E$203+$G$203+$H$203+$I$203)&gt;=25000,0,(((25000-($B$203+$C$203+$D$203+$E$203+$F$203+$G$203+$H$203+$I$203))/+$AH612)*AB612)*(VLOOKUP('1. SUMMARY'!$C$20,rate,Sheet1!AE$21,0))))))))</f>
        <v>0</v>
      </c>
      <c r="AC613" s="417">
        <f>IF(AC612=0,0,(IF(($B$203+$C$203+$D$203+$E$203+$F$203+$G$203+$H$203+$I$203+$J$203)&lt;=25000,(($J$203/+$AH612)*AC612)*VLOOKUP('1. SUMMARY'!$C$20,rate,Sheet1!AF$21,0),((IF(($F$203+$B$203+$C$203+$D$203+$E$203+$G$203+$H$203+$I$203)&gt;=25000,0,(((25000-($B$203+$C$203+$D$203+$E$203+$F$203+$G$203+$H$203+$I$203))/+$AH612)*AC612)*(VLOOKUP('1. SUMMARY'!$C$20,rate,Sheet1!AF$21,0))))))))</f>
        <v>0</v>
      </c>
      <c r="AD613" s="417">
        <f>IF(AD612=0,0,(IF(($B$203+$C$203+$D$203+$E$203+$F$203+$G$203+$H$203+$I$203+$J$203)&lt;=25000,(($J$203/+$AH612)*AD612)*VLOOKUP('1. SUMMARY'!$C$20,rate,Sheet1!AG$21,0),((IF(($F$203+$B$203+$C$203+$D$203+$E$203+$G$203+$H$203+$I$203)&gt;=25000,0,(((25000-($B$203+$C$203+$D$203+$E$203+$F$203+$G$203+$H$203+$I$203))/+$AH612)*AD612)*(VLOOKUP('1. SUMMARY'!$C$20,rate,Sheet1!AG$21,0))))))))</f>
        <v>0</v>
      </c>
      <c r="AE613" s="417">
        <f>IF(AE612=0,0,(IF(($B$203+$C$203+$D$203+$E$203+$F$203+$G$203+$H$203+$I$203+$J$203)&lt;=25000,(($J$203/+$AH612)*AE612)*VLOOKUP('1. SUMMARY'!$C$20,rate,Sheet1!AH$21,0),((IF(($F$203+$B$203+$C$203+$D$203+$E$203+$G$203+$H$203+$I$203)&gt;=25000,0,(((25000-($B$203+$C$203+$D$203+$E$203+$F$203+$G$203+$H$203+$I$203))/+$AH612)*AE612)*(VLOOKUP('1. SUMMARY'!$C$20,rate,Sheet1!AH$21,0))))))))</f>
        <v>0</v>
      </c>
      <c r="AF613" s="417">
        <f>IF(AF612=0,0,(IF(($B$203+$C$203+$D$203+$E$203+$F$203+$G$203+$H$203+$I$203+$J$203)&lt;=25000,(($J$203/+$AH612)*AF612)*VLOOKUP('1. SUMMARY'!$C$20,rate,Sheet1!AI$21,0),((IF(($F$203+$B$203+$C$203+$D$203+$E$203+$G$203+$H$203+$I$203)&gt;=25000,0,(((25000-($B$203+$C$203+$D$203+$E$203+$F$203+$G$203+$H$203+$I$203))/+$AH612)*AF612)*(VLOOKUP('1. SUMMARY'!$C$20,rate,Sheet1!AI$21,0))))))))</f>
        <v>0</v>
      </c>
      <c r="AG613" s="417">
        <f>IF(AG612=0,0,(IF(($B$203+$C$203+$D$203+$E$203+$F$203+$G$203+$H$203+$I$203+$J$203)&lt;=25000,(($J$203/+$AH612)*AG612)*VLOOKUP('1. SUMMARY'!$C$20,rate,Sheet1!AJ$21,0),((IF(($F$203+$B$203+$C$203+$D$203+$E$203+$G$203+$H$203+$I$203)&gt;=25000,0,(((25000-($B$203+$C$203+$D$203+$E$203+$F$203+$G$203+$H$203+$I$203))/+$AH612)*AG612)*(VLOOKUP('1. SUMMARY'!$C$20,rate,Sheet1!AJ$21,0))))))))</f>
        <v>0</v>
      </c>
      <c r="AH613" s="219">
        <f>SUM(Q613:AG613)</f>
        <v>0</v>
      </c>
      <c r="AI613" s="417">
        <f>IF(AI612=0,0,((+$J203/$AZ612)*AI612)*VLOOKUP('1. SUMMARY'!$C$20,rate,Sheet1!T$21,0))</f>
        <v>0</v>
      </c>
      <c r="AJ613" s="417">
        <f>IF(AJ612=0,0,((+$J203/$AZ612)*AJ612)*VLOOKUP('1. SUMMARY'!$C$20,rate,Sheet1!U$21,0))</f>
        <v>0</v>
      </c>
      <c r="AK613" s="417">
        <f>IF(AK612=0,0,((+$J203/$AZ612)*AK612)*VLOOKUP('1. SUMMARY'!$C$20,rate,Sheet1!V$21,0))</f>
        <v>0</v>
      </c>
      <c r="AL613" s="417">
        <f>IF(AL612=0,0,((+$J203/$AZ612)*AL612)*VLOOKUP('1. SUMMARY'!$C$20,rate,Sheet1!W$21,0))</f>
        <v>0</v>
      </c>
      <c r="AM613" s="417">
        <f>IF(AM612=0,0,((+$J203/$AZ612)*AM612)*VLOOKUP('1. SUMMARY'!$C$20,rate,Sheet1!X$21,0))</f>
        <v>0</v>
      </c>
      <c r="AN613" s="417">
        <f>IF(AN612=0,0,((+$J203/$AZ612)*AN612)*VLOOKUP('1. SUMMARY'!$C$20,rate,Sheet1!Y$21,0))</f>
        <v>0</v>
      </c>
      <c r="AO613" s="417">
        <f>IF(AO612=0,0,((+$J203/$AZ612)*AO612)*VLOOKUP('1. SUMMARY'!$C$20,rate,Sheet1!Z$21,0))</f>
        <v>0</v>
      </c>
      <c r="AP613" s="417">
        <f>IF(AP612=0,0,((+$J203/$AZ612)*AP612)*VLOOKUP('1. SUMMARY'!$C$20,rate,Sheet1!AA$21,0))</f>
        <v>0</v>
      </c>
      <c r="AQ613" s="417">
        <f>IF(AQ612=0,0,((+$J203/$AZ612)*AQ612)*VLOOKUP('1. SUMMARY'!$C$20,rate,Sheet1!AB$21,0))</f>
        <v>0</v>
      </c>
      <c r="AR613" s="417">
        <f>IF(AR612=0,0,((+$J203/$AZ612)*AR612)*VLOOKUP('1. SUMMARY'!$C$20,rate,Sheet1!AC$21,0))</f>
        <v>0</v>
      </c>
      <c r="AS613" s="417">
        <f>IF(AS612=0,0,((+$J203/$AZ612)*AS612)*VLOOKUP('1. SUMMARY'!$C$20,rate,Sheet1!AD$21,0))</f>
        <v>0</v>
      </c>
      <c r="AT613" s="417">
        <f>IF(AT612=0,0,((+$J203/$AZ612)*AT612)*VLOOKUP('1. SUMMARY'!$C$20,rate,Sheet1!AE$21,0))</f>
        <v>0</v>
      </c>
      <c r="AU613" s="417">
        <f>IF(AU612=0,0,((+$J203/$AZ612)*AU612)*VLOOKUP('1. SUMMARY'!$C$20,rate,Sheet1!AF$21,0))</f>
        <v>0</v>
      </c>
      <c r="AV613" s="417">
        <f>IF(AV612=0,0,((+$J203/$AZ612)*AV612)*VLOOKUP('1. SUMMARY'!$C$20,rate,Sheet1!AG$21,0))</f>
        <v>0</v>
      </c>
      <c r="AW613" s="417">
        <f>IF(AW612=0,0,((+$J203/$AZ612)*AW612)*VLOOKUP('1. SUMMARY'!$C$20,rate,Sheet1!AH$21,0))</f>
        <v>0</v>
      </c>
      <c r="AX613" s="417">
        <f>IF(AX612=0,0,((+$J203/$AZ612)*AX612)*VLOOKUP('1. SUMMARY'!$C$20,rate,Sheet1!AI$21,0))</f>
        <v>0</v>
      </c>
      <c r="AY613" s="417">
        <f>IF(AY612=0,0,((+$J203/$AZ612)*AY612)*VLOOKUP('1. SUMMARY'!$C$20,rate,Sheet1!AJ$21,0))</f>
        <v>0</v>
      </c>
      <c r="AZ613" s="417">
        <f>SUM(AI613:AY613)</f>
        <v>0</v>
      </c>
    </row>
    <row r="614" spans="17:52" hidden="1">
      <c r="Q614" s="417">
        <f>+Q613/VLOOKUP('1. SUMMARY'!$C$20,rate,Sheet1!T$21,0)</f>
        <v>0</v>
      </c>
      <c r="R614" s="417">
        <f>+R613/VLOOKUP('1. SUMMARY'!$C$20,rate,Sheet1!U$21,0)</f>
        <v>0</v>
      </c>
      <c r="S614" s="417">
        <f>+S613/VLOOKUP('1. SUMMARY'!$C$20,rate,Sheet1!V$21,0)</f>
        <v>0</v>
      </c>
      <c r="T614" s="417">
        <f>+T613/VLOOKUP('1. SUMMARY'!$C$20,rate,Sheet1!W$21,0)</f>
        <v>0</v>
      </c>
      <c r="U614" s="417">
        <f>+U613/VLOOKUP('1. SUMMARY'!$C$20,rate,Sheet1!X$21,0)</f>
        <v>0</v>
      </c>
      <c r="V614" s="417">
        <f>+V613/VLOOKUP('1. SUMMARY'!$C$20,rate,Sheet1!Y$21,0)</f>
        <v>0</v>
      </c>
      <c r="W614" s="417">
        <f>+W613/VLOOKUP('1. SUMMARY'!$C$20,rate,Sheet1!Z$21,0)</f>
        <v>0</v>
      </c>
      <c r="X614" s="417">
        <f>+X613/VLOOKUP('1. SUMMARY'!$C$20,rate,Sheet1!AA$21,0)</f>
        <v>0</v>
      </c>
      <c r="Y614" s="417">
        <f>+Y613/VLOOKUP('1. SUMMARY'!$C$20,rate,Sheet1!AB$21,0)</f>
        <v>0</v>
      </c>
      <c r="Z614" s="417">
        <f>+Z613/VLOOKUP('1. SUMMARY'!$C$20,rate,Sheet1!AC$21,0)</f>
        <v>0</v>
      </c>
      <c r="AA614" s="417">
        <f>+AA613/VLOOKUP('1. SUMMARY'!$C$20,rate,Sheet1!AD$21,0)</f>
        <v>0</v>
      </c>
      <c r="AB614" s="417">
        <f>+AB613/VLOOKUP('1. SUMMARY'!$C$20,rate,Sheet1!AE$21,0)</f>
        <v>0</v>
      </c>
      <c r="AC614" s="417">
        <f>+AC613/VLOOKUP('1. SUMMARY'!$C$20,rate,Sheet1!AF$21,0)</f>
        <v>0</v>
      </c>
      <c r="AD614" s="417">
        <f>+AD613/VLOOKUP('1. SUMMARY'!$C$20,rate,Sheet1!AG$21,0)</f>
        <v>0</v>
      </c>
      <c r="AE614" s="417">
        <f>+AE613/VLOOKUP('1. SUMMARY'!$C$20,rate,Sheet1!AH$21,0)</f>
        <v>0</v>
      </c>
      <c r="AF614" s="417">
        <f>+AF613/VLOOKUP('1. SUMMARY'!$C$20,rate,Sheet1!AI$21,0)</f>
        <v>0</v>
      </c>
      <c r="AG614" s="417">
        <f>+AG613/VLOOKUP('1. SUMMARY'!$C$20,rate,Sheet1!AJ$21,0)</f>
        <v>0</v>
      </c>
      <c r="AH614" s="219"/>
      <c r="AI614" s="417"/>
      <c r="AJ614" s="417"/>
      <c r="AK614" s="417"/>
      <c r="AL614" s="417"/>
      <c r="AM614" s="417"/>
      <c r="AN614" s="417"/>
      <c r="AO614" s="417"/>
      <c r="AP614" s="417"/>
      <c r="AQ614" s="417"/>
      <c r="AR614" s="417"/>
      <c r="AS614" s="417"/>
      <c r="AT614" s="417"/>
      <c r="AU614" s="417"/>
      <c r="AV614" s="417"/>
      <c r="AW614" s="417"/>
      <c r="AX614" s="417"/>
      <c r="AY614" s="417"/>
      <c r="AZ614" s="417"/>
    </row>
    <row r="615" spans="17:52" hidden="1">
      <c r="Q615" s="420">
        <f>Sheet1!$T$8</f>
        <v>44105</v>
      </c>
      <c r="R615" s="420">
        <f>Sheet1!$U$8</f>
        <v>44470</v>
      </c>
      <c r="S615" s="420">
        <f>Sheet1!$V$8</f>
        <v>44835</v>
      </c>
      <c r="T615" s="420">
        <f>Sheet1!$W$8</f>
        <v>45200</v>
      </c>
      <c r="U615" s="420">
        <f>Sheet1!$X$8</f>
        <v>45566</v>
      </c>
      <c r="V615" s="420">
        <f>Sheet1!$Y$8</f>
        <v>45931</v>
      </c>
      <c r="W615" s="420">
        <f>Sheet1!$Z$8</f>
        <v>46296</v>
      </c>
      <c r="X615" s="420">
        <f>Sheet1!$AA$8</f>
        <v>46661</v>
      </c>
      <c r="Y615" s="420">
        <f>Sheet1!$AB$8</f>
        <v>47027</v>
      </c>
      <c r="Z615" s="420">
        <f>Sheet1!$AC$8</f>
        <v>47392</v>
      </c>
      <c r="AA615" s="420">
        <f>$AA$5</f>
        <v>47757</v>
      </c>
      <c r="AB615" s="420">
        <f>$AB$5</f>
        <v>48122</v>
      </c>
      <c r="AC615" s="420">
        <f>$AC$5</f>
        <v>48488</v>
      </c>
      <c r="AD615" s="420">
        <f>$AD$5</f>
        <v>48853</v>
      </c>
      <c r="AE615" s="420">
        <f>$AE$5</f>
        <v>49218</v>
      </c>
      <c r="AF615" s="420">
        <f>$AF$5</f>
        <v>49583</v>
      </c>
      <c r="AG615" s="420">
        <f>$AG$5</f>
        <v>49949</v>
      </c>
      <c r="AH615" s="219"/>
      <c r="AI615" s="420">
        <f t="shared" ref="AI615:AR617" si="276">+Q615</f>
        <v>44105</v>
      </c>
      <c r="AJ615" s="420">
        <f t="shared" si="276"/>
        <v>44470</v>
      </c>
      <c r="AK615" s="420">
        <f t="shared" si="276"/>
        <v>44835</v>
      </c>
      <c r="AL615" s="420">
        <f t="shared" si="276"/>
        <v>45200</v>
      </c>
      <c r="AM615" s="420">
        <f t="shared" si="276"/>
        <v>45566</v>
      </c>
      <c r="AN615" s="420">
        <f t="shared" si="276"/>
        <v>45931</v>
      </c>
      <c r="AO615" s="420">
        <f t="shared" si="276"/>
        <v>46296</v>
      </c>
      <c r="AP615" s="420">
        <f t="shared" si="276"/>
        <v>46661</v>
      </c>
      <c r="AQ615" s="420">
        <f t="shared" si="276"/>
        <v>47027</v>
      </c>
      <c r="AR615" s="420">
        <f t="shared" si="276"/>
        <v>47392</v>
      </c>
      <c r="AS615" s="420">
        <f t="shared" ref="AS615:AY617" si="277">+AA615</f>
        <v>47757</v>
      </c>
      <c r="AT615" s="420">
        <f t="shared" si="277"/>
        <v>48122</v>
      </c>
      <c r="AU615" s="420">
        <f t="shared" si="277"/>
        <v>48488</v>
      </c>
      <c r="AV615" s="420">
        <f t="shared" si="277"/>
        <v>48853</v>
      </c>
      <c r="AW615" s="420">
        <f t="shared" si="277"/>
        <v>49218</v>
      </c>
      <c r="AX615" s="420">
        <f t="shared" si="277"/>
        <v>49583</v>
      </c>
      <c r="AY615" s="420">
        <f t="shared" si="277"/>
        <v>49949</v>
      </c>
      <c r="AZ615" s="420"/>
    </row>
    <row r="616" spans="17:52" hidden="1">
      <c r="Q616" s="420">
        <f>Sheet1!$T$9</f>
        <v>44469</v>
      </c>
      <c r="R616" s="420">
        <f>Sheet1!$U$9</f>
        <v>44834</v>
      </c>
      <c r="S616" s="420">
        <f>Sheet1!$V$9</f>
        <v>45199</v>
      </c>
      <c r="T616" s="420">
        <f>Sheet1!$W$9</f>
        <v>45565</v>
      </c>
      <c r="U616" s="420">
        <f>Sheet1!$X$9</f>
        <v>45930</v>
      </c>
      <c r="V616" s="420">
        <f>Sheet1!$Y$9</f>
        <v>46295</v>
      </c>
      <c r="W616" s="420">
        <f>Sheet1!$Z$9</f>
        <v>46660</v>
      </c>
      <c r="X616" s="420">
        <f>Sheet1!$AA$9</f>
        <v>47026</v>
      </c>
      <c r="Y616" s="420">
        <f>Sheet1!$AB$9</f>
        <v>47391</v>
      </c>
      <c r="Z616" s="420">
        <f>Sheet1!$AC$9</f>
        <v>47756</v>
      </c>
      <c r="AA616" s="420">
        <f>$AA$6</f>
        <v>48121</v>
      </c>
      <c r="AB616" s="420">
        <f>$AB$6</f>
        <v>48487</v>
      </c>
      <c r="AC616" s="420">
        <f>$AC$6</f>
        <v>48852</v>
      </c>
      <c r="AD616" s="420">
        <f>$AD$6</f>
        <v>49217</v>
      </c>
      <c r="AE616" s="420">
        <f>$AE$6</f>
        <v>49582</v>
      </c>
      <c r="AF616" s="420">
        <f>$AF$6</f>
        <v>49948</v>
      </c>
      <c r="AG616" s="420">
        <f>$AG$6</f>
        <v>50313</v>
      </c>
      <c r="AH616" s="219"/>
      <c r="AI616" s="420">
        <f t="shared" si="276"/>
        <v>44469</v>
      </c>
      <c r="AJ616" s="420">
        <f t="shared" si="276"/>
        <v>44834</v>
      </c>
      <c r="AK616" s="420">
        <f t="shared" si="276"/>
        <v>45199</v>
      </c>
      <c r="AL616" s="420">
        <f t="shared" si="276"/>
        <v>45565</v>
      </c>
      <c r="AM616" s="420">
        <f t="shared" si="276"/>
        <v>45930</v>
      </c>
      <c r="AN616" s="420">
        <f t="shared" si="276"/>
        <v>46295</v>
      </c>
      <c r="AO616" s="420">
        <f t="shared" si="276"/>
        <v>46660</v>
      </c>
      <c r="AP616" s="420">
        <f t="shared" si="276"/>
        <v>47026</v>
      </c>
      <c r="AQ616" s="420">
        <f t="shared" si="276"/>
        <v>47391</v>
      </c>
      <c r="AR616" s="420">
        <f t="shared" si="276"/>
        <v>47756</v>
      </c>
      <c r="AS616" s="420">
        <f t="shared" si="277"/>
        <v>48121</v>
      </c>
      <c r="AT616" s="420">
        <f t="shared" si="277"/>
        <v>48487</v>
      </c>
      <c r="AU616" s="420">
        <f t="shared" si="277"/>
        <v>48852</v>
      </c>
      <c r="AV616" s="420">
        <f t="shared" si="277"/>
        <v>49217</v>
      </c>
      <c r="AW616" s="420">
        <f t="shared" si="277"/>
        <v>49582</v>
      </c>
      <c r="AX616" s="420">
        <f t="shared" si="277"/>
        <v>49948</v>
      </c>
      <c r="AY616" s="420">
        <f t="shared" si="277"/>
        <v>50313</v>
      </c>
      <c r="AZ616" s="420"/>
    </row>
    <row r="617" spans="17:52" hidden="1">
      <c r="Q617" s="421">
        <f>IF(IF(Q616&lt;$K$27,0,DATEDIF($K$27,Q616+1,"m"))&lt;0,0,IF(Q616&lt;$K$27,0,DATEDIF($K$27,Q616+1,"m")))</f>
        <v>0</v>
      </c>
      <c r="R617" s="421">
        <f>IF(IF(Q617=12,0,IF(R616&gt;$K$28,12-DATEDIF($K$28,R616+1,"m"),IF(R616&lt;$K$27,0,DATEDIF($K$27,R616+1,"m"))))&lt;0,0,IF(Q617=12,0,IF(R616&gt;$K$28,12-DATEDIF($K$28,R616+1,"m"),IF(R616&lt;$K$27,0,DATEDIF($K$27,R616+1,"m")))))</f>
        <v>0</v>
      </c>
      <c r="S617" s="421">
        <f>IF(IF(Q617+R617=12,0,IF(S616&gt;$K$28,12-DATEDIF($K$28,S616+1,"m"),IF(S616&lt;$K$27,0,DATEDIF($K$27,S616+1,"m"))))&lt;0,0,IF(Q617+R617=12,0,IF(S616&gt;$K$28,12-DATEDIF($K$28,S616+1,"m"),IF(S616&lt;$K$27,0,DATEDIF($K$27,S616+1,"m")))))</f>
        <v>0</v>
      </c>
      <c r="T617" s="421">
        <f>IF(IF(R617+S617+Q617=12,0,IF(T616&gt;$K$28,12-DATEDIF($K$28,T616+1,"m"),IF(T616&lt;$K$27,0,DATEDIF($K$27,T616+1,"m"))))&lt;0,0,IF(R617+S617+Q617=12,0,IF(T616&gt;$K$28,12-DATEDIF($K$28,T616+1,"m"),IF(T616&lt;$K$27,0,DATEDIF($K$27,T616+1,"m")))))</f>
        <v>0</v>
      </c>
      <c r="U617" s="421">
        <f>IF(IF(S617+T617+R617+Q617=12,0,IF(U616&gt;$K$28,12-DATEDIF($K$28,U616+1,"m"),IF(U616&lt;$K$27,0,DATEDIF($K$27,U616+1,"m"))))&lt;0,0,IF(S617+T617+R617+Q617=12,0,IF(U616&gt;$K$28,12-DATEDIF($K$28,U616+1,"m"),IF(U616&lt;$K$27,0,DATEDIF($K$27,U616+1,"m")))))</f>
        <v>0</v>
      </c>
      <c r="V617" s="421">
        <f>IF(IF(T617+U617+S617+R617+Q617=12,0,IF(V616&gt;$K$28,12-DATEDIF($K$28,V616+1,"m"),IF(V616&lt;$K$27,0,DATEDIF($K$27,V616+1,"m"))))&lt;0,0,IF(T617+U617+S617+R617+Q617=12,0,IF(V616&gt;$K$28,12-DATEDIF($K$28,V616+1,"m"),IF(V616&lt;$K$27,0,DATEDIF($K$27,V616+1,"m")))))</f>
        <v>0</v>
      </c>
      <c r="W617" s="421">
        <f>IF(IF(U617+V617+T617+S617+R617+Q617=12,0,IF(W616&gt;$K$28,12-DATEDIF($K$28,W616+1,"m"),IF(W616&lt;$K$27,0,DATEDIF($K$27,W616+1,"m"))))&lt;0,0,IF(U617+V617+T617+S617+R617+Q617=12,0,IF(W616&gt;$K$28,12-DATEDIF($K$28,W616+1,"m"),IF(W616&lt;$K$27,0,DATEDIF($K$27,W616+1,"m")))))</f>
        <v>0</v>
      </c>
      <c r="X617" s="421">
        <f>IF(IF(V617+W617+U617+T617+S617+R617+Q617=12,0,IF(X616&gt;$K$28,12-DATEDIF($K$28,X616+1,"m"),IF(X616&lt;$K$27,0,DATEDIF($K$27,X616+1,"m"))))&lt;0,0,IF(V617+W617+U617+T617+S617+R617+Q617=12,0,IF(X616&gt;$K$28,12-DATEDIF($K$28,X616+1,"m"),IF(X616&lt;$K$27,0,DATEDIF($K$27,X616+1,"m")))))</f>
        <v>0</v>
      </c>
      <c r="Y617" s="421">
        <f>IF(IF(W617+X617+V617+U617+T617+S617+R617+Q617=12,0,IF(Y616&gt;$K$28,12-DATEDIF($K$28,Y616+1,"m"),IF(Y616&lt;$K$27,0,DATEDIF($K$27,Y616+1,"m"))))&lt;0,0,IF(W617+X617+V617+U617+T617+S617+R617+Q617=12,0,IF(Y616&gt;$K$28,12-DATEDIF($K$28,Y616+1,"m"),IF(Y616&lt;$K$27,0,DATEDIF($K$27,Y616+1,"m")))))</f>
        <v>0</v>
      </c>
      <c r="Z617" s="421">
        <f>IF(IF(X617+Y617+W617+V617+U617+T617+S617+R617+Q617=12,0,IF(Z616&gt;$K$28,12-DATEDIF($K$28,Z616+1,"m"),IF(Z616&lt;$K$27,0,DATEDIF($K$27,Z616+1,"m"))))&lt;0,0,IF(X617+Y617+W617+V617+U617+T617+S617+R617+Q617=12,0,IF(Z616&gt;$K$28,12-DATEDIF($K$28,Z616+1,"m"),IF(Z616&lt;$K$27,0,DATEDIF($K$27,Z616+1,"m")))))</f>
        <v>0</v>
      </c>
      <c r="AA617" s="421">
        <f>IF(IF(Q617+R617+S617+Y617+Z617+X617+W617+V617+U617+T617=12,0,IF(AA616&gt;$K$28,12-DATEDIF($K$28,AA616+1,"m"),IF(AA616&lt;$K$27,0,DATEDIF($K$27,AA616+1,"m"))))&lt;0,0,IF(Q617+R617+S617+Y617+Z617+X617+W617+V617+U617+T617=12,0,IF(AA616&gt;$K$28,12-DATEDIF($K$28,AA616+1,"m"),IF(AA616&lt;$K$27,0,DATEDIF($K$27,AA616+1,"m")))))</f>
        <v>0</v>
      </c>
      <c r="AB617" s="421">
        <f>IF(IF(Q617+R617+S617+T617+Z617+AA617+Y617+X617+W617+V617+U617=12,0,IF(AB616&gt;$K$28,12-DATEDIF($K$28,AB616+1,"m"),IF(AB616&lt;$K$27,0,DATEDIF($K$27,AB616+1,"m"))))&lt;0,0,IF(Q617+R617+S617+T617+Z617+AA617+Y617+X617+W617+V617+U617=12,0,IF(AB616&gt;$K$28,12-DATEDIF($K$28,AB616+1,"m"),IF(AB616&lt;$K$27,0,DATEDIF($K$27,AB616+1,"m")))))</f>
        <v>0</v>
      </c>
      <c r="AC617" s="421">
        <f>IF(IF(Q617+R617+S617+T617+U617+AA617+AB617+Z617+Y617+X617+W617+V617=12,0,IF(AC616&gt;$K$28,12-DATEDIF($K$28,AC616+1,"m"),IF(AC616&lt;$K$27,0,DATEDIF($K$27,AC616+1,"m"))))&lt;0,0,IF(Q617+R617+S617+T617+U617+AA617+AB617+Z617+Y617+X617+W617+V617=12,0,IF(AC616&gt;$K$28,12-DATEDIF($K$28,AC616+1,"m"),IF(AC616&lt;$K$27,0,DATEDIF($K$27,AC616+1,"m")))))</f>
        <v>0</v>
      </c>
      <c r="AD617" s="421">
        <f>IF(IF(Q617+R617+S617+T617+U617+V617+AB617+AC617+AA617+Z617+Y617+X617+W617=12,0,IF(AD616&gt;$K$28,12-DATEDIF($K$28,AD616+1,"m"),IF(AD616&lt;$K$27,0,DATEDIF($K$27,AD616+1,"m"))))&lt;0,0,IF(Q617+R617+S617+T617+U617+V617+AB617+AC617+AA617+Z617+Y617+X617+W617=12,0,IF(AD616&gt;$K$28,12-DATEDIF($K$28,AD616+1,"m"),IF(AD616&lt;$K$27,0,DATEDIF($K$27,AD616+1,"m")))))</f>
        <v>0</v>
      </c>
      <c r="AE617" s="421">
        <f>IF(IF(Q617+R617+S617+T617+U617+V617+W617+AC617+AD617+AB617+AA617+Z617+Y617+X617=12,0,IF(AE616&gt;$K$28,12-DATEDIF($K$28,AE616+1,"m"),IF(AE616&lt;$K$27,0,DATEDIF($K$27,AE616+1,"m"))))&lt;0,0,IF(Q617+R617+S617+T617+U617+V617+W617+AC617+AD617+AB617+AA617+Z617+Y617+X617=12,0,IF(AE616&gt;$K$28,12-DATEDIF($K$28,AE616+1,"m"),IF(AE616&lt;$K$27,0,DATEDIF($K$27,AE616+1,"m")))))</f>
        <v>0</v>
      </c>
      <c r="AF617" s="421">
        <f>IF(IF(Q617+R617+S617+T617+U617+V617+W617+X617+AD617+AE617+AC617+AB617+AA617+Z617+Y617=12,0,IF(AF616&gt;$K$28,12-DATEDIF($K$28,AF616+1,"m"),IF(AF616&lt;$K$27,0,DATEDIF($K$27,AF616+1,"m"))))&lt;0,0,IF(Q617+R617+S617+T617+U617+V617+W617+X617+AD617+AE617+AC617+AB617+AA617+Z617+Y617=12,0,IF(AF616&gt;$K$28,12-DATEDIF($K$28,AF616+1,"m"),IF(AF616&lt;$K$27,0,DATEDIF($K$27,AF616+1,"m")))))</f>
        <v>0</v>
      </c>
      <c r="AG617" s="421">
        <f>IF(IF(Q617+R617+S617+T617+U617+V617+W617+X617+Y617+AE617+AF617+AD617+AC617+AB617+AA617+Z617=12,0,IF(AG616&gt;$K$28,12-DATEDIF($K$28,AG616+1,"m"),IF(AG616&lt;$K$27,0,DATEDIF($K$27,AG616+1,"m"))))&lt;0,0,IF(Q617+R617+S617+T617+U617+V617+W617+X617+Y617+AE617+AF617+AD617+AC617+AB617+AA617+Z617=12,0,IF(AG616&gt;$K$28,12-DATEDIF($K$28,AG616+1,"m"),IF(AG616&lt;$K$27,0,DATEDIF($K$27,AG616+1,"m")))))</f>
        <v>0</v>
      </c>
      <c r="AH617" s="423">
        <f>SUM(Q617:AG617)</f>
        <v>0</v>
      </c>
      <c r="AI617" s="428">
        <f t="shared" si="276"/>
        <v>0</v>
      </c>
      <c r="AJ617" s="428">
        <f t="shared" si="276"/>
        <v>0</v>
      </c>
      <c r="AK617" s="428">
        <f t="shared" si="276"/>
        <v>0</v>
      </c>
      <c r="AL617" s="428">
        <f t="shared" si="276"/>
        <v>0</v>
      </c>
      <c r="AM617" s="428">
        <f t="shared" si="276"/>
        <v>0</v>
      </c>
      <c r="AN617" s="428">
        <f t="shared" si="276"/>
        <v>0</v>
      </c>
      <c r="AO617" s="428">
        <f t="shared" si="276"/>
        <v>0</v>
      </c>
      <c r="AP617" s="428">
        <f t="shared" si="276"/>
        <v>0</v>
      </c>
      <c r="AQ617" s="428">
        <f t="shared" si="276"/>
        <v>0</v>
      </c>
      <c r="AR617" s="428">
        <f t="shared" si="276"/>
        <v>0</v>
      </c>
      <c r="AS617" s="428">
        <f t="shared" si="277"/>
        <v>0</v>
      </c>
      <c r="AT617" s="428">
        <f t="shared" si="277"/>
        <v>0</v>
      </c>
      <c r="AU617" s="428">
        <f t="shared" si="277"/>
        <v>0</v>
      </c>
      <c r="AV617" s="428">
        <f t="shared" si="277"/>
        <v>0</v>
      </c>
      <c r="AW617" s="428">
        <f t="shared" si="277"/>
        <v>0</v>
      </c>
      <c r="AX617" s="428">
        <f t="shared" si="277"/>
        <v>0</v>
      </c>
      <c r="AY617" s="428">
        <f t="shared" si="277"/>
        <v>0</v>
      </c>
      <c r="AZ617" s="428">
        <f>SUM(AI617:AY617)</f>
        <v>0</v>
      </c>
    </row>
    <row r="618" spans="17:52" hidden="1">
      <c r="Q618" s="421">
        <f>IF(Q617=0,0,(IF(($B$203+$C$203+$D$203+$E$203+$F$203+$G$203+$H$203+$I$203+$J$203+$K$203)&lt;=25000,(($K$203/+$AH617)*Q617)*VLOOKUP('1. SUMMARY'!$C$20,rate,Sheet1!T$21,0),((IF(($F$203+$B$203+$C$203+$D$203+$E$203+$G$203+$H$203+$I$203+$J$203)&gt;=25000,0,(((25000-($B$203+$C$203+$D$203+$E$203+$F$203+$G$203+$H$203+$I$203+$J$203))/+$AH617)*Q617)*(VLOOKUP('1. SUMMARY'!$C$20,rate,Sheet1!T$21,0))))))))</f>
        <v>0</v>
      </c>
      <c r="R618" s="421">
        <f>IF(R617=0,0,(IF(($B$203+$C$203+$D$203+$E$203+$F$203+$G$203+$H$203+$I$203+$J$203+$K$203)&lt;=25000,(($K$203/+$AH617)*R617)*VLOOKUP('1. SUMMARY'!$C$20,rate,Sheet1!U$21,0),((IF(($F$203+$B$203+$C$203+$D$203+$E$203+$G$203+$H$203+$I$203+$J$203)&gt;=25000,0,(((25000-($B$203+$C$203+$D$203+$E$203+$F$203+$G$203+$H$203+$I$203+$J$203))/+$AH617)*R617)*(VLOOKUP('1. SUMMARY'!$C$20,rate,Sheet1!U$21,0))))))))</f>
        <v>0</v>
      </c>
      <c r="S618" s="421">
        <f>IF(S617=0,0,(IF(($B$203+$C$203+$D$203+$E$203+$F$203+$G$203+$H$203+$I$203+$J$203+$K$203)&lt;=25000,(($K$203/+$AH617)*S617)*VLOOKUP('1. SUMMARY'!$C$20,rate,Sheet1!V$21,0),((IF(($F$203+$B$203+$C$203+$D$203+$E$203+$G$203+$H$203+$I$203+$J$203)&gt;=25000,0,(((25000-($B$203+$C$203+$D$203+$E$203+$F$203+$G$203+$H$203+$I$203+$J$203))/+$AH617)*S617)*(VLOOKUP('1. SUMMARY'!$C$20,rate,Sheet1!V$21,0))))))))</f>
        <v>0</v>
      </c>
      <c r="T618" s="421">
        <f>IF(T617=0,0,(IF(($B$203+$C$203+$D$203+$E$203+$F$203+$G$203+$H$203+$I$203+$J$203+$K$203)&lt;=25000,(($K$203/+$AH617)*T617)*VLOOKUP('1. SUMMARY'!$C$20,rate,Sheet1!W$21,0),((IF(($F$203+$B$203+$C$203+$D$203+$E$203+$G$203+$H$203+$I$203+$J$203)&gt;=25000,0,(((25000-($B$203+$C$203+$D$203+$E$203+$F$203+$G$203+$H$203+$I$203+$J$203))/+$AH617)*T617)*(VLOOKUP('1. SUMMARY'!$C$20,rate,Sheet1!W$21,0))))))))</f>
        <v>0</v>
      </c>
      <c r="U618" s="421">
        <f>IF(U617=0,0,(IF(($B$203+$C$203+$D$203+$E$203+$F$203+$G$203+$H$203+$I$203+$J$203+$K$203)&lt;=25000,(($K$203/+$AH617)*U617)*VLOOKUP('1. SUMMARY'!$C$20,rate,Sheet1!X$21,0),((IF(($F$203+$B$203+$C$203+$D$203+$E$203+$G$203+$H$203+$I$203+$J$203)&gt;=25000,0,(((25000-($B$203+$C$203+$D$203+$E$203+$F$203+$G$203+$H$203+$I$203+$J$203))/+$AH617)*U617)*(VLOOKUP('1. SUMMARY'!$C$20,rate,Sheet1!X$21,0))))))))</f>
        <v>0</v>
      </c>
      <c r="V618" s="421">
        <f>IF(V617=0,0,(IF(($B$203+$C$203+$D$203+$E$203+$F$203+$G$203+$H$203+$I$203+$J$203+$K$203)&lt;=25000,(($K$203/+$AH617)*V617)*VLOOKUP('1. SUMMARY'!$C$20,rate,Sheet1!Y$21,0),((IF(($F$203+$B$203+$C$203+$D$203+$E$203+$G$203+$H$203+$I$203+$J$203)&gt;=25000,0,(((25000-($B$203+$C$203+$D$203+$E$203+$F$203+$G$203+$H$203+$I$203+$J$203))/+$AH617)*V617)*(VLOOKUP('1. SUMMARY'!$C$20,rate,Sheet1!Y$21,0))))))))</f>
        <v>0</v>
      </c>
      <c r="W618" s="421">
        <f>IF(W617=0,0,(IF(($B$203+$C$203+$D$203+$E$203+$F$203+$G$203+$H$203+$I$203+$J$203+$K$203)&lt;=25000,(($K$203/+$AH617)*W617)*VLOOKUP('1. SUMMARY'!$C$20,rate,Sheet1!Z$21,0),((IF(($F$203+$B$203+$C$203+$D$203+$E$203+$G$203+$H$203+$I$203+$J$203)&gt;=25000,0,(((25000-($B$203+$C$203+$D$203+$E$203+$F$203+$G$203+$H$203+$I$203+$J$203))/+$AH617)*W617)*(VLOOKUP('1. SUMMARY'!$C$20,rate,Sheet1!Z$21,0))))))))</f>
        <v>0</v>
      </c>
      <c r="X618" s="421">
        <f>IF(X617=0,0,(IF(($B$203+$C$203+$D$203+$E$203+$F$203+$G$203+$H$203+$I$203+$J$203+$K$203)&lt;=25000,(($K$203/+$AH617)*X617)*VLOOKUP('1. SUMMARY'!$C$20,rate,Sheet1!AA$21,0),((IF(($F$203+$B$203+$C$203+$D$203+$E$203+$G$203+$H$203+$I$203+$J$203)&gt;=25000,0,(((25000-($B$203+$C$203+$D$203+$E$203+$F$203+$G$203+$H$203+$I$203+$J$203))/+$AH617)*X617)*(VLOOKUP('1. SUMMARY'!$C$20,rate,Sheet1!AA$21,0))))))))</f>
        <v>0</v>
      </c>
      <c r="Y618" s="421">
        <f>IF(Y617=0,0,(IF(($B$203+$C$203+$D$203+$E$203+$F$203+$G$203+$H$203+$I$203+$J$203+$K$203)&lt;=25000,(($K$203/+$AH617)*Y617)*VLOOKUP('1. SUMMARY'!$C$20,rate,Sheet1!AB$21,0),((IF(($F$203+$B$203+$C$203+$D$203+$E$203+$G$203+$H$203+$I$203+$J$203)&gt;=25000,0,(((25000-($B$203+$C$203+$D$203+$E$203+$F$203+$G$203+$H$203+$I$203+$J$203))/+$AH617)*Y617)*(VLOOKUP('1. SUMMARY'!$C$20,rate,Sheet1!AB$21,0))))))))</f>
        <v>0</v>
      </c>
      <c r="Z618" s="421">
        <f>IF(Z617=0,0,(IF(($B$203+$C$203+$D$203+$E$203+$F$203+$G$203+$H$203+$I$203+$J$203+$K$203)&lt;=25000,(($K$203/+$AH617)*Z617)*VLOOKUP('1. SUMMARY'!$C$20,rate,Sheet1!AC$21,0),((IF(($F$203+$B$203+$C$203+$D$203+$E$203+$G$203+$H$203+$I$203+$J$203)&gt;=25000,0,(((25000-($B$203+$C$203+$D$203+$E$203+$F$203+$G$203+$H$203+$I$203+$J$203))/+$AH617)*Z617)*(VLOOKUP('1. SUMMARY'!$C$20,rate,Sheet1!AC$21,0))))))))</f>
        <v>0</v>
      </c>
      <c r="AA618" s="421">
        <f>IF(AA617=0,0,(IF(($B$203+$C$203+$D$203+$E$203+$F$203+$G$203+$H$203+$I$203+$J$203+$K$203)&lt;=25000,(($K$203/+$AH617)*AA617)*VLOOKUP('1. SUMMARY'!$C$20,rate,Sheet1!AD$21,0),((IF(($F$203+$B$203+$C$203+$D$203+$E$203+$G$203+$H$203+$I$203+$J$203)&gt;=25000,0,(((25000-($B$203+$C$203+$D$203+$E$203+$F$203+$G$203+$H$203+$I$203+$J$203))/+$AH617)*AA617)*(VLOOKUP('1. SUMMARY'!$C$20,rate,Sheet1!AD$21,0))))))))</f>
        <v>0</v>
      </c>
      <c r="AB618" s="421">
        <f>IF(AB617=0,0,(IF(($B$203+$C$203+$D$203+$E$203+$F$203+$G$203+$H$203+$I$203+$J$203+$K$203)&lt;=25000,(($K$203/+$AH617)*AB617)*VLOOKUP('1. SUMMARY'!$C$20,rate,Sheet1!AE$21,0),((IF(($F$203+$B$203+$C$203+$D$203+$E$203+$G$203+$H$203+$I$203+$J$203)&gt;=25000,0,(((25000-($B$203+$C$203+$D$203+$E$203+$F$203+$G$203+$H$203+$I$203+$J$203))/+$AH617)*AB617)*(VLOOKUP('1. SUMMARY'!$C$20,rate,Sheet1!AE$21,0))))))))</f>
        <v>0</v>
      </c>
      <c r="AC618" s="421">
        <f>IF(AC617=0,0,(IF(($B$203+$C$203+$D$203+$E$203+$F$203+$G$203+$H$203+$I$203+$J$203+$K$203)&lt;=25000,(($K$203/+$AH617)*AC617)*VLOOKUP('1. SUMMARY'!$C$20,rate,Sheet1!AF$21,0),((IF(($F$203+$B$203+$C$203+$D$203+$E$203+$G$203+$H$203+$I$203+$J$203)&gt;=25000,0,(((25000-($B$203+$C$203+$D$203+$E$203+$F$203+$G$203+$H$203+$I$203+$J$203))/+$AH617)*AC617)*(VLOOKUP('1. SUMMARY'!$C$20,rate,Sheet1!AF$21,0))))))))</f>
        <v>0</v>
      </c>
      <c r="AD618" s="421">
        <f>IF(AD617=0,0,(IF(($B$203+$C$203+$D$203+$E$203+$F$203+$G$203+$H$203+$I$203+$J$203+$K$203)&lt;=25000,(($K$203/+$AH617)*AD617)*VLOOKUP('1. SUMMARY'!$C$20,rate,Sheet1!AG$21,0),((IF(($F$203+$B$203+$C$203+$D$203+$E$203+$G$203+$H$203+$I$203+$J$203)&gt;=25000,0,(((25000-($B$203+$C$203+$D$203+$E$203+$F$203+$G$203+$H$203+$I$203+$J$203))/+$AH617)*AD617)*(VLOOKUP('1. SUMMARY'!$C$20,rate,Sheet1!AG$21,0))))))))</f>
        <v>0</v>
      </c>
      <c r="AE618" s="421">
        <f>IF(AE617=0,0,(IF(($B$203+$C$203+$D$203+$E$203+$F$203+$G$203+$H$203+$I$203+$J$203+$K$203)&lt;=25000,(($K$203/+$AH617)*AE617)*VLOOKUP('1. SUMMARY'!$C$20,rate,Sheet1!AH$21,0),((IF(($F$203+$B$203+$C$203+$D$203+$E$203+$G$203+$H$203+$I$203+$J$203)&gt;=25000,0,(((25000-($B$203+$C$203+$D$203+$E$203+$F$203+$G$203+$H$203+$I$203+$J$203))/+$AH617)*AE617)*(VLOOKUP('1. SUMMARY'!$C$20,rate,Sheet1!AH$21,0))))))))</f>
        <v>0</v>
      </c>
      <c r="AF618" s="421">
        <f>IF(AF617=0,0,(IF(($B$203+$C$203+$D$203+$E$203+$F$203+$G$203+$H$203+$I$203+$J$203+$K$203)&lt;=25000,(($K$203/+$AH617)*AF617)*VLOOKUP('1. SUMMARY'!$C$20,rate,Sheet1!AI$21,0),((IF(($F$203+$B$203+$C$203+$D$203+$E$203+$G$203+$H$203+$I$203+$J$203)&gt;=25000,0,(((25000-($B$203+$C$203+$D$203+$E$203+$F$203+$G$203+$H$203+$I$203+$J$203))/+$AH617)*AF617)*(VLOOKUP('1. SUMMARY'!$C$20,rate,Sheet1!AI$21,0))))))))</f>
        <v>0</v>
      </c>
      <c r="AG618" s="421">
        <f>IF(AG617=0,0,(IF(($B$203+$C$203+$D$203+$E$203+$F$203+$G$203+$H$203+$I$203+$J$203+$K$203)&lt;=25000,(($K$203/+$AH617)*AG617)*VLOOKUP('1. SUMMARY'!$C$20,rate,Sheet1!AJ$21,0),((IF(($F$203+$B$203+$C$203+$D$203+$E$203+$G$203+$H$203+$I$203+$J$203)&gt;=25000,0,(((25000-($B$203+$C$203+$D$203+$E$203+$F$203+$G$203+$H$203+$I$203+$J$203))/+$AH617)*AG617)*(VLOOKUP('1. SUMMARY'!$C$20,rate,Sheet1!AJ$21,0))))))))</f>
        <v>0</v>
      </c>
      <c r="AH618" s="219">
        <f>SUM(Q618:AG618)</f>
        <v>0</v>
      </c>
      <c r="AI618" s="421">
        <f>IF(AI617=0,0,((+$K203/$AZ617)*AI617)*VLOOKUP('1. SUMMARY'!$C$20,rate,Sheet1!T$21,0))</f>
        <v>0</v>
      </c>
      <c r="AJ618" s="421">
        <f>IF(AJ617=0,0,((+$K203/$AZ617)*AJ617)*VLOOKUP('1. SUMMARY'!$C$20,rate,Sheet1!U$21,0))</f>
        <v>0</v>
      </c>
      <c r="AK618" s="421">
        <f>IF(AK617=0,0,((+$K203/$AZ617)*AK617)*VLOOKUP('1. SUMMARY'!$C$20,rate,Sheet1!V$21,0))</f>
        <v>0</v>
      </c>
      <c r="AL618" s="421">
        <f>IF(AL617=0,0,((+$K203/$AZ617)*AL617)*VLOOKUP('1. SUMMARY'!$C$20,rate,Sheet1!W$21,0))</f>
        <v>0</v>
      </c>
      <c r="AM618" s="421">
        <f>IF(AM617=0,0,((+$K203/$AZ617)*AM617)*VLOOKUP('1. SUMMARY'!$C$20,rate,Sheet1!X$21,0))</f>
        <v>0</v>
      </c>
      <c r="AN618" s="421">
        <f>IF(AN617=0,0,((+$K203/$AZ617)*AN617)*VLOOKUP('1. SUMMARY'!$C$20,rate,Sheet1!Y$21,0))</f>
        <v>0</v>
      </c>
      <c r="AO618" s="421">
        <f>IF(AO617=0,0,((+$K203/$AZ617)*AO617)*VLOOKUP('1. SUMMARY'!$C$20,rate,Sheet1!Z$21,0))</f>
        <v>0</v>
      </c>
      <c r="AP618" s="421">
        <f>IF(AP617=0,0,((+$K203/$AZ617)*AP617)*VLOOKUP('1. SUMMARY'!$C$20,rate,Sheet1!AA$21,0))</f>
        <v>0</v>
      </c>
      <c r="AQ618" s="421">
        <f>IF(AQ617=0,0,((+$K203/$AZ617)*AQ617)*VLOOKUP('1. SUMMARY'!$C$20,rate,Sheet1!AB$21,0))</f>
        <v>0</v>
      </c>
      <c r="AR618" s="421">
        <f>IF(AR617=0,0,((+$K203/$AZ617)*AR617)*VLOOKUP('1. SUMMARY'!$C$20,rate,Sheet1!AC$21,0))</f>
        <v>0</v>
      </c>
      <c r="AS618" s="421">
        <f>IF(AS617=0,0,((+$K203/$AZ617)*AS617)*VLOOKUP('1. SUMMARY'!$C$20,rate,Sheet1!AD$21,0))</f>
        <v>0</v>
      </c>
      <c r="AT618" s="421">
        <f>IF(AT617=0,0,((+$K203/$AZ617)*AT617)*VLOOKUP('1. SUMMARY'!$C$20,rate,Sheet1!AE$21,0))</f>
        <v>0</v>
      </c>
      <c r="AU618" s="421">
        <f>IF(AU617=0,0,((+$K203/$AZ617)*AU617)*VLOOKUP('1. SUMMARY'!$C$20,rate,Sheet1!AF$21,0))</f>
        <v>0</v>
      </c>
      <c r="AV618" s="421">
        <f>IF(AV617=0,0,((+$K203/$AZ617)*AV617)*VLOOKUP('1. SUMMARY'!$C$20,rate,Sheet1!AG$21,0))</f>
        <v>0</v>
      </c>
      <c r="AW618" s="421">
        <f>IF(AW617=0,0,((+$K203/$AZ617)*AW617)*VLOOKUP('1. SUMMARY'!$C$20,rate,Sheet1!AH$21,0))</f>
        <v>0</v>
      </c>
      <c r="AX618" s="421">
        <f>IF(AX617=0,0,((+$K203/$AZ617)*AX617)*VLOOKUP('1. SUMMARY'!$C$20,rate,Sheet1!AI$21,0))</f>
        <v>0</v>
      </c>
      <c r="AY618" s="421">
        <f>IF(AY617=0,0,((+$K203/$AZ617)*AY617)*VLOOKUP('1. SUMMARY'!$C$20,rate,Sheet1!AJ$21,0))</f>
        <v>0</v>
      </c>
      <c r="AZ618" s="421">
        <f>SUM(AI618:AY618)</f>
        <v>0</v>
      </c>
    </row>
    <row r="619" spans="17:52" hidden="1">
      <c r="Q619" s="421">
        <f>+Q618/VLOOKUP('1. SUMMARY'!$C$20,rate,Sheet1!T$21,0)</f>
        <v>0</v>
      </c>
      <c r="R619" s="421">
        <f>+R618/VLOOKUP('1. SUMMARY'!$C$20,rate,Sheet1!U$21,0)</f>
        <v>0</v>
      </c>
      <c r="S619" s="421">
        <f>+S618/VLOOKUP('1. SUMMARY'!$C$20,rate,Sheet1!V$21,0)</f>
        <v>0</v>
      </c>
      <c r="T619" s="421">
        <f>+T618/VLOOKUP('1. SUMMARY'!$C$20,rate,Sheet1!W$21,0)</f>
        <v>0</v>
      </c>
      <c r="U619" s="421">
        <f>+U618/VLOOKUP('1. SUMMARY'!$C$20,rate,Sheet1!X$21,0)</f>
        <v>0</v>
      </c>
      <c r="V619" s="421">
        <f>+V618/VLOOKUP('1. SUMMARY'!$C$20,rate,Sheet1!Y$21,0)</f>
        <v>0</v>
      </c>
      <c r="W619" s="421">
        <f>+W618/VLOOKUP('1. SUMMARY'!$C$20,rate,Sheet1!Z$21,0)</f>
        <v>0</v>
      </c>
      <c r="X619" s="421">
        <f>+X618/VLOOKUP('1. SUMMARY'!$C$20,rate,Sheet1!AA$21,0)</f>
        <v>0</v>
      </c>
      <c r="Y619" s="421">
        <f>+Y618/VLOOKUP('1. SUMMARY'!$C$20,rate,Sheet1!AB$21,0)</f>
        <v>0</v>
      </c>
      <c r="Z619" s="421">
        <f>+Z618/VLOOKUP('1. SUMMARY'!$C$20,rate,Sheet1!AC$21,0)</f>
        <v>0</v>
      </c>
      <c r="AA619" s="421">
        <f>+AA618/VLOOKUP('1. SUMMARY'!$C$20,rate,Sheet1!AD$21,0)</f>
        <v>0</v>
      </c>
      <c r="AB619" s="421">
        <f>+AB618/VLOOKUP('1. SUMMARY'!$C$20,rate,Sheet1!AE$21,0)</f>
        <v>0</v>
      </c>
      <c r="AC619" s="421">
        <f>+AC618/VLOOKUP('1. SUMMARY'!$C$20,rate,Sheet1!AF$21,0)</f>
        <v>0</v>
      </c>
      <c r="AD619" s="421">
        <f>+AD618/VLOOKUP('1. SUMMARY'!$C$20,rate,Sheet1!AG$21,0)</f>
        <v>0</v>
      </c>
      <c r="AE619" s="421">
        <f>+AE618/VLOOKUP('1. SUMMARY'!$C$20,rate,Sheet1!AH$21,0)</f>
        <v>0</v>
      </c>
      <c r="AF619" s="421">
        <f>+AF618/VLOOKUP('1. SUMMARY'!$C$20,rate,Sheet1!AI$21,0)</f>
        <v>0</v>
      </c>
      <c r="AG619" s="421">
        <f>+AG618/VLOOKUP('1. SUMMARY'!$C$20,rate,Sheet1!AJ$21,0)</f>
        <v>0</v>
      </c>
      <c r="AH619" s="219"/>
      <c r="AI619" s="421"/>
      <c r="AJ619" s="421"/>
      <c r="AK619" s="421"/>
      <c r="AL619" s="421"/>
      <c r="AM619" s="421"/>
      <c r="AN619" s="421"/>
      <c r="AO619" s="421"/>
      <c r="AP619" s="421"/>
      <c r="AQ619" s="421"/>
      <c r="AR619" s="421"/>
      <c r="AS619" s="421"/>
      <c r="AT619" s="421"/>
      <c r="AU619" s="421"/>
      <c r="AV619" s="421"/>
      <c r="AW619" s="421"/>
      <c r="AX619" s="421"/>
      <c r="AY619" s="421"/>
      <c r="AZ619" s="421"/>
    </row>
    <row r="620" spans="17:52" hidden="1">
      <c r="Q620" s="396">
        <f>Sheet1!$T$8</f>
        <v>44105</v>
      </c>
      <c r="R620" s="396">
        <f>Sheet1!$U$8</f>
        <v>44470</v>
      </c>
      <c r="S620" s="396">
        <f>Sheet1!$V$8</f>
        <v>44835</v>
      </c>
      <c r="T620" s="396">
        <f>Sheet1!$W$8</f>
        <v>45200</v>
      </c>
      <c r="U620" s="396">
        <f>Sheet1!$X$8</f>
        <v>45566</v>
      </c>
      <c r="V620" s="396">
        <f>Sheet1!$Y$8</f>
        <v>45931</v>
      </c>
      <c r="W620" s="396">
        <f>Sheet1!$Z$8</f>
        <v>46296</v>
      </c>
      <c r="X620" s="396">
        <f>Sheet1!$AA$8</f>
        <v>46661</v>
      </c>
      <c r="Y620" s="396">
        <f>Sheet1!$AB$8</f>
        <v>47027</v>
      </c>
      <c r="Z620" s="396">
        <f>Sheet1!$AC$8</f>
        <v>47392</v>
      </c>
      <c r="AA620" s="396">
        <f>$AA$5</f>
        <v>47757</v>
      </c>
      <c r="AB620" s="396">
        <f>$AB$5</f>
        <v>48122</v>
      </c>
      <c r="AC620" s="396">
        <f>$AC$5</f>
        <v>48488</v>
      </c>
      <c r="AD620" s="396">
        <f>$AD$5</f>
        <v>48853</v>
      </c>
      <c r="AE620" s="396">
        <f>$AE$5</f>
        <v>49218</v>
      </c>
      <c r="AF620" s="396">
        <f>$AF$5</f>
        <v>49583</v>
      </c>
      <c r="AG620" s="396">
        <f>$AG$5</f>
        <v>49949</v>
      </c>
      <c r="AH620" s="211"/>
      <c r="AI620" s="396">
        <f t="shared" ref="AI620:AR622" si="278">+Q620</f>
        <v>44105</v>
      </c>
      <c r="AJ620" s="396">
        <f t="shared" si="278"/>
        <v>44470</v>
      </c>
      <c r="AK620" s="396">
        <f t="shared" si="278"/>
        <v>44835</v>
      </c>
      <c r="AL620" s="396">
        <f t="shared" si="278"/>
        <v>45200</v>
      </c>
      <c r="AM620" s="396">
        <f t="shared" si="278"/>
        <v>45566</v>
      </c>
      <c r="AN620" s="396">
        <f t="shared" si="278"/>
        <v>45931</v>
      </c>
      <c r="AO620" s="396">
        <f t="shared" si="278"/>
        <v>46296</v>
      </c>
      <c r="AP620" s="396">
        <f t="shared" si="278"/>
        <v>46661</v>
      </c>
      <c r="AQ620" s="396">
        <f t="shared" si="278"/>
        <v>47027</v>
      </c>
      <c r="AR620" s="396">
        <f t="shared" si="278"/>
        <v>47392</v>
      </c>
      <c r="AS620" s="396">
        <f t="shared" ref="AS620:AY622" si="279">+AA620</f>
        <v>47757</v>
      </c>
      <c r="AT620" s="396">
        <f t="shared" si="279"/>
        <v>48122</v>
      </c>
      <c r="AU620" s="396">
        <f t="shared" si="279"/>
        <v>48488</v>
      </c>
      <c r="AV620" s="396">
        <f t="shared" si="279"/>
        <v>48853</v>
      </c>
      <c r="AW620" s="396">
        <f t="shared" si="279"/>
        <v>49218</v>
      </c>
      <c r="AX620" s="396">
        <f t="shared" si="279"/>
        <v>49583</v>
      </c>
      <c r="AY620" s="396">
        <f t="shared" si="279"/>
        <v>49949</v>
      </c>
      <c r="AZ620" s="396"/>
    </row>
    <row r="621" spans="17:52" hidden="1">
      <c r="Q621" s="396">
        <f>Sheet1!$T$9</f>
        <v>44469</v>
      </c>
      <c r="R621" s="396">
        <f>Sheet1!$U$9</f>
        <v>44834</v>
      </c>
      <c r="S621" s="396">
        <f>Sheet1!$V$9</f>
        <v>45199</v>
      </c>
      <c r="T621" s="396">
        <f>Sheet1!$W$9</f>
        <v>45565</v>
      </c>
      <c r="U621" s="396">
        <f>Sheet1!$X$9</f>
        <v>45930</v>
      </c>
      <c r="V621" s="396">
        <f>Sheet1!$Y$9</f>
        <v>46295</v>
      </c>
      <c r="W621" s="396">
        <f>Sheet1!$Z$9</f>
        <v>46660</v>
      </c>
      <c r="X621" s="396">
        <f>Sheet1!$AA$9</f>
        <v>47026</v>
      </c>
      <c r="Y621" s="396">
        <f>Sheet1!$AB$9</f>
        <v>47391</v>
      </c>
      <c r="Z621" s="396">
        <f>Sheet1!$AC$9</f>
        <v>47756</v>
      </c>
      <c r="AA621" s="396">
        <f>$AA$6</f>
        <v>48121</v>
      </c>
      <c r="AB621" s="396">
        <f>$AB$6</f>
        <v>48487</v>
      </c>
      <c r="AC621" s="396">
        <f>$AC$6</f>
        <v>48852</v>
      </c>
      <c r="AD621" s="396">
        <f>$AD$6</f>
        <v>49217</v>
      </c>
      <c r="AE621" s="396">
        <f>$AE$6</f>
        <v>49582</v>
      </c>
      <c r="AF621" s="396">
        <f>$AF$6</f>
        <v>49948</v>
      </c>
      <c r="AG621" s="396">
        <f>$AG$6</f>
        <v>50313</v>
      </c>
      <c r="AH621" s="211"/>
      <c r="AI621" s="396">
        <f t="shared" si="278"/>
        <v>44469</v>
      </c>
      <c r="AJ621" s="396">
        <f t="shared" si="278"/>
        <v>44834</v>
      </c>
      <c r="AK621" s="396">
        <f t="shared" si="278"/>
        <v>45199</v>
      </c>
      <c r="AL621" s="396">
        <f t="shared" si="278"/>
        <v>45565</v>
      </c>
      <c r="AM621" s="396">
        <f t="shared" si="278"/>
        <v>45930</v>
      </c>
      <c r="AN621" s="396">
        <f t="shared" si="278"/>
        <v>46295</v>
      </c>
      <c r="AO621" s="396">
        <f t="shared" si="278"/>
        <v>46660</v>
      </c>
      <c r="AP621" s="396">
        <f t="shared" si="278"/>
        <v>47026</v>
      </c>
      <c r="AQ621" s="396">
        <f t="shared" si="278"/>
        <v>47391</v>
      </c>
      <c r="AR621" s="396">
        <f t="shared" si="278"/>
        <v>47756</v>
      </c>
      <c r="AS621" s="396">
        <f t="shared" si="279"/>
        <v>48121</v>
      </c>
      <c r="AT621" s="396">
        <f t="shared" si="279"/>
        <v>48487</v>
      </c>
      <c r="AU621" s="396">
        <f t="shared" si="279"/>
        <v>48852</v>
      </c>
      <c r="AV621" s="396">
        <f t="shared" si="279"/>
        <v>49217</v>
      </c>
      <c r="AW621" s="396">
        <f t="shared" si="279"/>
        <v>49582</v>
      </c>
      <c r="AX621" s="396">
        <f t="shared" si="279"/>
        <v>49948</v>
      </c>
      <c r="AY621" s="396">
        <f t="shared" si="279"/>
        <v>50313</v>
      </c>
      <c r="AZ621" s="396"/>
    </row>
    <row r="622" spans="17:52" hidden="1">
      <c r="Q622" s="397">
        <f>IF(IF(Q621&lt;$B$27,0,DATEDIF($B$27,Q621+1,"m"))&lt;0,0,IF(Q621&lt;$B$27,0,DATEDIF($B$27,Q621+1,"m")))</f>
        <v>1461</v>
      </c>
      <c r="R622" s="397">
        <f>IF(IF(Q622=12,0,IF(R621&gt;$B$28,12-DATEDIF($B$28,R621+1,"m"),IF(R621&lt;$B$27,0,DATEDIF($B$27,R621+1,"m"))))&lt;0,0,IF(Q622=12,0,IF(R621&gt;$B$28,12-DATEDIF($B$28,R621+1,"m"),IF(R621&lt;$B$27,0,DATEDIF($B$27,R621+1,"m")))))</f>
        <v>0</v>
      </c>
      <c r="S622" s="397">
        <f>IF(IF(Q622+R622=12,0,IF(S621&gt;$B$28,12-DATEDIF($B$28,S621+1,"m"),IF(S621&lt;$B$27,0,DATEDIF($B$27,S621+1,"m"))))&lt;0,0,IF(Q622+R622=12,0,IF(S621&gt;$B$28,12-DATEDIF($B$28,S621+1,"m"),IF(S621&lt;$B$27,0,DATEDIF($B$27,S621+1,"m")))))</f>
        <v>0</v>
      </c>
      <c r="T622" s="397">
        <f>IF(IF(R622+S622+Q622=12,0,IF(T621&gt;$B$28,12-DATEDIF($B$28,T621+1,"m"),IF(T621&lt;$B$27,0,DATEDIF($B$27,T621+1,"m"))))&lt;0,0,IF(R622+S622+Q622=12,0,IF(T621&gt;$B$28,12-DATEDIF($B$28,T621+1,"m"),IF(T621&lt;$B$27,0,DATEDIF($B$27,T621+1,"m")))))</f>
        <v>0</v>
      </c>
      <c r="U622" s="397">
        <f>IF(IF(S622+T622+R622+Q622=12,0,IF(U621&gt;$B$28,12-DATEDIF($B$28,U621+1,"m"),IF(U621&lt;$B$27,0,DATEDIF($B$27,U621+1,"m"))))&lt;0,0,IF(S622+T622+R622+Q622=12,0,IF(U621&gt;$B$28,12-DATEDIF($B$28,U621+1,"m"),IF(U621&lt;$B$27,0,DATEDIF($B$27,U621+1,"m")))))</f>
        <v>0</v>
      </c>
      <c r="V622" s="397">
        <f>IF(IF(T622+U622+S622+R622+Q622=12,0,IF(V621&gt;$B$28,12-DATEDIF($B$28,V621+1,"m"),IF(V621&lt;$B$27,0,DATEDIF($B$27,V621+1,"m"))))&lt;0,0,IF(T622+U622+S622+R622+Q622=12,0,IF(V621&gt;$B$28,12-DATEDIF($B$28,V621+1,"m"),IF(V621&lt;$B$27,0,DATEDIF($B$27,V621+1,"m")))))</f>
        <v>0</v>
      </c>
      <c r="W622" s="397">
        <f>IF(IF(U622+V622+T622+S622+R622+Q622=12,0,IF(W621&gt;$B$28,12-DATEDIF($B$28,W621+1,"m"),IF(W621&lt;$B$27,0,DATEDIF($B$27,W621+1,"m"))))&lt;0,0,IF(U622+V622+T622+S622+R622+Q622=12,0,IF(W621&gt;$B$28,12-DATEDIF($B$28,W621+1,"m"),IF(W621&lt;$B$27,0,DATEDIF($B$27,W621+1,"m")))))</f>
        <v>0</v>
      </c>
      <c r="X622" s="397">
        <f>IF(IF(V622+W622+U622+T622+S622+R622+Q622=12,0,IF(X621&gt;$B$28,12-DATEDIF($B$28,X621+1,"m"),IF(X621&lt;$B$27,0,DATEDIF($B$27,X621+1,"m"))))&lt;0,0,IF(V622+W622+U622+T622+S622+R622+Q622=12,0,IF(X621&gt;$B$28,12-DATEDIF($B$28,X621+1,"m"),IF(X621&lt;$B$27,0,DATEDIF($B$27,X621+1,"m")))))</f>
        <v>0</v>
      </c>
      <c r="Y622" s="397">
        <f>IF(IF(W622+X622+V622+U622+T622+S622+R622=12,0,IF(Y621&gt;$B$28,12-DATEDIF($B$28,Y621+1,"m"),IF(Y621&lt;$B$27,0,DATEDIF($B$27,Y621+1,"m"))))&lt;0,0,IF(W622+X622+V622+U622+T622+S622+R622=12,0,IF(Y621&gt;$B$28,12-DATEDIF($B$28,Y621+1,"m"),IF(Y621&lt;$B$27,0,DATEDIF($B$27,Y621+1,"m")))))</f>
        <v>0</v>
      </c>
      <c r="Z622" s="397">
        <f>IF(IF(X622+Y622+W622+V622+U622+T622+S622=12,0,IF(Z621&gt;$B$28,12-DATEDIF($B$28,Z621+1,"m"),IF(Z621&lt;$B$27,0,DATEDIF($B$27,Z621+1,"m"))))&lt;0,0,IF(X622+Y622+W622+V622+U622+T622+S622=12,0,IF(Z621&gt;$B$28,12-DATEDIF($B$28,Z621+1,"m"),IF(Z621&lt;$B$27,0,DATEDIF($B$27,Z621+1,"m")))))</f>
        <v>0</v>
      </c>
      <c r="AA622" s="397"/>
      <c r="AB622" s="397"/>
      <c r="AC622" s="397"/>
      <c r="AD622" s="397"/>
      <c r="AE622" s="397"/>
      <c r="AF622" s="397"/>
      <c r="AG622" s="397"/>
      <c r="AH622" s="423">
        <f>SUM(Q622:AG622)</f>
        <v>1461</v>
      </c>
      <c r="AI622" s="397">
        <f t="shared" si="278"/>
        <v>1461</v>
      </c>
      <c r="AJ622" s="397">
        <f t="shared" si="278"/>
        <v>0</v>
      </c>
      <c r="AK622" s="397">
        <f t="shared" si="278"/>
        <v>0</v>
      </c>
      <c r="AL622" s="397">
        <f t="shared" si="278"/>
        <v>0</v>
      </c>
      <c r="AM622" s="397">
        <f t="shared" si="278"/>
        <v>0</v>
      </c>
      <c r="AN622" s="397">
        <f t="shared" si="278"/>
        <v>0</v>
      </c>
      <c r="AO622" s="397">
        <f t="shared" si="278"/>
        <v>0</v>
      </c>
      <c r="AP622" s="397">
        <f t="shared" si="278"/>
        <v>0</v>
      </c>
      <c r="AQ622" s="397">
        <f t="shared" si="278"/>
        <v>0</v>
      </c>
      <c r="AR622" s="397">
        <f t="shared" si="278"/>
        <v>0</v>
      </c>
      <c r="AS622" s="397">
        <f t="shared" si="279"/>
        <v>0</v>
      </c>
      <c r="AT622" s="397">
        <f t="shared" si="279"/>
        <v>0</v>
      </c>
      <c r="AU622" s="397">
        <f t="shared" si="279"/>
        <v>0</v>
      </c>
      <c r="AV622" s="397">
        <f t="shared" si="279"/>
        <v>0</v>
      </c>
      <c r="AW622" s="397">
        <f t="shared" si="279"/>
        <v>0</v>
      </c>
      <c r="AX622" s="397">
        <f t="shared" si="279"/>
        <v>0</v>
      </c>
      <c r="AY622" s="397">
        <f t="shared" si="279"/>
        <v>0</v>
      </c>
      <c r="AZ622" s="397">
        <f>SUM(AI622:AY622)</f>
        <v>1461</v>
      </c>
    </row>
    <row r="623" spans="17:52" hidden="1">
      <c r="Q623" s="398">
        <f>IF(Q622=0,0,(IF($B$220&gt;25000,((25000/+$AH622)*Q622)*VLOOKUP('1. SUMMARY'!$C$20,rate,Sheet1!T$21,0),(($B$220/+$AH622)*Q622)*VLOOKUP('1. SUMMARY'!$C$20,rate,Sheet1!T$21,0))))</f>
        <v>0</v>
      </c>
      <c r="R623" s="398">
        <f>IF(R622=0,0,(IF($B$220&gt;25000,((25000/+$AH622)*R622)*VLOOKUP('1. SUMMARY'!$C$20,rate,Sheet1!U$21,0),(($B$220/+$AH622)*R622)*VLOOKUP('1. SUMMARY'!$C$20,rate,Sheet1!U$21,0))))</f>
        <v>0</v>
      </c>
      <c r="S623" s="398">
        <f>IF(S622=0,0,(IF($B$220&gt;25000,((25000/+$AH622)*S622)*VLOOKUP('1. SUMMARY'!$C$20,rate,Sheet1!V$21,0),(($B$220/+$AH622)*S622)*VLOOKUP('1. SUMMARY'!$C$20,rate,Sheet1!V$21,0))))</f>
        <v>0</v>
      </c>
      <c r="T623" s="398">
        <f>IF(T622=0,0,(IF($B$220&gt;25000,((25000/+$AH622)*T622)*VLOOKUP('1. SUMMARY'!$C$20,rate,Sheet1!W$21,0),(($B$220/+$AH622)*T622)*VLOOKUP('1. SUMMARY'!$C$20,rate,Sheet1!W$21,0))))</f>
        <v>0</v>
      </c>
      <c r="U623" s="398">
        <f>IF(U622=0,0,(IF($B$220&gt;25000,((25000/+$AH622)*U622)*VLOOKUP('1. SUMMARY'!$C$20,rate,Sheet1!X$21,0),(($B$220/+$AH622)*U622)*VLOOKUP('1. SUMMARY'!$C$20,rate,Sheet1!X$21,0))))</f>
        <v>0</v>
      </c>
      <c r="V623" s="398">
        <f>IF(V622=0,0,(IF($B$220&gt;25000,((25000/+$AH622)*V622)*VLOOKUP('1. SUMMARY'!$C$20,rate,Sheet1!Y$21,0),(($B$220/+$AH622)*V622)*VLOOKUP('1. SUMMARY'!$C$20,rate,Sheet1!Y$21,0))))</f>
        <v>0</v>
      </c>
      <c r="W623" s="398">
        <f>IF(W622=0,0,(IF($B$220&gt;25000,((25000/+$AH622)*W622)*VLOOKUP('1. SUMMARY'!$C$20,rate,Sheet1!Z$21,0),(($B$220/+$AH622)*W622)*VLOOKUP('1. SUMMARY'!$C$20,rate,Sheet1!Z$21,0))))</f>
        <v>0</v>
      </c>
      <c r="X623" s="398">
        <f>IF(X622=0,0,(IF($B$220&gt;25000,((25000/+$AH622)*X622)*VLOOKUP('1. SUMMARY'!$C$20,rate,Sheet1!AA$21,0),(($B$220/+$AH622)*X622)*VLOOKUP('1. SUMMARY'!$C$20,rate,Sheet1!AA$21,0))))</f>
        <v>0</v>
      </c>
      <c r="Y623" s="398">
        <f>IF(Y622=0,0,(IF($B$220&gt;25000,((25000/+$AH622)*Y622)*VLOOKUP('1. SUMMARY'!$C$20,rate,Sheet1!AB$21,0),(($B$220/+$AH622)*Y622)*VLOOKUP('1. SUMMARY'!$C$20,rate,Sheet1!AB$21,0))))</f>
        <v>0</v>
      </c>
      <c r="Z623" s="398">
        <f>IF(Z622=0,0,(IF($B$220&gt;25000,((25000/+$AH622)*Z622)*VLOOKUP('1. SUMMARY'!$C$20,rate,Sheet1!AC$21,0),(($B$220/+$AH622)*Z622)*VLOOKUP('1. SUMMARY'!$C$20,rate,Sheet1!AC$21,0))))</f>
        <v>0</v>
      </c>
      <c r="AA623" s="398">
        <f>IF(AA622=0,0,(IF($B$220&gt;25000,((25000/+$AH622)*AA622)*VLOOKUP('1. SUMMARY'!$C$20,rate,Sheet1!AD$21,0),(($B$220/+$AH622)*AA622)*VLOOKUP('1. SUMMARY'!$C$20,rate,Sheet1!AD$21,0))))</f>
        <v>0</v>
      </c>
      <c r="AB623" s="398">
        <f>IF(AB622=0,0,(IF($B$220&gt;25000,((25000/+$AH622)*AB622)*VLOOKUP('1. SUMMARY'!$C$20,rate,Sheet1!AE$21,0),(($B$220/+$AH622)*AB622)*VLOOKUP('1. SUMMARY'!$C$20,rate,Sheet1!AE$21,0))))</f>
        <v>0</v>
      </c>
      <c r="AC623" s="398">
        <f>IF(AC622=0,0,(IF($B$220&gt;25000,((25000/+$AH622)*AC622)*VLOOKUP('1. SUMMARY'!$C$20,rate,Sheet1!AF$21,0),(($B$220/+$AH622)*AC622)*VLOOKUP('1. SUMMARY'!$C$20,rate,Sheet1!AF$21,0))))</f>
        <v>0</v>
      </c>
      <c r="AD623" s="398">
        <f>IF(AD622=0,0,(IF($B$220&gt;25000,((25000/+$AH622)*AD622)*VLOOKUP('1. SUMMARY'!$C$20,rate,Sheet1!AG$21,0),(($B$220/+$AH622)*AD622)*VLOOKUP('1. SUMMARY'!$C$20,rate,Sheet1!AG$21,0))))</f>
        <v>0</v>
      </c>
      <c r="AE623" s="398">
        <f>IF(AE622=0,0,(IF($B$220&gt;25000,((25000/+$AH622)*AE622)*VLOOKUP('1. SUMMARY'!$C$20,rate,Sheet1!AH$21,0),(($B$220/+$AH622)*AE622)*VLOOKUP('1. SUMMARY'!$C$20,rate,Sheet1!AH$21,0))))</f>
        <v>0</v>
      </c>
      <c r="AF623" s="398">
        <f>IF(AF622=0,0,(IF($B$220&gt;25000,((25000/+$AH622)*AF622)*VLOOKUP('1. SUMMARY'!$C$20,rate,Sheet1!AI$21,0),(($B$220/+$AH622)*AF622)*VLOOKUP('1. SUMMARY'!$C$20,rate,Sheet1!AI$21,0))))</f>
        <v>0</v>
      </c>
      <c r="AG623" s="398">
        <f>IF(AG622=0,0,(IF($B$220&gt;25000,((25000/+$AH622)*AG622)*VLOOKUP('1. SUMMARY'!$C$20,rate,Sheet1!AJ$21,0),(($B$220/+$AH622)*AG622)*VLOOKUP('1. SUMMARY'!$C$20,rate,Sheet1!AJ$21,0))))</f>
        <v>0</v>
      </c>
      <c r="AH623" s="219">
        <f>SUM(Q623:AG623)</f>
        <v>0</v>
      </c>
      <c r="AI623" s="398">
        <f>IF(Q622=0,0,((+$B220/$AZ622)*AI622)*VLOOKUP('1. SUMMARY'!$C$20,rate,Sheet1!T$21,0))</f>
        <v>0</v>
      </c>
      <c r="AJ623" s="398">
        <f>IF(R622=0,0,((+$B220/$AZ622)*AJ622)*VLOOKUP('1. SUMMARY'!$C$20,rate,Sheet1!U$21,0))</f>
        <v>0</v>
      </c>
      <c r="AK623" s="398">
        <f>IF(S622=0,0,((+$B220/$AZ622)*AK622)*VLOOKUP('1. SUMMARY'!$C$20,rate,Sheet1!V$21,0))</f>
        <v>0</v>
      </c>
      <c r="AL623" s="398">
        <f>IF(T622=0,0,((+$B220/$AZ622)*AL622)*VLOOKUP('1. SUMMARY'!$C$20,rate,Sheet1!W$21,0))</f>
        <v>0</v>
      </c>
      <c r="AM623" s="398">
        <f>IF(U622=0,0,((+$B220/$AZ622)*AM622)*VLOOKUP('1. SUMMARY'!$C$20,rate,Sheet1!X$21,0))</f>
        <v>0</v>
      </c>
      <c r="AN623" s="398">
        <f>IF(V622=0,0,((+$B220/$AZ622)*AN622)*VLOOKUP('1. SUMMARY'!$C$20,rate,Sheet1!Y$21,0))</f>
        <v>0</v>
      </c>
      <c r="AO623" s="398">
        <f>IF(W622=0,0,((+$B220/$AZ622)*AO622)*VLOOKUP('1. SUMMARY'!$C$20,rate,Sheet1!Z$21,0))</f>
        <v>0</v>
      </c>
      <c r="AP623" s="398">
        <f>IF(X622=0,0,((+$B220/$AZ622)*AP622)*VLOOKUP('1. SUMMARY'!$C$20,rate,Sheet1!AA$21,0))</f>
        <v>0</v>
      </c>
      <c r="AQ623" s="398">
        <f>IF(Y622=0,0,((+$B220/$AZ622)*AQ622)*VLOOKUP('1. SUMMARY'!$C$20,rate,Sheet1!AB$21,0))</f>
        <v>0</v>
      </c>
      <c r="AR623" s="398">
        <f>IF(Z622=0,0,((+$B220/$AZ622)*AR622)*VLOOKUP('1. SUMMARY'!$C$20,rate,Sheet1!AC$21,0))</f>
        <v>0</v>
      </c>
      <c r="AS623" s="398">
        <f>IF(AA622=0,0,((+$B220/$AZ622)*AS622)*VLOOKUP('1. SUMMARY'!$C$20,rate,Sheet1!AD$21,0))</f>
        <v>0</v>
      </c>
      <c r="AT623" s="398">
        <f>IF(AB622=0,0,((+$B220/$AZ622)*AT622)*VLOOKUP('1. SUMMARY'!$C$20,rate,Sheet1!AE$21,0))</f>
        <v>0</v>
      </c>
      <c r="AU623" s="398">
        <f>IF(AC622=0,0,((+$B220/$AZ622)*AU622)*VLOOKUP('1. SUMMARY'!$C$20,rate,Sheet1!AF$21,0))</f>
        <v>0</v>
      </c>
      <c r="AV623" s="398">
        <f>IF(AD622=0,0,((+$B220/$AZ622)*AV622)*VLOOKUP('1. SUMMARY'!$C$20,rate,Sheet1!AG$21,0))</f>
        <v>0</v>
      </c>
      <c r="AW623" s="398">
        <f>IF(AE622=0,0,((+$B220/$AZ622)*AW622)*VLOOKUP('1. SUMMARY'!$C$20,rate,Sheet1!AH$21,0))</f>
        <v>0</v>
      </c>
      <c r="AX623" s="398">
        <f>IF(AF622=0,0,((+$B220/$AZ622)*AX622)*VLOOKUP('1. SUMMARY'!$C$20,rate,Sheet1!AI$21,0))</f>
        <v>0</v>
      </c>
      <c r="AY623" s="398">
        <f>IF(AG622=0,0,((+$B220/$AZ622)*AY622)*VLOOKUP('1. SUMMARY'!$C$20,rate,Sheet1!AJ$21,0))</f>
        <v>0</v>
      </c>
      <c r="AZ623" s="398">
        <f>SUM(AI623:AY623)</f>
        <v>0</v>
      </c>
    </row>
    <row r="624" spans="17:52" hidden="1">
      <c r="Q624" s="398">
        <f>+Q623/VLOOKUP('1. SUMMARY'!$C$20,rate,Sheet1!T$21,0)</f>
        <v>0</v>
      </c>
      <c r="R624" s="398">
        <f>+R623/VLOOKUP('1. SUMMARY'!$C$20,rate,Sheet1!U$21,0)</f>
        <v>0</v>
      </c>
      <c r="S624" s="398">
        <f>+S623/VLOOKUP('1. SUMMARY'!$C$20,rate,Sheet1!V$21,0)</f>
        <v>0</v>
      </c>
      <c r="T624" s="398">
        <f>+T623/VLOOKUP('1. SUMMARY'!$C$20,rate,Sheet1!W$21,0)</f>
        <v>0</v>
      </c>
      <c r="U624" s="398">
        <f>+U623/VLOOKUP('1. SUMMARY'!$C$20,rate,Sheet1!X$21,0)</f>
        <v>0</v>
      </c>
      <c r="V624" s="398">
        <f>+V623/VLOOKUP('1. SUMMARY'!$C$20,rate,Sheet1!Y$21,0)</f>
        <v>0</v>
      </c>
      <c r="W624" s="398">
        <f>+W623/VLOOKUP('1. SUMMARY'!$C$20,rate,Sheet1!Z$21,0)</f>
        <v>0</v>
      </c>
      <c r="X624" s="398">
        <f>+X623/VLOOKUP('1. SUMMARY'!$C$20,rate,Sheet1!AA$21,0)</f>
        <v>0</v>
      </c>
      <c r="Y624" s="398">
        <f>+Y623/VLOOKUP('1. SUMMARY'!$C$20,rate,Sheet1!AB$21,0)</f>
        <v>0</v>
      </c>
      <c r="Z624" s="398">
        <f>+Z623/VLOOKUP('1. SUMMARY'!$C$20,rate,Sheet1!AC$21,0)</f>
        <v>0</v>
      </c>
      <c r="AA624" s="398">
        <f>+AA623/VLOOKUP('1. SUMMARY'!$C$20,rate,Sheet1!AD$21,0)</f>
        <v>0</v>
      </c>
      <c r="AB624" s="398">
        <f>+AB623/VLOOKUP('1. SUMMARY'!$C$20,rate,Sheet1!AE$21,0)</f>
        <v>0</v>
      </c>
      <c r="AC624" s="398">
        <f>+AC623/VLOOKUP('1. SUMMARY'!$C$20,rate,Sheet1!AF$21,0)</f>
        <v>0</v>
      </c>
      <c r="AD624" s="398">
        <f>+AD623/VLOOKUP('1. SUMMARY'!$C$20,rate,Sheet1!AG$21,0)</f>
        <v>0</v>
      </c>
      <c r="AE624" s="398">
        <f>+AE623/VLOOKUP('1. SUMMARY'!$C$20,rate,Sheet1!AH$21,0)</f>
        <v>0</v>
      </c>
      <c r="AF624" s="398">
        <f>+AF623/VLOOKUP('1. SUMMARY'!$C$20,rate,Sheet1!AI$21,0)</f>
        <v>0</v>
      </c>
      <c r="AG624" s="398">
        <f>+AG623/VLOOKUP('1. SUMMARY'!$C$20,rate,Sheet1!AJ$21,0)</f>
        <v>0</v>
      </c>
      <c r="AH624" s="219"/>
      <c r="AI624" s="398">
        <v>0</v>
      </c>
      <c r="AJ624" s="398">
        <v>0</v>
      </c>
      <c r="AK624" s="398">
        <v>0</v>
      </c>
      <c r="AL624" s="398">
        <v>0</v>
      </c>
      <c r="AM624" s="398">
        <v>0</v>
      </c>
      <c r="AN624" s="398">
        <v>0</v>
      </c>
      <c r="AO624" s="398">
        <v>0</v>
      </c>
      <c r="AP624" s="398">
        <v>0</v>
      </c>
      <c r="AQ624" s="398"/>
      <c r="AR624" s="398"/>
      <c r="AS624" s="398"/>
      <c r="AT624" s="398"/>
      <c r="AU624" s="398"/>
      <c r="AV624" s="398"/>
      <c r="AW624" s="398"/>
      <c r="AX624" s="398"/>
      <c r="AY624" s="398"/>
      <c r="AZ624" s="398"/>
    </row>
    <row r="625" spans="17:52" hidden="1">
      <c r="Q625" s="402">
        <f>Sheet1!$T$8</f>
        <v>44105</v>
      </c>
      <c r="R625" s="402">
        <f>Sheet1!$U$8</f>
        <v>44470</v>
      </c>
      <c r="S625" s="402">
        <f>Sheet1!$V$8</f>
        <v>44835</v>
      </c>
      <c r="T625" s="402">
        <f>Sheet1!$W$8</f>
        <v>45200</v>
      </c>
      <c r="U625" s="402">
        <f>Sheet1!$X$8</f>
        <v>45566</v>
      </c>
      <c r="V625" s="402">
        <f>Sheet1!$Y$8</f>
        <v>45931</v>
      </c>
      <c r="W625" s="402">
        <f>Sheet1!$Z$8</f>
        <v>46296</v>
      </c>
      <c r="X625" s="402">
        <f>Sheet1!$AA$8</f>
        <v>46661</v>
      </c>
      <c r="Y625" s="402">
        <f>Sheet1!$AB$8</f>
        <v>47027</v>
      </c>
      <c r="Z625" s="402">
        <f>Sheet1!$AC$8</f>
        <v>47392</v>
      </c>
      <c r="AA625" s="402">
        <f>$AA$5</f>
        <v>47757</v>
      </c>
      <c r="AB625" s="402">
        <f>$AB$5</f>
        <v>48122</v>
      </c>
      <c r="AC625" s="402">
        <f>$AC$5</f>
        <v>48488</v>
      </c>
      <c r="AD625" s="402">
        <f>$AD$5</f>
        <v>48853</v>
      </c>
      <c r="AE625" s="402">
        <f>$AE$5</f>
        <v>49218</v>
      </c>
      <c r="AF625" s="402">
        <f>$AF$5</f>
        <v>49583</v>
      </c>
      <c r="AG625" s="402">
        <f>$AG$5</f>
        <v>49949</v>
      </c>
      <c r="AH625" s="211"/>
      <c r="AI625" s="402">
        <f t="shared" ref="AI625:AR627" si="280">+Q625</f>
        <v>44105</v>
      </c>
      <c r="AJ625" s="402">
        <f t="shared" si="280"/>
        <v>44470</v>
      </c>
      <c r="AK625" s="402">
        <f t="shared" si="280"/>
        <v>44835</v>
      </c>
      <c r="AL625" s="402">
        <f t="shared" si="280"/>
        <v>45200</v>
      </c>
      <c r="AM625" s="402">
        <f t="shared" si="280"/>
        <v>45566</v>
      </c>
      <c r="AN625" s="402">
        <f t="shared" si="280"/>
        <v>45931</v>
      </c>
      <c r="AO625" s="402">
        <f t="shared" si="280"/>
        <v>46296</v>
      </c>
      <c r="AP625" s="402">
        <f t="shared" si="280"/>
        <v>46661</v>
      </c>
      <c r="AQ625" s="402">
        <f t="shared" si="280"/>
        <v>47027</v>
      </c>
      <c r="AR625" s="402">
        <f t="shared" si="280"/>
        <v>47392</v>
      </c>
      <c r="AS625" s="402">
        <f t="shared" ref="AS625:AY627" si="281">+AA625</f>
        <v>47757</v>
      </c>
      <c r="AT625" s="402">
        <f t="shared" si="281"/>
        <v>48122</v>
      </c>
      <c r="AU625" s="402">
        <f t="shared" si="281"/>
        <v>48488</v>
      </c>
      <c r="AV625" s="402">
        <f t="shared" si="281"/>
        <v>48853</v>
      </c>
      <c r="AW625" s="402">
        <f t="shared" si="281"/>
        <v>49218</v>
      </c>
      <c r="AX625" s="402">
        <f t="shared" si="281"/>
        <v>49583</v>
      </c>
      <c r="AY625" s="402">
        <f t="shared" si="281"/>
        <v>49949</v>
      </c>
      <c r="AZ625" s="402"/>
    </row>
    <row r="626" spans="17:52" hidden="1">
      <c r="Q626" s="402">
        <f>Sheet1!$T$9</f>
        <v>44469</v>
      </c>
      <c r="R626" s="402">
        <f>Sheet1!$U$9</f>
        <v>44834</v>
      </c>
      <c r="S626" s="402">
        <f>Sheet1!$V$9</f>
        <v>45199</v>
      </c>
      <c r="T626" s="402">
        <f>Sheet1!$W$9</f>
        <v>45565</v>
      </c>
      <c r="U626" s="402">
        <f>Sheet1!$X$9</f>
        <v>45930</v>
      </c>
      <c r="V626" s="402">
        <f>Sheet1!$Y$9</f>
        <v>46295</v>
      </c>
      <c r="W626" s="402">
        <f>Sheet1!$Z$9</f>
        <v>46660</v>
      </c>
      <c r="X626" s="402">
        <f>Sheet1!$AA$9</f>
        <v>47026</v>
      </c>
      <c r="Y626" s="402">
        <f>Sheet1!$AB$9</f>
        <v>47391</v>
      </c>
      <c r="Z626" s="402">
        <f>Sheet1!$AC$9</f>
        <v>47756</v>
      </c>
      <c r="AA626" s="402">
        <f>$AA$6</f>
        <v>48121</v>
      </c>
      <c r="AB626" s="402">
        <f>$AB$6</f>
        <v>48487</v>
      </c>
      <c r="AC626" s="402">
        <f>$AC$6</f>
        <v>48852</v>
      </c>
      <c r="AD626" s="402">
        <f>$AD$6</f>
        <v>49217</v>
      </c>
      <c r="AE626" s="402">
        <f>$AE$6</f>
        <v>49582</v>
      </c>
      <c r="AF626" s="402">
        <f>$AF$6</f>
        <v>49948</v>
      </c>
      <c r="AG626" s="402">
        <f>$AG$6</f>
        <v>50313</v>
      </c>
      <c r="AH626" s="211"/>
      <c r="AI626" s="402">
        <f t="shared" si="280"/>
        <v>44469</v>
      </c>
      <c r="AJ626" s="402">
        <f t="shared" si="280"/>
        <v>44834</v>
      </c>
      <c r="AK626" s="402">
        <f t="shared" si="280"/>
        <v>45199</v>
      </c>
      <c r="AL626" s="402">
        <f t="shared" si="280"/>
        <v>45565</v>
      </c>
      <c r="AM626" s="402">
        <f t="shared" si="280"/>
        <v>45930</v>
      </c>
      <c r="AN626" s="402">
        <f t="shared" si="280"/>
        <v>46295</v>
      </c>
      <c r="AO626" s="402">
        <f t="shared" si="280"/>
        <v>46660</v>
      </c>
      <c r="AP626" s="402">
        <f t="shared" si="280"/>
        <v>47026</v>
      </c>
      <c r="AQ626" s="402">
        <f t="shared" si="280"/>
        <v>47391</v>
      </c>
      <c r="AR626" s="402">
        <f t="shared" si="280"/>
        <v>47756</v>
      </c>
      <c r="AS626" s="402">
        <f t="shared" si="281"/>
        <v>48121</v>
      </c>
      <c r="AT626" s="402">
        <f t="shared" si="281"/>
        <v>48487</v>
      </c>
      <c r="AU626" s="402">
        <f t="shared" si="281"/>
        <v>48852</v>
      </c>
      <c r="AV626" s="402">
        <f t="shared" si="281"/>
        <v>49217</v>
      </c>
      <c r="AW626" s="402">
        <f t="shared" si="281"/>
        <v>49582</v>
      </c>
      <c r="AX626" s="402">
        <f t="shared" si="281"/>
        <v>49948</v>
      </c>
      <c r="AY626" s="402">
        <f t="shared" si="281"/>
        <v>50313</v>
      </c>
      <c r="AZ626" s="402"/>
    </row>
    <row r="627" spans="17:52" hidden="1">
      <c r="Q627" s="403">
        <f>IF(IF(Q626&lt;$C$27,0,DATEDIF($C$27,Q626+1,"m"))&lt;0,0,IF(Q626&lt;$C$27,0,DATEDIF($C$27,Q626+1,"m")))</f>
        <v>0</v>
      </c>
      <c r="R627" s="403">
        <f>IF(IF(Q627=12,0,IF(R626&gt;$C$28,12-DATEDIF($C$28,R626+1,"m"),IF(R626&lt;$C$27,0,DATEDIF($C$27,R626+1,"m"))))&lt;0,0,IF(Q627=12,0,IF(R626&gt;$C$28,12-DATEDIF($C$28,R626+1,"m"),IF(R626&lt;$C$27,0,DATEDIF($C$27,R626+1,"m")))))</f>
        <v>0</v>
      </c>
      <c r="S627" s="403">
        <f>IF(IF(Q627+R627=12,0,IF(S626&gt;$C$28,12-DATEDIF($C$28,S626+1,"m"),IF(S626&lt;$C$27,0,DATEDIF($C$27,S626+1,"m"))))&lt;0,0,IF(Q627+R627=12,0,IF(S626&gt;$C$28,12-DATEDIF($C$28,S626+1,"m"),IF(S626&lt;$C$27,0,DATEDIF($C$27,S626+1,"m")))))</f>
        <v>0</v>
      </c>
      <c r="T627" s="403">
        <f>IF(IF(R627+S627+Q627=12,0,IF(T626&gt;$C$28,12-DATEDIF($C$28,T626+1,"m"),IF(T626&lt;$C$27,0,DATEDIF($C$27,T626+1,"m"))))&lt;0,0,IF(R627+S627+Q627=12,0,IF(T626&gt;$C$28,12-DATEDIF($C$28,T626+1,"m"),IF(T626&lt;$C$27,0,DATEDIF($C$27,T626+1,"m")))))</f>
        <v>0</v>
      </c>
      <c r="U627" s="403">
        <f>IF(IF(S627+T627+R627+Q627=12,0,IF(U626&gt;$C$28,12-DATEDIF($C$28,U626+1,"m"),IF(U626&lt;$C$27,0,DATEDIF($C$27,U626+1,"m"))))&lt;0,0,IF(S627+T627+R627+Q627=12,0,IF(U626&gt;$C$28,12-DATEDIF($C$28,U626+1,"m"),IF(U626&lt;$C$27,0,DATEDIF($C$27,U626+1,"m")))))</f>
        <v>0</v>
      </c>
      <c r="V627" s="403">
        <f>IF(IF(T627+U627+S627+R627+Q627=12,0,IF(V626&gt;$C$28,12-DATEDIF($C$28,V626+1,"m"),IF(V626&lt;$C$27,0,DATEDIF($C$27,V626+1,"m"))))&lt;0,0,IF(T627+U627+S627+R627+Q627=12,0,IF(V626&gt;$C$28,12-DATEDIF($C$28,V626+1,"m"),IF(V626&lt;$C$27,0,DATEDIF($C$27,V626+1,"m")))))</f>
        <v>0</v>
      </c>
      <c r="W627" s="403">
        <f>IF(IF(U627+V627+T627+S627+R627+Q627=12,0,IF(W626&gt;$C$28,12-DATEDIF($C$28,W626+1,"m"),IF(W626&lt;$C$27,0,DATEDIF($C$27,W626+1,"m"))))&lt;0,0,IF(U627+V627+T627+S627+R627+Q627=12,0,IF(W626&gt;$C$28,12-DATEDIF($C$28,W626+1,"m"),IF(W626&lt;$C$27,0,DATEDIF($C$27,W626+1,"m")))))</f>
        <v>0</v>
      </c>
      <c r="X627" s="403">
        <f>IF(IF(V627+W627+U627+T627+S627+R627+Q627=12,0,IF(X626&gt;$C$28,12-DATEDIF($C$28,X626+1,"m"),IF(X626&lt;$C$27,0,DATEDIF($C$27,X626+1,"m"))))&lt;0,0,IF(V627+W627+U627+T627+S627+R627+Q627=12,0,IF(X626&gt;$C$28,12-DATEDIF($C$28,X626+1,"m"),IF(X626&lt;$C$27,0,DATEDIF($C$27,X626+1,"m")))))</f>
        <v>0</v>
      </c>
      <c r="Y627" s="403">
        <f>IF(IF(Q627+W627+X627+V627+U627+T627+S627+R627=12,0,IF(Y626&gt;$C$28,12-DATEDIF($C$28,Y626+1,"m"),IF(Y626&lt;$C$27,0,DATEDIF($C$27,Y626+1,"m"))))&lt;0,0,IF(Q627+W627+X627+V627+U627+T627+S627+R627=12,0,IF(Y626&gt;$C$28,12-DATEDIF($C$28,Y626+1,"m"),IF(Y626&lt;$C$27,0,DATEDIF($C$27,Y626+1,"m")))))</f>
        <v>0</v>
      </c>
      <c r="Z627" s="403">
        <f>IF(IF(Q627+R627+X627+Y627+W627+V627+U627+T627+S627=12,0,IF(Z626&gt;$C$28,12-DATEDIF($C$28,Z626+1,"m"),IF(Z626&lt;$C$27,0,DATEDIF($C$27,Z626+1,"m"))))&lt;0,0,IF(+Q627+R627+X627+Y627+W627+V627+U627+T627+S627=12,0,IF(Z626&gt;$C$28,12-DATEDIF($C$28,Z626+1,"m"),IF(Z626&lt;$C$27,0,DATEDIF($C$27,Z626+1,"m")))))</f>
        <v>0</v>
      </c>
      <c r="AA627" s="403"/>
      <c r="AB627" s="403"/>
      <c r="AC627" s="403"/>
      <c r="AD627" s="403"/>
      <c r="AE627" s="403"/>
      <c r="AF627" s="403"/>
      <c r="AG627" s="403"/>
      <c r="AH627" s="423">
        <f>SUM(Q627:AG627)</f>
        <v>0</v>
      </c>
      <c r="AI627" s="403">
        <f t="shared" si="280"/>
        <v>0</v>
      </c>
      <c r="AJ627" s="403">
        <f t="shared" si="280"/>
        <v>0</v>
      </c>
      <c r="AK627" s="403">
        <f t="shared" si="280"/>
        <v>0</v>
      </c>
      <c r="AL627" s="403">
        <f t="shared" si="280"/>
        <v>0</v>
      </c>
      <c r="AM627" s="403">
        <f t="shared" si="280"/>
        <v>0</v>
      </c>
      <c r="AN627" s="403">
        <f t="shared" si="280"/>
        <v>0</v>
      </c>
      <c r="AO627" s="403">
        <f t="shared" si="280"/>
        <v>0</v>
      </c>
      <c r="AP627" s="403">
        <f t="shared" si="280"/>
        <v>0</v>
      </c>
      <c r="AQ627" s="403">
        <f t="shared" si="280"/>
        <v>0</v>
      </c>
      <c r="AR627" s="403">
        <f t="shared" si="280"/>
        <v>0</v>
      </c>
      <c r="AS627" s="403">
        <f t="shared" si="281"/>
        <v>0</v>
      </c>
      <c r="AT627" s="403">
        <f t="shared" si="281"/>
        <v>0</v>
      </c>
      <c r="AU627" s="403">
        <f t="shared" si="281"/>
        <v>0</v>
      </c>
      <c r="AV627" s="403">
        <f t="shared" si="281"/>
        <v>0</v>
      </c>
      <c r="AW627" s="403">
        <f t="shared" si="281"/>
        <v>0</v>
      </c>
      <c r="AX627" s="403">
        <f t="shared" si="281"/>
        <v>0</v>
      </c>
      <c r="AY627" s="403">
        <f t="shared" si="281"/>
        <v>0</v>
      </c>
      <c r="AZ627" s="403">
        <f>SUM(AI627:AY627)</f>
        <v>0</v>
      </c>
    </row>
    <row r="628" spans="17:52" hidden="1">
      <c r="Q628" s="404">
        <f>IF(Q627=0,0,(IF(($C$220+$B$220)&lt;=25000,(($C$220/+$AH627)*Q627)*VLOOKUP('1. SUMMARY'!$C$20,rate,Sheet1!T$21,0),((IF($B$220&gt;=25000,0,((25000-$B$220)/+$AH627)*Q627)*VLOOKUP('1. SUMMARY'!$C$20,rate,Sheet1!T$21,0))))))</f>
        <v>0</v>
      </c>
      <c r="R628" s="404">
        <f>IF(R627=0,0,(IF(($C$220+$B$220)&lt;=25000,(($C$220/+$AH627)*R627)*VLOOKUP('1. SUMMARY'!$C$20,rate,Sheet1!U$21,0),((IF($B$220&gt;=25000,0,((25000-$B$220)/+$AH627)*R627)*VLOOKUP('1. SUMMARY'!$C$20,rate,Sheet1!U$21,0))))))</f>
        <v>0</v>
      </c>
      <c r="S628" s="404">
        <f>IF(S627=0,0,(IF(($C$220+$B$220)&lt;=25000,(($C$220/+$AH627)*S627)*VLOOKUP('1. SUMMARY'!$C$20,rate,Sheet1!V$21,0),((IF($B$220&gt;=25000,0,((25000-$B$220)/+$AH627)*S627)*VLOOKUP('1. SUMMARY'!$C$20,rate,Sheet1!V$21,0))))))</f>
        <v>0</v>
      </c>
      <c r="T628" s="404">
        <f>IF(T627=0,0,(IF(($C$220+$B$220)&lt;=25000,(($C$220/+$AH627)*T627)*VLOOKUP('1. SUMMARY'!$C$20,rate,Sheet1!W$21,0),((IF($B$220&gt;=25000,0,((25000-$B$220)/+$AH627)*T627)*VLOOKUP('1. SUMMARY'!$C$20,rate,Sheet1!W$21,0))))))</f>
        <v>0</v>
      </c>
      <c r="U628" s="404">
        <f>IF(U627=0,0,(IF(($C$220+$B$220)&lt;=25000,(($C$220/+$AH627)*U627)*VLOOKUP('1. SUMMARY'!$C$20,rate,Sheet1!X$21,0),((IF($B$220&gt;=25000,0,((25000-$B$220)/+$AH627)*U627)*VLOOKUP('1. SUMMARY'!$C$20,rate,Sheet1!X$21,0))))))</f>
        <v>0</v>
      </c>
      <c r="V628" s="404">
        <f>IF(V627=0,0,(IF(($C$220+$B$220)&lt;=25000,(($C$220/+$AH627)*V627)*VLOOKUP('1. SUMMARY'!$C$20,rate,Sheet1!Y$21,0),((IF($B$220&gt;=25000,0,((25000-$B$220)/+$AH627)*V627)*VLOOKUP('1. SUMMARY'!$C$20,rate,Sheet1!Y$21,0))))))</f>
        <v>0</v>
      </c>
      <c r="W628" s="404">
        <f>IF(W627=0,0,(IF(($C$220+$B$220)&lt;=25000,(($C$220/+$AH627)*W627)*VLOOKUP('1. SUMMARY'!$C$20,rate,Sheet1!Z$21,0),((IF($B$220&gt;=25000,0,((25000-$B$220)/+$AH627)*W627)*VLOOKUP('1. SUMMARY'!$C$20,rate,Sheet1!Z$21,0))))))</f>
        <v>0</v>
      </c>
      <c r="X628" s="404">
        <f>IF(X627=0,0,(IF(($C$220+$B$220)&lt;=25000,(($C$220/+$AH627)*X627)*VLOOKUP('1. SUMMARY'!$C$20,rate,Sheet1!AA$21,0),((IF($B$220&gt;=25000,0,((25000-$B$220)/+$AH627)*X627)*VLOOKUP('1. SUMMARY'!$C$20,rate,Sheet1!AA$21,0))))))</f>
        <v>0</v>
      </c>
      <c r="Y628" s="404">
        <f>IF(Y627=0,0,(IF(($C$220+$B$220)&lt;=25000,(($C$220/+$AH627)*Y627)*VLOOKUP('1. SUMMARY'!$C$20,rate,Sheet1!AB$21,0),((IF($B$220&gt;=25000,0,((25000-$B$220)/+$AH627)*Y627)*VLOOKUP('1. SUMMARY'!$C$20,rate,Sheet1!AB$21,0))))))</f>
        <v>0</v>
      </c>
      <c r="Z628" s="404">
        <f>IF(Z627=0,0,(IF(($C$220+$B$220)&lt;=25000,(($C$220/+$AH627)*Z627)*VLOOKUP('1. SUMMARY'!$C$20,rate,Sheet1!AC$21,0),((IF($B$220&gt;=25000,0,((25000-$B$220)/+$AH627)*Z627)*VLOOKUP('1. SUMMARY'!$C$20,rate,Sheet1!AC$21,0))))))</f>
        <v>0</v>
      </c>
      <c r="AA628" s="404">
        <f>IF(AA627=0,0,(IF(($C$220+$B$220)&lt;=25000,(($C$220/+$AH627)*AA627)*VLOOKUP('1. SUMMARY'!$C$20,rate,Sheet1!AD$21,0),((IF($B$220&gt;=25000,0,((25000-$B$220)/+$AH627)*AA627)*VLOOKUP('1. SUMMARY'!$C$20,rate,Sheet1!AD$21,0))))))</f>
        <v>0</v>
      </c>
      <c r="AB628" s="404">
        <f>IF(AB627=0,0,(IF(($C$220+$B$220)&lt;=25000,(($C$220/+$AH627)*AB627)*VLOOKUP('1. SUMMARY'!$C$20,rate,Sheet1!AE$21,0),((IF($B$220&gt;=25000,0,((25000-$B$220)/+$AH627)*AB627)*VLOOKUP('1. SUMMARY'!$C$20,rate,Sheet1!AE$21,0))))))</f>
        <v>0</v>
      </c>
      <c r="AC628" s="404">
        <f>IF(AC627=0,0,(IF(($C$220+$B$220)&lt;=25000,(($C$220/+$AH627)*AC627)*VLOOKUP('1. SUMMARY'!$C$20,rate,Sheet1!AF$21,0),((IF($B$220&gt;=25000,0,((25000-$B$220)/+$AH627)*AC627)*VLOOKUP('1. SUMMARY'!$C$20,rate,Sheet1!AF$21,0))))))</f>
        <v>0</v>
      </c>
      <c r="AD628" s="404">
        <f>IF(AD627=0,0,(IF(($C$220+$B$220)&lt;=25000,(($C$220/+$AH627)*AD627)*VLOOKUP('1. SUMMARY'!$C$20,rate,Sheet1!AG$21,0),((IF($B$220&gt;=25000,0,((25000-$B$220)/+$AH627)*AD627)*VLOOKUP('1. SUMMARY'!$C$20,rate,Sheet1!AG$21,0))))))</f>
        <v>0</v>
      </c>
      <c r="AE628" s="404">
        <f>IF(AE627=0,0,(IF(($C$220+$B$220)&lt;=25000,(($C$220/+$AH627)*AE627)*VLOOKUP('1. SUMMARY'!$C$20,rate,Sheet1!AH$21,0),((IF($B$220&gt;=25000,0,((25000-$B$220)/+$AH627)*AE627)*VLOOKUP('1. SUMMARY'!$C$20,rate,Sheet1!AH$21,0))))))</f>
        <v>0</v>
      </c>
      <c r="AF628" s="404">
        <f>IF(AF627=0,0,(IF(($C$220+$B$220)&lt;=25000,(($C$220/+$AH627)*AF627)*VLOOKUP('1. SUMMARY'!$C$20,rate,Sheet1!AI$21,0),((IF($B$220&gt;=25000,0,((25000-$B$220)/+$AH627)*AF627)*VLOOKUP('1. SUMMARY'!$C$20,rate,Sheet1!AI$21,0))))))</f>
        <v>0</v>
      </c>
      <c r="AG628" s="404">
        <f>IF(AG627=0,0,(IF(($C$220+$B$220)&lt;=25000,(($C$220/+$AH627)*AG627)*VLOOKUP('1. SUMMARY'!$C$20,rate,Sheet1!AJ$21,0),((IF($B$220&gt;=25000,0,((25000-$B$220)/+$AH627)*AG627)*VLOOKUP('1. SUMMARY'!$C$20,rate,Sheet1!AJ$21,0))))))</f>
        <v>0</v>
      </c>
      <c r="AH628" s="219">
        <f>SUM(Q628:AG628)</f>
        <v>0</v>
      </c>
      <c r="AI628" s="404">
        <f>IF(AI627=0,0,((+$C220/$AZ627)*AI627)*VLOOKUP('1. SUMMARY'!$C$20,rate,Sheet1!T$21,0))</f>
        <v>0</v>
      </c>
      <c r="AJ628" s="404">
        <f>IF(AJ627=0,0,((+$C220/$AZ627)*AJ627)*VLOOKUP('1. SUMMARY'!$C$20,rate,Sheet1!U$21,0))</f>
        <v>0</v>
      </c>
      <c r="AK628" s="404">
        <f>IF(AK627=0,0,((+$C220/$AZ627)*AK627)*VLOOKUP('1. SUMMARY'!$C$20,rate,Sheet1!V$21,0))</f>
        <v>0</v>
      </c>
      <c r="AL628" s="404">
        <f>IF(AL627=0,0,((+$C220/$AZ627)*AL627)*VLOOKUP('1. SUMMARY'!$C$20,rate,Sheet1!W$21,0))</f>
        <v>0</v>
      </c>
      <c r="AM628" s="404">
        <f>IF(AM627=0,0,((+$C220/$AZ627)*AM627)*VLOOKUP('1. SUMMARY'!$C$20,rate,Sheet1!X$21,0))</f>
        <v>0</v>
      </c>
      <c r="AN628" s="404">
        <f>IF(AN627=0,0,((+$C220/$AZ627)*AN627)*VLOOKUP('1. SUMMARY'!$C$20,rate,Sheet1!Y$21,0))</f>
        <v>0</v>
      </c>
      <c r="AO628" s="404">
        <f>IF(AO627=0,0,((+$C220/$AZ627)*AO627)*VLOOKUP('1. SUMMARY'!$C$20,rate,Sheet1!Z$21,0))</f>
        <v>0</v>
      </c>
      <c r="AP628" s="404">
        <f>IF(AP627=0,0,((+$C220/$AZ627)*AP627)*VLOOKUP('1. SUMMARY'!$C$20,rate,Sheet1!AA$21,0))</f>
        <v>0</v>
      </c>
      <c r="AQ628" s="404">
        <f>IF(AQ627=0,0,((+$C220/$AZ627)*AQ627)*VLOOKUP('1. SUMMARY'!$C$20,rate,Sheet1!AB$21,0))</f>
        <v>0</v>
      </c>
      <c r="AR628" s="404">
        <f>IF(AR627=0,0,((+$C220/$AZ627)*AR627)*VLOOKUP('1. SUMMARY'!$C$20,rate,Sheet1!AC$21,0))</f>
        <v>0</v>
      </c>
      <c r="AS628" s="404">
        <f>IF(AS627=0,0,((+$C220/$AZ627)*AS627)*VLOOKUP('1. SUMMARY'!$C$20,rate,Sheet1!AD$21,0))</f>
        <v>0</v>
      </c>
      <c r="AT628" s="404">
        <f>IF(AT627=0,0,((+$C220/$AZ627)*AT627)*VLOOKUP('1. SUMMARY'!$C$20,rate,Sheet1!AE$21,0))</f>
        <v>0</v>
      </c>
      <c r="AU628" s="404">
        <f>IF(AU627=0,0,((+$C220/$AZ627)*AU627)*VLOOKUP('1. SUMMARY'!$C$20,rate,Sheet1!AF$21,0))</f>
        <v>0</v>
      </c>
      <c r="AV628" s="404">
        <f>IF(AV627=0,0,((+$C220/$AZ627)*AV627)*VLOOKUP('1. SUMMARY'!$C$20,rate,Sheet1!AG$21,0))</f>
        <v>0</v>
      </c>
      <c r="AW628" s="404">
        <f>IF(AW627=0,0,((+$C220/$AZ627)*AW627)*VLOOKUP('1. SUMMARY'!$C$20,rate,Sheet1!AH$21,0))</f>
        <v>0</v>
      </c>
      <c r="AX628" s="404">
        <f>IF(AX627=0,0,((+$C220/$AZ627)*AX627)*VLOOKUP('1. SUMMARY'!$C$20,rate,Sheet1!AI$21,0))</f>
        <v>0</v>
      </c>
      <c r="AY628" s="404">
        <f>IF(AY627=0,0,((+$C220/$AZ627)*AY627)*VLOOKUP('1. SUMMARY'!$C$20,rate,Sheet1!AJ$21,0))</f>
        <v>0</v>
      </c>
      <c r="AZ628" s="404">
        <f>SUM(AI628:AY628)</f>
        <v>0</v>
      </c>
    </row>
    <row r="629" spans="17:52" hidden="1">
      <c r="Q629" s="404">
        <f>+Q628/VLOOKUP('1. SUMMARY'!$C$20,rate,Sheet1!T$21,0)</f>
        <v>0</v>
      </c>
      <c r="R629" s="404">
        <f>+R628/VLOOKUP('1. SUMMARY'!$C$20,rate,Sheet1!U$21,0)</f>
        <v>0</v>
      </c>
      <c r="S629" s="404">
        <f>+S628/VLOOKUP('1. SUMMARY'!$C$20,rate,Sheet1!V$21,0)</f>
        <v>0</v>
      </c>
      <c r="T629" s="404">
        <f>+T628/VLOOKUP('1. SUMMARY'!$C$20,rate,Sheet1!W$21,0)</f>
        <v>0</v>
      </c>
      <c r="U629" s="404">
        <f>+U628/VLOOKUP('1. SUMMARY'!$C$20,rate,Sheet1!X$21,0)</f>
        <v>0</v>
      </c>
      <c r="V629" s="404">
        <f>+V628/VLOOKUP('1. SUMMARY'!$C$20,rate,Sheet1!Y$21,0)</f>
        <v>0</v>
      </c>
      <c r="W629" s="404">
        <f>+W628/VLOOKUP('1. SUMMARY'!$C$20,rate,Sheet1!Z$21,0)</f>
        <v>0</v>
      </c>
      <c r="X629" s="404">
        <f>+X628/VLOOKUP('1. SUMMARY'!$C$20,rate,Sheet1!AA$21,0)</f>
        <v>0</v>
      </c>
      <c r="Y629" s="404">
        <f>+Y628/VLOOKUP('1. SUMMARY'!$C$20,rate,Sheet1!AB$21,0)</f>
        <v>0</v>
      </c>
      <c r="Z629" s="404">
        <f>+Z628/VLOOKUP('1. SUMMARY'!$C$20,rate,Sheet1!AC$21,0)</f>
        <v>0</v>
      </c>
      <c r="AA629" s="404">
        <f>+AA628/VLOOKUP('1. SUMMARY'!$C$20,rate,Sheet1!AD$21,0)</f>
        <v>0</v>
      </c>
      <c r="AB629" s="404">
        <f>+AB628/VLOOKUP('1. SUMMARY'!$C$20,rate,Sheet1!AE$21,0)</f>
        <v>0</v>
      </c>
      <c r="AC629" s="404">
        <f>+AC628/VLOOKUP('1. SUMMARY'!$C$20,rate,Sheet1!AF$21,0)</f>
        <v>0</v>
      </c>
      <c r="AD629" s="404">
        <f>+AD628/VLOOKUP('1. SUMMARY'!$C$20,rate,Sheet1!AG$21,0)</f>
        <v>0</v>
      </c>
      <c r="AE629" s="404">
        <f>+AE628/VLOOKUP('1. SUMMARY'!$C$20,rate,Sheet1!AH$21,0)</f>
        <v>0</v>
      </c>
      <c r="AF629" s="404">
        <f>+AF628/VLOOKUP('1. SUMMARY'!$C$20,rate,Sheet1!AI$21,0)</f>
        <v>0</v>
      </c>
      <c r="AG629" s="404">
        <f>+AG628/VLOOKUP('1. SUMMARY'!$C$20,rate,Sheet1!AJ$21,0)</f>
        <v>0</v>
      </c>
      <c r="AH629" s="219"/>
      <c r="AI629" s="404">
        <v>0</v>
      </c>
      <c r="AJ629" s="404">
        <v>0</v>
      </c>
      <c r="AK629" s="404">
        <v>0</v>
      </c>
      <c r="AL629" s="404">
        <v>0</v>
      </c>
      <c r="AM629" s="404">
        <v>0</v>
      </c>
      <c r="AN629" s="404">
        <v>0</v>
      </c>
      <c r="AO629" s="404">
        <v>0</v>
      </c>
      <c r="AP629" s="404">
        <v>0</v>
      </c>
      <c r="AQ629" s="404"/>
      <c r="AR629" s="404"/>
      <c r="AS629" s="404"/>
      <c r="AT629" s="404"/>
      <c r="AU629" s="404"/>
      <c r="AV629" s="404"/>
      <c r="AW629" s="404"/>
      <c r="AX629" s="404"/>
      <c r="AY629" s="404"/>
      <c r="AZ629" s="404"/>
    </row>
    <row r="630" spans="17:52" hidden="1">
      <c r="Q630" s="399">
        <f>Sheet1!$T$8</f>
        <v>44105</v>
      </c>
      <c r="R630" s="399">
        <f>Sheet1!$U$8</f>
        <v>44470</v>
      </c>
      <c r="S630" s="399">
        <f>Sheet1!$V$8</f>
        <v>44835</v>
      </c>
      <c r="T630" s="399">
        <f>Sheet1!$W$8</f>
        <v>45200</v>
      </c>
      <c r="U630" s="399">
        <f>Sheet1!$X$8</f>
        <v>45566</v>
      </c>
      <c r="V630" s="399">
        <f>Sheet1!$Y$8</f>
        <v>45931</v>
      </c>
      <c r="W630" s="399">
        <f>Sheet1!$Z$8</f>
        <v>46296</v>
      </c>
      <c r="X630" s="399">
        <f>Sheet1!$AA$8</f>
        <v>46661</v>
      </c>
      <c r="Y630" s="399">
        <f>Sheet1!$AB$8</f>
        <v>47027</v>
      </c>
      <c r="Z630" s="399">
        <f>Sheet1!$AC$8</f>
        <v>47392</v>
      </c>
      <c r="AA630" s="399">
        <f>$AA$5</f>
        <v>47757</v>
      </c>
      <c r="AB630" s="399">
        <f>$AB$5</f>
        <v>48122</v>
      </c>
      <c r="AC630" s="399">
        <f>$AC$5</f>
        <v>48488</v>
      </c>
      <c r="AD630" s="399">
        <f>$AD$5</f>
        <v>48853</v>
      </c>
      <c r="AE630" s="399">
        <f>$AE$5</f>
        <v>49218</v>
      </c>
      <c r="AF630" s="399">
        <f>$AF$5</f>
        <v>49583</v>
      </c>
      <c r="AG630" s="399">
        <f>$AG$5</f>
        <v>49949</v>
      </c>
      <c r="AH630" s="211"/>
      <c r="AI630" s="399">
        <f t="shared" ref="AI630:AR632" si="282">+Q630</f>
        <v>44105</v>
      </c>
      <c r="AJ630" s="399">
        <f t="shared" si="282"/>
        <v>44470</v>
      </c>
      <c r="AK630" s="399">
        <f t="shared" si="282"/>
        <v>44835</v>
      </c>
      <c r="AL630" s="399">
        <f t="shared" si="282"/>
        <v>45200</v>
      </c>
      <c r="AM630" s="399">
        <f t="shared" si="282"/>
        <v>45566</v>
      </c>
      <c r="AN630" s="399">
        <f t="shared" si="282"/>
        <v>45931</v>
      </c>
      <c r="AO630" s="399">
        <f t="shared" si="282"/>
        <v>46296</v>
      </c>
      <c r="AP630" s="399">
        <f t="shared" si="282"/>
        <v>46661</v>
      </c>
      <c r="AQ630" s="399">
        <f t="shared" si="282"/>
        <v>47027</v>
      </c>
      <c r="AR630" s="399">
        <f t="shared" si="282"/>
        <v>47392</v>
      </c>
      <c r="AS630" s="399">
        <f t="shared" ref="AS630:AY632" si="283">+AA630</f>
        <v>47757</v>
      </c>
      <c r="AT630" s="399">
        <f t="shared" si="283"/>
        <v>48122</v>
      </c>
      <c r="AU630" s="399">
        <f t="shared" si="283"/>
        <v>48488</v>
      </c>
      <c r="AV630" s="399">
        <f t="shared" si="283"/>
        <v>48853</v>
      </c>
      <c r="AW630" s="399">
        <f t="shared" si="283"/>
        <v>49218</v>
      </c>
      <c r="AX630" s="399">
        <f t="shared" si="283"/>
        <v>49583</v>
      </c>
      <c r="AY630" s="399">
        <f t="shared" si="283"/>
        <v>49949</v>
      </c>
      <c r="AZ630" s="399"/>
    </row>
    <row r="631" spans="17:52" hidden="1">
      <c r="Q631" s="399">
        <f>Sheet1!$T$9</f>
        <v>44469</v>
      </c>
      <c r="R631" s="399">
        <f>Sheet1!$U$9</f>
        <v>44834</v>
      </c>
      <c r="S631" s="399">
        <f>Sheet1!$V$9</f>
        <v>45199</v>
      </c>
      <c r="T631" s="399">
        <f>Sheet1!$W$9</f>
        <v>45565</v>
      </c>
      <c r="U631" s="399">
        <f>Sheet1!$X$9</f>
        <v>45930</v>
      </c>
      <c r="V631" s="399">
        <f>Sheet1!$Y$9</f>
        <v>46295</v>
      </c>
      <c r="W631" s="399">
        <f>Sheet1!$Z$9</f>
        <v>46660</v>
      </c>
      <c r="X631" s="399">
        <f>Sheet1!$AA$9</f>
        <v>47026</v>
      </c>
      <c r="Y631" s="399">
        <f>Sheet1!$AB$9</f>
        <v>47391</v>
      </c>
      <c r="Z631" s="399">
        <f>Sheet1!$AC$9</f>
        <v>47756</v>
      </c>
      <c r="AA631" s="399">
        <f>$AA$6</f>
        <v>48121</v>
      </c>
      <c r="AB631" s="399">
        <f>$AB$6</f>
        <v>48487</v>
      </c>
      <c r="AC631" s="399">
        <f>$AC$6</f>
        <v>48852</v>
      </c>
      <c r="AD631" s="399">
        <f>$AD$6</f>
        <v>49217</v>
      </c>
      <c r="AE631" s="399">
        <f>$AE$6</f>
        <v>49582</v>
      </c>
      <c r="AF631" s="399">
        <f>$AF$6</f>
        <v>49948</v>
      </c>
      <c r="AG631" s="399">
        <f>$AG$6</f>
        <v>50313</v>
      </c>
      <c r="AH631" s="211"/>
      <c r="AI631" s="399">
        <f t="shared" si="282"/>
        <v>44469</v>
      </c>
      <c r="AJ631" s="399">
        <f t="shared" si="282"/>
        <v>44834</v>
      </c>
      <c r="AK631" s="399">
        <f t="shared" si="282"/>
        <v>45199</v>
      </c>
      <c r="AL631" s="399">
        <f t="shared" si="282"/>
        <v>45565</v>
      </c>
      <c r="AM631" s="399">
        <f t="shared" si="282"/>
        <v>45930</v>
      </c>
      <c r="AN631" s="399">
        <f t="shared" si="282"/>
        <v>46295</v>
      </c>
      <c r="AO631" s="399">
        <f t="shared" si="282"/>
        <v>46660</v>
      </c>
      <c r="AP631" s="399">
        <f t="shared" si="282"/>
        <v>47026</v>
      </c>
      <c r="AQ631" s="399">
        <f t="shared" si="282"/>
        <v>47391</v>
      </c>
      <c r="AR631" s="399">
        <f t="shared" si="282"/>
        <v>47756</v>
      </c>
      <c r="AS631" s="399">
        <f t="shared" si="283"/>
        <v>48121</v>
      </c>
      <c r="AT631" s="399">
        <f t="shared" si="283"/>
        <v>48487</v>
      </c>
      <c r="AU631" s="399">
        <f t="shared" si="283"/>
        <v>48852</v>
      </c>
      <c r="AV631" s="399">
        <f t="shared" si="283"/>
        <v>49217</v>
      </c>
      <c r="AW631" s="399">
        <f t="shared" si="283"/>
        <v>49582</v>
      </c>
      <c r="AX631" s="399">
        <f t="shared" si="283"/>
        <v>49948</v>
      </c>
      <c r="AY631" s="399">
        <f t="shared" si="283"/>
        <v>50313</v>
      </c>
      <c r="AZ631" s="399"/>
    </row>
    <row r="632" spans="17:52" hidden="1">
      <c r="Q632" s="400">
        <f>IF(IF(Q631&lt;$D$27,0,DATEDIF($D$27,Q631+1,"m"))&lt;0,0,IF(Q631&lt;$D$27,0,DATEDIF($D$27,Q631+1,"m")))</f>
        <v>0</v>
      </c>
      <c r="R632" s="400">
        <f>IF(IF(Q632=12,0,IF(R631&gt;$D$28,12-DATEDIF($D$28,R631+1,"m"),IF(R631&lt;$D$27,0,DATEDIF($D$27,R631+1,"m"))))&lt;0,0,IF(Q632=12,0,IF(R631&gt;$D$28,12-DATEDIF($D$28,R631+1,"m"),IF(R631&lt;$D$27,0,DATEDIF($D$27,R631+1,"m")))))</f>
        <v>0</v>
      </c>
      <c r="S632" s="400">
        <f>IF(IF(Q632+R632=12,0,IF(S631&gt;$D$28,12-DATEDIF($D$28,S631+1,"m"),IF(S631&lt;$D$27,0,DATEDIF($D$27,S631+1,"m"))))&lt;0,0,IF(Q632+R632=12,0,IF(S631&gt;$D$28,12-DATEDIF($D$28,S631+1,"m"),IF(S631&lt;$D$27,0,DATEDIF($D$27,S631+1,"m")))))</f>
        <v>0</v>
      </c>
      <c r="T632" s="400">
        <f>IF(IF(R632+S632+Q632=12,0,IF(T631&gt;$D$28,12-DATEDIF($D$28,T631+1,"m"),IF(T631&lt;$D$27,0,DATEDIF($D$27,T631+1,"m"))))&lt;0,0,IF(R632+S632+Q632=12,0,IF(T631&gt;$D$28,12-DATEDIF($D$28,T631+1,"m"),IF(T631&lt;$D$27,0,DATEDIF($D$27,T631+1,"m")))))</f>
        <v>0</v>
      </c>
      <c r="U632" s="400">
        <f>IF(IF(S632+T632+R632+Q632=12,0,IF(U631&gt;$D$28,12-DATEDIF($D$28,U631+1,"m"),IF(U631&lt;$D$27,0,DATEDIF($D$27,U631+1,"m"))))&lt;0,0,IF(S632+T632+R632+Q632=12,0,IF(U631&gt;$D$28,12-DATEDIF($D$28,U631+1,"m"),IF(U631&lt;$D$27,0,DATEDIF($D$27,U631+1,"m")))))</f>
        <v>0</v>
      </c>
      <c r="V632" s="400">
        <f>IF(IF(T632+U632+S632+R632+Q632=12,0,IF(V631&gt;$D$28,12-DATEDIF($D$28,V631+1,"m"),IF(V631&lt;$D$27,0,DATEDIF($D$27,V631+1,"m"))))&lt;0,0,IF(T632+U632+S632+R632+Q632=12,0,IF(V631&gt;$D$28,12-DATEDIF($D$28,V631+1,"m"),IF(V631&lt;$D$27,0,DATEDIF($D$27,V631+1,"m")))))</f>
        <v>0</v>
      </c>
      <c r="W632" s="400">
        <f>IF(IF(U632+V632+T632+S632+R632+Q632=12,0,IF(W631&gt;$D$28,12-DATEDIF($D$28,W631+1,"m"),IF(W631&lt;$D$27,0,DATEDIF($D$27,W631+1,"m"))))&lt;0,0,IF(U632+V632+T632+S632+R632+Q632=12,0,IF(W631&gt;$D$28,12-DATEDIF($D$28,W631+1,"m"),IF(W631&lt;$D$27,0,DATEDIF($D$27,W631+1,"m")))))</f>
        <v>0</v>
      </c>
      <c r="X632" s="400">
        <f>IF(IF(V632+W632+U632+T632+S632+R632+Q632=12,0,IF(X631&gt;$D$28,12-DATEDIF($D$28,X631+1,"m"),IF(X631&lt;$D$27,0,DATEDIF($D$27,X631+1,"m"))))&lt;0,0,IF(V632+W632+U632+T632+S632+R632+Q632=12,0,IF(X631&gt;$D$28,1-DATEDIF($D$28,X631+1,"m"),IF(X631&lt;$D$27,0,DATEDIF($D$27,X631+1,"m")))))</f>
        <v>0</v>
      </c>
      <c r="Y632" s="400">
        <f>IF(IF(Q632+W632+X632+V632+U632+T632+S632+R632=12,0,IF(Y631&gt;E456,12-DATEDIF(E456,Y631+1,"m"),IF(Y631&lt;E455,0,DATEDIF(E455,Y631+1,"m"))))&lt;0,0,IF(Q632+W632+X632+V632+U632+T632+S632+R632=12,0,IF(Y631&gt;E456,12-DATEDIF(E456,Y631+1,"m"),IF(Y631&lt;E455,0,DATEDIF(E455,Y631+1,"m")))))</f>
        <v>0</v>
      </c>
      <c r="Z632" s="400">
        <f>IF(IF(Q632+R632+X632+Y632+W632+V632+U632+T632+S632=12,0,IF(Z631&gt;F456,12-DATEDIF(F456,Z631+1,"m"),IF(Z631&lt;F455,0,DATEDIF(F455,Z631+1,"m"))))&lt;0,0,IF(Q632+R632+X632+Y632+W632+V632+U632+T632+S632=12,0,IF(Z631&gt;F456,12-DATEDIF(F456,Z631+1,"m"),IF(Z631&lt;F455,0,DATEDIF(F455,Z631+1,"m")))))</f>
        <v>0</v>
      </c>
      <c r="AA632" s="400"/>
      <c r="AB632" s="400"/>
      <c r="AC632" s="400"/>
      <c r="AD632" s="400"/>
      <c r="AE632" s="400"/>
      <c r="AF632" s="400"/>
      <c r="AG632" s="400"/>
      <c r="AH632" s="423">
        <f>SUM(Q632:AG632)</f>
        <v>0</v>
      </c>
      <c r="AI632" s="400">
        <f t="shared" si="282"/>
        <v>0</v>
      </c>
      <c r="AJ632" s="400">
        <f t="shared" si="282"/>
        <v>0</v>
      </c>
      <c r="AK632" s="400">
        <f t="shared" si="282"/>
        <v>0</v>
      </c>
      <c r="AL632" s="400">
        <f t="shared" si="282"/>
        <v>0</v>
      </c>
      <c r="AM632" s="400">
        <f t="shared" si="282"/>
        <v>0</v>
      </c>
      <c r="AN632" s="400">
        <f t="shared" si="282"/>
        <v>0</v>
      </c>
      <c r="AO632" s="400">
        <f t="shared" si="282"/>
        <v>0</v>
      </c>
      <c r="AP632" s="400">
        <f t="shared" si="282"/>
        <v>0</v>
      </c>
      <c r="AQ632" s="400">
        <f t="shared" si="282"/>
        <v>0</v>
      </c>
      <c r="AR632" s="400">
        <f t="shared" si="282"/>
        <v>0</v>
      </c>
      <c r="AS632" s="400">
        <f t="shared" si="283"/>
        <v>0</v>
      </c>
      <c r="AT632" s="400">
        <f t="shared" si="283"/>
        <v>0</v>
      </c>
      <c r="AU632" s="400">
        <f t="shared" si="283"/>
        <v>0</v>
      </c>
      <c r="AV632" s="400">
        <f t="shared" si="283"/>
        <v>0</v>
      </c>
      <c r="AW632" s="400">
        <f t="shared" si="283"/>
        <v>0</v>
      </c>
      <c r="AX632" s="400">
        <f t="shared" si="283"/>
        <v>0</v>
      </c>
      <c r="AY632" s="400">
        <f t="shared" si="283"/>
        <v>0</v>
      </c>
      <c r="AZ632" s="400">
        <f>SUM(AI632:AY632)</f>
        <v>0</v>
      </c>
    </row>
    <row r="633" spans="17:52" hidden="1">
      <c r="Q633" s="401">
        <f>IF(Q632=0,0,(IF(($C$220+$B$220+$D$220)&lt;=25000,(($D$220/+$AH632)*Q632)*VLOOKUP('1. SUMMARY'!$C$20,rate,Sheet1!T$21,0),((IF(($B$220+$C$220)&gt;=25000,0,(((25000-($B$220+$C$220))/+$AH632)*Q632)*VLOOKUP('1. SUMMARY'!$C$20,rate,Sheet1!T$21,0)))))))</f>
        <v>0</v>
      </c>
      <c r="R633" s="401">
        <f>IF(R632=0,0,(IF(($C$220+$B$220+$D$220)&lt;=25000,(($D$220/+$AH632)*R632)*VLOOKUP('1. SUMMARY'!$C$20,rate,Sheet1!U$21,0),((IF(($B$220+$C$220)&gt;=25000,0,(((25000-($B$220+$C$220))/+$AH632)*R632)*VLOOKUP('1. SUMMARY'!$C$20,rate,Sheet1!U$21,0)))))))</f>
        <v>0</v>
      </c>
      <c r="S633" s="401">
        <f>IF(S632=0,0,(IF(($C$220+$B$220+$D$220)&lt;=25000,(($D$220/+$AH632)*S632)*VLOOKUP('1. SUMMARY'!$C$20,rate,Sheet1!V$21,0),((IF(($B$220+$C$220)&gt;=25000,0,(((25000-($B$220+$C$220))/+$AH632)*S632)*VLOOKUP('1. SUMMARY'!$C$20,rate,Sheet1!V$21,0)))))))</f>
        <v>0</v>
      </c>
      <c r="T633" s="401">
        <f>IF(T632=0,0,(IF(($C$220+$B$220+$D$220)&lt;=25000,(($D$220/+$AH632)*T632)*VLOOKUP('1. SUMMARY'!$C$20,rate,Sheet1!W$21,0),((IF(($B$220+$C$220)&gt;=25000,0,(((25000-($B$220+$C$220))/+$AH632)*T632)*VLOOKUP('1. SUMMARY'!$C$20,rate,Sheet1!W$21,0)))))))</f>
        <v>0</v>
      </c>
      <c r="U633" s="401">
        <f>IF(U632=0,0,(IF(($C$220+$B$220+$D$220)&lt;=25000,(($D$220/+$AH632)*U632)*VLOOKUP('1. SUMMARY'!$C$20,rate,Sheet1!X$21,0),((IF(($B$220+$C$220)&gt;=25000,0,(((25000-($B$220+$C$220))/+$AH632)*U632)*VLOOKUP('1. SUMMARY'!$C$20,rate,Sheet1!X$21,0)))))))</f>
        <v>0</v>
      </c>
      <c r="V633" s="401">
        <f>IF(V632=0,0,(IF(($C$220+$B$220+$D$220)&lt;=25000,(($D$220/+$AH632)*V632)*VLOOKUP('1. SUMMARY'!$C$20,rate,Sheet1!Y$21,0),((IF(($B$220+$C$220)&gt;=25000,0,(((25000-($B$220+$C$220))/+$AH632)*V632)*VLOOKUP('1. SUMMARY'!$C$20,rate,Sheet1!Y$21,0)))))))</f>
        <v>0</v>
      </c>
      <c r="W633" s="401">
        <f>IF(W632=0,0,(IF(($C$220+$B$220+$D$220)&lt;=25000,(($D$220/+$AH632)*W632)*VLOOKUP('1. SUMMARY'!$C$20,rate,Sheet1!Z$21,0),((IF(($B$220+$C$220)&gt;=25000,0,(((25000-($B$220+$C$220))/+$AH632)*W632)*VLOOKUP('1. SUMMARY'!$C$20,rate,Sheet1!Z$21,0)))))))</f>
        <v>0</v>
      </c>
      <c r="X633" s="401">
        <f>IF(X632=0,0,(IF(($C$220+$B$220+$D$220)&lt;=25000,(($D$220/+$AH632)*X632)*VLOOKUP('1. SUMMARY'!$C$20,rate,Sheet1!AA$21,0),((IF(($B$220+$C$220)&gt;=25000,0,(((25000-($B$220+$C$220))/+$AH632)*X632)*VLOOKUP('1. SUMMARY'!$C$20,rate,Sheet1!AA$21,0)))))))</f>
        <v>0</v>
      </c>
      <c r="Y633" s="401">
        <f>IF(Y632=0,0,(IF(($C$220+$B$220+$D$220)&lt;=25000,(($D$220/+$AH632)*Y632)*VLOOKUP('1. SUMMARY'!$C$20,rate,Sheet1!AB$21,0),((IF(($B$220+$C$220)&gt;=25000,0,(((25000-($B$220+$C$220))/+$AH632)*Y632)*VLOOKUP('1. SUMMARY'!$C$20,rate,Sheet1!AB$21,0)))))))</f>
        <v>0</v>
      </c>
      <c r="Z633" s="401">
        <f>IF(Z632=0,0,(IF(($C$220+$B$220+$D$220)&lt;=25000,(($D$220/+$AH632)*Z632)*VLOOKUP('1. SUMMARY'!$C$20,rate,Sheet1!AC$21,0),((IF(($B$220+$C$220)&gt;=25000,0,(((25000-($B$220+$C$220))/+$AH632)*Z632)*VLOOKUP('1. SUMMARY'!$C$20,rate,Sheet1!AC$21,0)))))))</f>
        <v>0</v>
      </c>
      <c r="AA633" s="401">
        <f>IF(AA632=0,0,(IF(($C$220+$B$220+$D$220)&lt;=25000,(($D$220/+$AH632)*AA632)*VLOOKUP('1. SUMMARY'!$C$20,rate,Sheet1!AD$21,0),((IF(($B$220+$C$220)&gt;=25000,0,(((25000-($B$220+$C$220))/+$AH632)*AA632)*VLOOKUP('1. SUMMARY'!$C$20,rate,Sheet1!AD$21,0)))))))</f>
        <v>0</v>
      </c>
      <c r="AB633" s="401">
        <f>IF(AB632=0,0,(IF(($C$220+$B$220+$D$220)&lt;=25000,(($D$220/+$AH632)*AB632)*VLOOKUP('1. SUMMARY'!$C$20,rate,Sheet1!AE$21,0),((IF(($B$220+$C$220)&gt;=25000,0,(((25000-($B$220+$C$220))/+$AH632)*AB632)*VLOOKUP('1. SUMMARY'!$C$20,rate,Sheet1!AE$21,0)))))))</f>
        <v>0</v>
      </c>
      <c r="AC633" s="401">
        <f>IF(AC632=0,0,(IF(($C$220+$B$220+$D$220)&lt;=25000,(($D$220/+$AH632)*AC632)*VLOOKUP('1. SUMMARY'!$C$20,rate,Sheet1!AF$21,0),((IF(($B$220+$C$220)&gt;=25000,0,(((25000-($B$220+$C$220))/+$AH632)*AC632)*VLOOKUP('1. SUMMARY'!$C$20,rate,Sheet1!AF$21,0)))))))</f>
        <v>0</v>
      </c>
      <c r="AD633" s="401">
        <f>IF(AD632=0,0,(IF(($C$220+$B$220+$D$220)&lt;=25000,(($D$220/+$AH632)*AD632)*VLOOKUP('1. SUMMARY'!$C$20,rate,Sheet1!AG$21,0),((IF(($B$220+$C$220)&gt;=25000,0,(((25000-($B$220+$C$220))/+$AH632)*AD632)*VLOOKUP('1. SUMMARY'!$C$20,rate,Sheet1!AG$21,0)))))))</f>
        <v>0</v>
      </c>
      <c r="AE633" s="401">
        <f>IF(AE632=0,0,(IF(($C$220+$B$220+$D$220)&lt;=25000,(($D$220/+$AH632)*AE632)*VLOOKUP('1. SUMMARY'!$C$20,rate,Sheet1!AH$21,0),((IF(($B$220+$C$220)&gt;=25000,0,(((25000-($B$220+$C$220))/+$AH632)*AE632)*VLOOKUP('1. SUMMARY'!$C$20,rate,Sheet1!AH$21,0)))))))</f>
        <v>0</v>
      </c>
      <c r="AF633" s="401">
        <f>IF(AF632=0,0,(IF(($C$220+$B$220+$D$220)&lt;=25000,(($D$220/+$AH632)*AF632)*VLOOKUP('1. SUMMARY'!$C$20,rate,Sheet1!AI$21,0),((IF(($B$220+$C$220)&gt;=25000,0,(((25000-($B$220+$C$220))/+$AH632)*AF632)*VLOOKUP('1. SUMMARY'!$C$20,rate,Sheet1!AI$21,0)))))))</f>
        <v>0</v>
      </c>
      <c r="AG633" s="401">
        <f>IF(AG632=0,0,(IF(($C$220+$B$220+$D$220)&lt;=25000,(($D$220/+$AH632)*AG632)*VLOOKUP('1. SUMMARY'!$C$20,rate,Sheet1!AJ$21,0),((IF(($B$220+$C$220)&gt;=25000,0,(((25000-($B$220+$C$220))/+$AH632)*AG632)*VLOOKUP('1. SUMMARY'!$C$20,rate,Sheet1!AJ$21,0)))))))</f>
        <v>0</v>
      </c>
      <c r="AH633" s="219">
        <f>SUM(Q633:AG633)</f>
        <v>0</v>
      </c>
      <c r="AI633" s="401">
        <f>IF(Q632=0,0,((+$D220/$AZ$17)*AI632)*VLOOKUP('1. SUMMARY'!$C$20,rate,Sheet1!T$21,0))</f>
        <v>0</v>
      </c>
      <c r="AJ633" s="401">
        <f>IF(R632=0,0,((+$D220/$AZ$17)*AJ632)*VLOOKUP('1. SUMMARY'!$C$20,rate,Sheet1!U$21,0))</f>
        <v>0</v>
      </c>
      <c r="AK633" s="401">
        <f>IF(S632=0,0,((+$D220/$AZ$17)*AK632)*VLOOKUP('1. SUMMARY'!$C$20,rate,Sheet1!V$21,0))</f>
        <v>0</v>
      </c>
      <c r="AL633" s="401">
        <f>IF(T632=0,0,((+$D220/$AZ$17)*AL632)*VLOOKUP('1. SUMMARY'!$C$20,rate,Sheet1!W$21,0))</f>
        <v>0</v>
      </c>
      <c r="AM633" s="401">
        <f>IF(U632=0,0,((+$D220/$AZ$17)*AM632)*VLOOKUP('1. SUMMARY'!$C$20,rate,Sheet1!X$21,0))</f>
        <v>0</v>
      </c>
      <c r="AN633" s="401">
        <f>IF(V632=0,0,((+$D220/$AZ$17)*AN632)*VLOOKUP('1. SUMMARY'!$C$20,rate,Sheet1!Y$21,0))</f>
        <v>0</v>
      </c>
      <c r="AO633" s="401">
        <f>IF(W632=0,0,((+$D220/$AZ$17)*AO632)*VLOOKUP('1. SUMMARY'!$C$20,rate,Sheet1!Z$21,0))</f>
        <v>0</v>
      </c>
      <c r="AP633" s="401">
        <f>IF(X632=0,0,((+$D220/$AZ$17)*AP632)*VLOOKUP('1. SUMMARY'!$C$20,rate,Sheet1!AA$21,0))</f>
        <v>0</v>
      </c>
      <c r="AQ633" s="401">
        <f>IF(Y632=0,0,((+$D220/$AZ$17)*AQ632)*VLOOKUP('1. SUMMARY'!$C$20,rate,Sheet1!AB$21,0))</f>
        <v>0</v>
      </c>
      <c r="AR633" s="401">
        <f>IF(Z632=0,0,((+$D220/$AZ$17)*AR632)*VLOOKUP('1. SUMMARY'!$C$20,rate,Sheet1!AC$21,0))</f>
        <v>0</v>
      </c>
      <c r="AS633" s="401">
        <f>IF(AA632=0,0,((+$D220/$AZ$17)*AS632)*VLOOKUP('1. SUMMARY'!$C$20,rate,Sheet1!AD$21,0))</f>
        <v>0</v>
      </c>
      <c r="AT633" s="401">
        <f>IF(AB632=0,0,((+$D220/$AZ$17)*AT632)*VLOOKUP('1. SUMMARY'!$C$20,rate,Sheet1!AE$21,0))</f>
        <v>0</v>
      </c>
      <c r="AU633" s="401">
        <f>IF(AC632=0,0,((+$D220/$AZ$17)*AU632)*VLOOKUP('1. SUMMARY'!$C$20,rate,Sheet1!AF$21,0))</f>
        <v>0</v>
      </c>
      <c r="AV633" s="401">
        <f>IF(AD632=0,0,((+$D220/$AZ$17)*AV632)*VLOOKUP('1. SUMMARY'!$C$20,rate,Sheet1!AG$21,0))</f>
        <v>0</v>
      </c>
      <c r="AW633" s="401">
        <f>IF(AE632=0,0,((+$D220/$AZ$17)*AW632)*VLOOKUP('1. SUMMARY'!$C$20,rate,Sheet1!AH$21,0))</f>
        <v>0</v>
      </c>
      <c r="AX633" s="401">
        <f>IF(AF632=0,0,((+$D220/$AZ$17)*AX632)*VLOOKUP('1. SUMMARY'!$C$20,rate,Sheet1!AI$21,0))</f>
        <v>0</v>
      </c>
      <c r="AY633" s="401">
        <f>IF(AG632=0,0,((+$D220/$AZ$17)*AY632)*VLOOKUP('1. SUMMARY'!$C$20,rate,Sheet1!AJ$21,0))</f>
        <v>0</v>
      </c>
      <c r="AZ633" s="401">
        <f>SUM(AI633:AY633)</f>
        <v>0</v>
      </c>
    </row>
    <row r="634" spans="17:52" hidden="1">
      <c r="Q634" s="401">
        <f>+Q633/VLOOKUP('1. SUMMARY'!$C$20,rate,Sheet1!T$21,0)</f>
        <v>0</v>
      </c>
      <c r="R634" s="401">
        <f>+R633/VLOOKUP('1. SUMMARY'!$C$20,rate,Sheet1!U$21,0)</f>
        <v>0</v>
      </c>
      <c r="S634" s="401">
        <f>+S633/VLOOKUP('1. SUMMARY'!$C$20,rate,Sheet1!V$21,0)</f>
        <v>0</v>
      </c>
      <c r="T634" s="401">
        <f>+T633/VLOOKUP('1. SUMMARY'!$C$20,rate,Sheet1!W$21,0)</f>
        <v>0</v>
      </c>
      <c r="U634" s="401">
        <f>+U633/VLOOKUP('1. SUMMARY'!$C$20,rate,Sheet1!X$21,0)</f>
        <v>0</v>
      </c>
      <c r="V634" s="401">
        <f>+V633/VLOOKUP('1. SUMMARY'!$C$20,rate,Sheet1!Y$21,0)</f>
        <v>0</v>
      </c>
      <c r="W634" s="401">
        <f>+W633/VLOOKUP('1. SUMMARY'!$C$20,rate,Sheet1!Z$21,0)</f>
        <v>0</v>
      </c>
      <c r="X634" s="401">
        <f>+X633/VLOOKUP('1. SUMMARY'!$C$20,rate,Sheet1!AA$21,0)</f>
        <v>0</v>
      </c>
      <c r="Y634" s="401">
        <f>+Y633/VLOOKUP('1. SUMMARY'!$C$20,rate,Sheet1!AB$21,0)</f>
        <v>0</v>
      </c>
      <c r="Z634" s="401">
        <f>+Z633/VLOOKUP('1. SUMMARY'!$C$20,rate,Sheet1!AC$21,0)</f>
        <v>0</v>
      </c>
      <c r="AA634" s="401">
        <f>+AA633/VLOOKUP('1. SUMMARY'!$C$20,rate,Sheet1!AD$21,0)</f>
        <v>0</v>
      </c>
      <c r="AB634" s="401">
        <f>+AB633/VLOOKUP('1. SUMMARY'!$C$20,rate,Sheet1!AE$21,0)</f>
        <v>0</v>
      </c>
      <c r="AC634" s="401">
        <f>+AC633/VLOOKUP('1. SUMMARY'!$C$20,rate,Sheet1!AF$21,0)</f>
        <v>0</v>
      </c>
      <c r="AD634" s="401">
        <f>+AD633/VLOOKUP('1. SUMMARY'!$C$20,rate,Sheet1!AG$21,0)</f>
        <v>0</v>
      </c>
      <c r="AE634" s="401">
        <f>+AE633/VLOOKUP('1. SUMMARY'!$C$20,rate,Sheet1!AH$21,0)</f>
        <v>0</v>
      </c>
      <c r="AF634" s="401">
        <f>+AF633/VLOOKUP('1. SUMMARY'!$C$20,rate,Sheet1!AI$21,0)</f>
        <v>0</v>
      </c>
      <c r="AG634" s="401">
        <f>+AG633/VLOOKUP('1. SUMMARY'!$C$20,rate,Sheet1!AJ$21,0)</f>
        <v>0</v>
      </c>
      <c r="AH634" s="219"/>
      <c r="AI634" s="401">
        <v>0</v>
      </c>
      <c r="AJ634" s="401">
        <v>0</v>
      </c>
      <c r="AK634" s="401">
        <v>0</v>
      </c>
      <c r="AL634" s="401">
        <v>0</v>
      </c>
      <c r="AM634" s="401">
        <v>0</v>
      </c>
      <c r="AN634" s="401">
        <v>0</v>
      </c>
      <c r="AO634" s="401">
        <v>0</v>
      </c>
      <c r="AP634" s="401">
        <v>0</v>
      </c>
      <c r="AQ634" s="401"/>
      <c r="AR634" s="401"/>
      <c r="AS634" s="401"/>
      <c r="AT634" s="401"/>
      <c r="AU634" s="401"/>
      <c r="AV634" s="401"/>
      <c r="AW634" s="401"/>
      <c r="AX634" s="401"/>
      <c r="AY634" s="401"/>
      <c r="AZ634" s="401"/>
    </row>
    <row r="635" spans="17:52" hidden="1">
      <c r="Q635" s="405">
        <f>Sheet1!$T$8</f>
        <v>44105</v>
      </c>
      <c r="R635" s="405">
        <f>Sheet1!$U$8</f>
        <v>44470</v>
      </c>
      <c r="S635" s="405">
        <f>Sheet1!$V$8</f>
        <v>44835</v>
      </c>
      <c r="T635" s="405">
        <f>Sheet1!$W$8</f>
        <v>45200</v>
      </c>
      <c r="U635" s="405">
        <f>Sheet1!$X$8</f>
        <v>45566</v>
      </c>
      <c r="V635" s="405">
        <f>Sheet1!$Y$8</f>
        <v>45931</v>
      </c>
      <c r="W635" s="405">
        <f>Sheet1!$Z$8</f>
        <v>46296</v>
      </c>
      <c r="X635" s="405">
        <f>Sheet1!$AA$8</f>
        <v>46661</v>
      </c>
      <c r="Y635" s="405">
        <f>Sheet1!$AB$8</f>
        <v>47027</v>
      </c>
      <c r="Z635" s="405">
        <f>Sheet1!$AC$8</f>
        <v>47392</v>
      </c>
      <c r="AA635" s="405">
        <f>$AA$5</f>
        <v>47757</v>
      </c>
      <c r="AB635" s="405">
        <f>$AB$5</f>
        <v>48122</v>
      </c>
      <c r="AC635" s="405">
        <f>$AC$5</f>
        <v>48488</v>
      </c>
      <c r="AD635" s="405">
        <f>$AD$5</f>
        <v>48853</v>
      </c>
      <c r="AE635" s="405">
        <f>$AE$5</f>
        <v>49218</v>
      </c>
      <c r="AF635" s="405">
        <f>$AF$5</f>
        <v>49583</v>
      </c>
      <c r="AG635" s="405">
        <f>$AG$5</f>
        <v>49949</v>
      </c>
      <c r="AH635" s="211"/>
      <c r="AI635" s="405">
        <f t="shared" ref="AI635:AR637" si="284">+Q635</f>
        <v>44105</v>
      </c>
      <c r="AJ635" s="405">
        <f t="shared" si="284"/>
        <v>44470</v>
      </c>
      <c r="AK635" s="405">
        <f t="shared" si="284"/>
        <v>44835</v>
      </c>
      <c r="AL635" s="405">
        <f t="shared" si="284"/>
        <v>45200</v>
      </c>
      <c r="AM635" s="405">
        <f t="shared" si="284"/>
        <v>45566</v>
      </c>
      <c r="AN635" s="405">
        <f t="shared" si="284"/>
        <v>45931</v>
      </c>
      <c r="AO635" s="405">
        <f t="shared" si="284"/>
        <v>46296</v>
      </c>
      <c r="AP635" s="405">
        <f t="shared" si="284"/>
        <v>46661</v>
      </c>
      <c r="AQ635" s="405">
        <f t="shared" si="284"/>
        <v>47027</v>
      </c>
      <c r="AR635" s="405">
        <f t="shared" si="284"/>
        <v>47392</v>
      </c>
      <c r="AS635" s="405">
        <f t="shared" ref="AS635:AY637" si="285">+AA635</f>
        <v>47757</v>
      </c>
      <c r="AT635" s="405">
        <f t="shared" si="285"/>
        <v>48122</v>
      </c>
      <c r="AU635" s="405">
        <f t="shared" si="285"/>
        <v>48488</v>
      </c>
      <c r="AV635" s="405">
        <f t="shared" si="285"/>
        <v>48853</v>
      </c>
      <c r="AW635" s="405">
        <f t="shared" si="285"/>
        <v>49218</v>
      </c>
      <c r="AX635" s="405">
        <f t="shared" si="285"/>
        <v>49583</v>
      </c>
      <c r="AY635" s="405">
        <f t="shared" si="285"/>
        <v>49949</v>
      </c>
      <c r="AZ635" s="405"/>
    </row>
    <row r="636" spans="17:52" hidden="1">
      <c r="Q636" s="405">
        <f>Sheet1!$T$9</f>
        <v>44469</v>
      </c>
      <c r="R636" s="405">
        <f>Sheet1!$U$9</f>
        <v>44834</v>
      </c>
      <c r="S636" s="405">
        <f>Sheet1!$V$9</f>
        <v>45199</v>
      </c>
      <c r="T636" s="405">
        <f>Sheet1!$W$9</f>
        <v>45565</v>
      </c>
      <c r="U636" s="405">
        <f>Sheet1!$X$9</f>
        <v>45930</v>
      </c>
      <c r="V636" s="405">
        <f>Sheet1!$Y$9</f>
        <v>46295</v>
      </c>
      <c r="W636" s="405">
        <f>Sheet1!$Z$9</f>
        <v>46660</v>
      </c>
      <c r="X636" s="405">
        <f>Sheet1!$AA$9</f>
        <v>47026</v>
      </c>
      <c r="Y636" s="405">
        <f>Sheet1!$AB$9</f>
        <v>47391</v>
      </c>
      <c r="Z636" s="405">
        <f>Sheet1!$AC$9</f>
        <v>47756</v>
      </c>
      <c r="AA636" s="405">
        <f>$AA$6</f>
        <v>48121</v>
      </c>
      <c r="AB636" s="405">
        <f>$AB$6</f>
        <v>48487</v>
      </c>
      <c r="AC636" s="405">
        <f>$AC$6</f>
        <v>48852</v>
      </c>
      <c r="AD636" s="405">
        <f>$AD$6</f>
        <v>49217</v>
      </c>
      <c r="AE636" s="405">
        <f>$AE$6</f>
        <v>49582</v>
      </c>
      <c r="AF636" s="405">
        <f>$AF$6</f>
        <v>49948</v>
      </c>
      <c r="AG636" s="405">
        <f>$AG$6</f>
        <v>50313</v>
      </c>
      <c r="AH636" s="211"/>
      <c r="AI636" s="405">
        <f t="shared" si="284"/>
        <v>44469</v>
      </c>
      <c r="AJ636" s="405">
        <f t="shared" si="284"/>
        <v>44834</v>
      </c>
      <c r="AK636" s="405">
        <f t="shared" si="284"/>
        <v>45199</v>
      </c>
      <c r="AL636" s="405">
        <f t="shared" si="284"/>
        <v>45565</v>
      </c>
      <c r="AM636" s="405">
        <f t="shared" si="284"/>
        <v>45930</v>
      </c>
      <c r="AN636" s="405">
        <f t="shared" si="284"/>
        <v>46295</v>
      </c>
      <c r="AO636" s="405">
        <f t="shared" si="284"/>
        <v>46660</v>
      </c>
      <c r="AP636" s="405">
        <f t="shared" si="284"/>
        <v>47026</v>
      </c>
      <c r="AQ636" s="405">
        <f t="shared" si="284"/>
        <v>47391</v>
      </c>
      <c r="AR636" s="405">
        <f t="shared" si="284"/>
        <v>47756</v>
      </c>
      <c r="AS636" s="405">
        <f t="shared" si="285"/>
        <v>48121</v>
      </c>
      <c r="AT636" s="405">
        <f t="shared" si="285"/>
        <v>48487</v>
      </c>
      <c r="AU636" s="405">
        <f t="shared" si="285"/>
        <v>48852</v>
      </c>
      <c r="AV636" s="405">
        <f t="shared" si="285"/>
        <v>49217</v>
      </c>
      <c r="AW636" s="405">
        <f t="shared" si="285"/>
        <v>49582</v>
      </c>
      <c r="AX636" s="405">
        <f t="shared" si="285"/>
        <v>49948</v>
      </c>
      <c r="AY636" s="405">
        <f t="shared" si="285"/>
        <v>50313</v>
      </c>
      <c r="AZ636" s="405"/>
    </row>
    <row r="637" spans="17:52" hidden="1">
      <c r="Q637" s="406">
        <f>IF(IF(Q636&lt;$E$27,0,DATEDIF($E$27,Q636+1,"m"))&lt;0,0,IF(Q636&lt;$E$27,0,DATEDIF($E$27,Q636+1,"m")))</f>
        <v>0</v>
      </c>
      <c r="R637" s="406">
        <f>IF(IF(Q637=12,0,IF(R636&gt;$E$28,12-DATEDIF($E$28,R636+1,"m"),IF(R636&lt;$E$27,0,DATEDIF($E$27,R636+1,"m"))))&lt;0,0,IF(Q637=12,0,IF(R636&gt;$E$28,12-DATEDIF($E$28,R636+1,"m"),IF(R636&lt;$E$27,0,DATEDIF($E$27,R636+1,"m")))))</f>
        <v>0</v>
      </c>
      <c r="S637" s="406">
        <f>IF(IF(Q637+R637=12,0,IF(S636&gt;$E$28,12-DATEDIF($E$28,S636+1,"m"),IF(S636&lt;$E$27,0,DATEDIF($E$27,S636+1,"m"))))&lt;0,0,IF(Q637+R637=12,0,IF(S636&gt;$E$28,12-DATEDIF($E$28,S636+1,"m"),IF(S636&lt;$E$27,0,DATEDIF($E$27,S636+1,"m")))))</f>
        <v>0</v>
      </c>
      <c r="T637" s="406">
        <f>IF(IF(R637+S637+Q637=12,0,IF(T636&gt;$E$28,12-DATEDIF($E$28,T636+1,"m"),IF(T636&lt;$E$27,0,DATEDIF($E$27,T636+1,"m"))))&lt;0,0,IF(R637+S637+Q637=12,0,IF(T636&gt;$E$28,12-DATEDIF($E$28,T636+1,"m"),IF(T636&lt;$E$27,0,DATEDIF($E$27,T636+1,"m")))))</f>
        <v>0</v>
      </c>
      <c r="U637" s="406">
        <f>IF(IF(S637+T637+R637+Q637=12,0,IF(U636&gt;$E$28,12-DATEDIF($E$28,U636+1,"m"),IF(U636&lt;$E$27,0,DATEDIF($E$27,U636+1,"m"))))&lt;0,0,IF(S637+T637+R637+Q637=12,0,IF(U636&gt;$E$28,12-DATEDIF($E$28,U636+1,"m"),IF(U636&lt;$E$27,0,DATEDIF($E$27,U636+1,"m")))))</f>
        <v>0</v>
      </c>
      <c r="V637" s="406">
        <f>IF(IF(T637+U637+S637+R637+Q637=12,0,IF(V636&gt;$E$28,12-DATEDIF($E$28,V636+1,"m"),IF(V636&lt;$E$27,0,DATEDIF($E$27,V636+1,"m"))))&lt;0,0,IF(T637+U637+S637+R637+Q637=12,0,IF(V636&gt;$E$28,12-DATEDIF($E$28,V636+1,"m"),IF(V636&lt;$E$27,0,DATEDIF($E$27,V636+1,"m")))))</f>
        <v>0</v>
      </c>
      <c r="W637" s="406">
        <f>IF(IF(U637+V637+T637+S637+R637+Q637=12,0,IF(W636&gt;$E$28,12-DATEDIF($E$28,W636+1,"m"),IF(W636&lt;$E$27,0,DATEDIF($E$27,W636+1,"m"))))&lt;0,0,IF(U637+V637+T637+S637+R637+Q637=12,0,IF(W636&gt;$E$28,12-DATEDIF($E$28,W636+1,"m"),IF(W636&lt;$E$27,0,DATEDIF($E$27,W636+1,"m")))))</f>
        <v>0</v>
      </c>
      <c r="X637" s="406">
        <f>IF(IF(V637+W637+U637+T637+S637+R637+Q637=12,0,IF(X636&gt;$E$28,12-DATEDIF($E$28,X636+1,"m"),IF(X636&lt;$E$27,0,DATEDIF($E$27,X636+1,"m"))))&lt;0,0,IF(V637+W637+U637+T637+S637+R637+Q637=12,0,IF(X636&gt;$E$28,12-DATEDIF($E$28,X636+1,"m"),IF(X636&lt;$E$27,0,DATEDIF($E$27,X636+1,"m")))))</f>
        <v>0</v>
      </c>
      <c r="Y637" s="406">
        <f>IF(IF(Q637+W637+X637+V637+U637+T637+S637+R637=12,0,IF(Y636&gt;F456,12-DATEDIF(F456,Y636+1,"m"),IF(Y636&lt;F455,0,DATEDIF(F455,Y636+1,"m"))))&lt;0,0,IF(Q637+W637+X637+V637+U637+T637+S637+R637=12,0,IF(Y636&gt;F456,12-DATEDIF(F456,Y636+1,"m"),IF(Y636&lt;F455,0,DATEDIF(F455,Y636+1,"m")))))</f>
        <v>0</v>
      </c>
      <c r="Z637" s="406">
        <f>IF(IF(Q637+R637+X637+Y637+W637+V637+U637+T637+S637=12,0,IF(Z636&gt;G456,12-DATEDIF(G456,Z636+1,"m"),IF(Z636&lt;G455,0,DATEDIF(G455,Z636+1,"m"))))&lt;0,0,IF(Q637+R637+X637+Y637+W637+V637+U637+T637+S637=12,0,IF(Z636&gt;G456,12-DATEDIF(G456,Z636+1,"m"),IF(Z636&lt;G455,0,DATEDIF(G455,Z636+1,"m")))))</f>
        <v>0</v>
      </c>
      <c r="AA637" s="406"/>
      <c r="AB637" s="406"/>
      <c r="AC637" s="406"/>
      <c r="AD637" s="406"/>
      <c r="AE637" s="406"/>
      <c r="AF637" s="406"/>
      <c r="AG637" s="406"/>
      <c r="AH637" s="423">
        <f>SUM(Q637:AG637)</f>
        <v>0</v>
      </c>
      <c r="AI637" s="406">
        <f t="shared" si="284"/>
        <v>0</v>
      </c>
      <c r="AJ637" s="406">
        <f t="shared" si="284"/>
        <v>0</v>
      </c>
      <c r="AK637" s="406">
        <f t="shared" si="284"/>
        <v>0</v>
      </c>
      <c r="AL637" s="406">
        <f t="shared" si="284"/>
        <v>0</v>
      </c>
      <c r="AM637" s="406">
        <f t="shared" si="284"/>
        <v>0</v>
      </c>
      <c r="AN637" s="406">
        <f t="shared" si="284"/>
        <v>0</v>
      </c>
      <c r="AO637" s="406">
        <f t="shared" si="284"/>
        <v>0</v>
      </c>
      <c r="AP637" s="406">
        <f t="shared" si="284"/>
        <v>0</v>
      </c>
      <c r="AQ637" s="406">
        <f t="shared" si="284"/>
        <v>0</v>
      </c>
      <c r="AR637" s="406">
        <f t="shared" si="284"/>
        <v>0</v>
      </c>
      <c r="AS637" s="406">
        <f t="shared" si="285"/>
        <v>0</v>
      </c>
      <c r="AT637" s="406">
        <f t="shared" si="285"/>
        <v>0</v>
      </c>
      <c r="AU637" s="406">
        <f t="shared" si="285"/>
        <v>0</v>
      </c>
      <c r="AV637" s="406">
        <f t="shared" si="285"/>
        <v>0</v>
      </c>
      <c r="AW637" s="406">
        <f t="shared" si="285"/>
        <v>0</v>
      </c>
      <c r="AX637" s="406">
        <f t="shared" si="285"/>
        <v>0</v>
      </c>
      <c r="AY637" s="406">
        <f t="shared" si="285"/>
        <v>0</v>
      </c>
      <c r="AZ637" s="406">
        <f>SUM(AI637:AY637)</f>
        <v>0</v>
      </c>
    </row>
    <row r="638" spans="17:52" hidden="1">
      <c r="Q638" s="407">
        <f>IF(Q637=0,0,(IF(($C$220+$B$220+$D$220+$E$220)&lt;=25000,(($E$220/+$AH637)*Q637)*VLOOKUP('1. SUMMARY'!$C$20,rate,Sheet1!T$21,0),((IF(($B$220+$C$220+$D$220)&gt;=25000,0,(((25000-($B$220+$C$220+$D$220))/+$AH637)*Q637)*(VLOOKUP('1. SUMMARY'!$C$20,rate,Sheet1!T$21,0))))))))</f>
        <v>0</v>
      </c>
      <c r="R638" s="407">
        <f>IF(R637=0,0,(IF(($C$220+$B$220+$D$220+$E$220)&lt;=25000,(($E$220/+$AH637)*R637)*VLOOKUP('1. SUMMARY'!$C$20,rate,Sheet1!U$21,0),((IF(($B$220+$C$220+$D$220)&gt;=25000,0,(((25000-($B$220+$C$220+$D$220))/+$AH637)*R637)*(VLOOKUP('1. SUMMARY'!$C$20,rate,Sheet1!U$21,0))))))))</f>
        <v>0</v>
      </c>
      <c r="S638" s="407">
        <f>IF(S637=0,0,(IF(($C$220+$B$220+$D$220+$E$220)&lt;=25000,(($E$220/+$AH637)*S637)*VLOOKUP('1. SUMMARY'!$C$20,rate,Sheet1!V$21,0),((IF(($B$220+$C$220+$D$220)&gt;=25000,0,(((25000-($B$220+$C$220+$D$220))/+$AH637)*S637)*(VLOOKUP('1. SUMMARY'!$C$20,rate,Sheet1!V$21,0))))))))</f>
        <v>0</v>
      </c>
      <c r="T638" s="407">
        <f>IF(T637=0,0,(IF(($C$220+$B$220+$D$220+$E$220)&lt;=25000,(($E$220/+$AH637)*T637)*VLOOKUP('1. SUMMARY'!$C$20,rate,Sheet1!W$21,0),((IF(($B$220+$C$220+$D$220)&gt;=25000,0,(((25000-($B$220+$C$220+$D$220))/+$AH637)*T637)*(VLOOKUP('1. SUMMARY'!$C$20,rate,Sheet1!W$21,0))))))))</f>
        <v>0</v>
      </c>
      <c r="U638" s="407">
        <f>IF(U637=0,0,(IF(($C$220+$B$220+$D$220+$E$220)&lt;=25000,(($E$220/+$AH637)*U637)*VLOOKUP('1. SUMMARY'!$C$20,rate,Sheet1!X$21,0),((IF(($B$220+$C$220+$D$220)&gt;=25000,0,(((25000-($B$220+$C$220+$D$220))/+$AH637)*U637)*(VLOOKUP('1. SUMMARY'!$C$20,rate,Sheet1!X$21,0))))))))</f>
        <v>0</v>
      </c>
      <c r="V638" s="407">
        <f>IF(V637=0,0,(IF(($C$220+$B$220+$D$220+$E$220)&lt;=25000,(($E$220/+$AH637)*V637)*VLOOKUP('1. SUMMARY'!$C$20,rate,Sheet1!Y$21,0),((IF(($B$220+$C$220+$D$220)&gt;=25000,0,(((25000-($B$220+$C$220+$D$220))/+$AH637)*V637)*(VLOOKUP('1. SUMMARY'!$C$20,rate,Sheet1!Y$21,0))))))))</f>
        <v>0</v>
      </c>
      <c r="W638" s="407">
        <f>IF(W637=0,0,(IF(($C$220+$B$220+$D$220+$E$220)&lt;=25000,(($E$220/+$AH637)*W637)*VLOOKUP('1. SUMMARY'!$C$20,rate,Sheet1!Z$21,0),((IF(($B$220+$C$220+$D$220)&gt;=25000,0,(((25000-($B$220+$C$220+$D$220))/+$AH637)*W637)*(VLOOKUP('1. SUMMARY'!$C$20,rate,Sheet1!Z$21,0))))))))</f>
        <v>0</v>
      </c>
      <c r="X638" s="407">
        <f>IF(X637=0,0,(IF(($C$220+$B$220+$D$220+$E$220)&lt;=25000,(($E$220/+$AH637)*X637)*VLOOKUP('1. SUMMARY'!$C$20,rate,Sheet1!AA$21,0),((IF(($B$220+$C$220+$D$220)&gt;=25000,0,(((25000-($B$220+$C$220+$D$220))/+$AH637)*X637)*(VLOOKUP('1. SUMMARY'!$C$20,rate,Sheet1!AA$21,0))))))))</f>
        <v>0</v>
      </c>
      <c r="Y638" s="407">
        <f>IF(Y637=0,0,(IF(($C$220+$B$220+$D$220+$E$220)&lt;=25000,(($E$220/+$AH637)*Y637)*VLOOKUP('1. SUMMARY'!$C$20,rate,Sheet1!AB$21,0),((IF(($B$220+$C$220+$D$220)&gt;=25000,0,(((25000-($B$220+$C$220+$D$220))/+$AH637)*Y637)*(VLOOKUP('1. SUMMARY'!$C$20,rate,Sheet1!AB$21,0))))))))</f>
        <v>0</v>
      </c>
      <c r="Z638" s="407">
        <f>IF(Z637=0,0,(IF(($C$220+$B$220+$D$220+$E$220)&lt;=25000,(($E$220/+$AH637)*Z637)*VLOOKUP('1. SUMMARY'!$C$20,rate,Sheet1!AC$21,0),((IF(($B$220+$C$220+$D$220)&gt;=25000,0,(((25000-($B$220+$C$220+$D$220))/+$AH637)*Z637)*(VLOOKUP('1. SUMMARY'!$C$20,rate,Sheet1!AC$21,0))))))))</f>
        <v>0</v>
      </c>
      <c r="AA638" s="407">
        <f>IF(AA637=0,0,(IF(($C$220+$B$220+$D$220+$E$220)&lt;=25000,(($E$220/+$AH637)*AA637)*VLOOKUP('1. SUMMARY'!$C$20,rate,Sheet1!AD$21,0),((IF(($B$220+$C$220+$D$220)&gt;=25000,0,(((25000-($B$220+$C$220+$D$220))/+$AH637)*AA637)*(VLOOKUP('1. SUMMARY'!$C$20,rate,Sheet1!AD$21,0))))))))</f>
        <v>0</v>
      </c>
      <c r="AB638" s="407">
        <f>IF(AB637=0,0,(IF(($C$220+$B$220+$D$220+$E$220)&lt;=25000,(($E$220/+$AH637)*AB637)*VLOOKUP('1. SUMMARY'!$C$20,rate,Sheet1!AE$21,0),((IF(($B$220+$C$220+$D$220)&gt;=25000,0,(((25000-($B$220+$C$220+$D$220))/+$AH637)*AB637)*(VLOOKUP('1. SUMMARY'!$C$20,rate,Sheet1!AE$21,0))))))))</f>
        <v>0</v>
      </c>
      <c r="AC638" s="407">
        <f>IF(AC637=0,0,(IF(($C$220+$B$220+$D$220+$E$220)&lt;=25000,(($E$220/+$AH637)*AC637)*VLOOKUP('1. SUMMARY'!$C$20,rate,Sheet1!AF$21,0),((IF(($B$220+$C$220+$D$220)&gt;=25000,0,(((25000-($B$220+$C$220+$D$220))/+$AH637)*AC637)*(VLOOKUP('1. SUMMARY'!$C$20,rate,Sheet1!AF$21,0))))))))</f>
        <v>0</v>
      </c>
      <c r="AD638" s="407">
        <f>IF(AD637=0,0,(IF(($C$220+$B$220+$D$220+$E$220)&lt;=25000,(($E$220/+$AH637)*AD637)*VLOOKUP('1. SUMMARY'!$C$20,rate,Sheet1!AG$21,0),((IF(($B$220+$C$220+$D$220)&gt;=25000,0,(((25000-($B$220+$C$220+$D$220))/+$AH637)*AD637)*(VLOOKUP('1. SUMMARY'!$C$20,rate,Sheet1!AG$21,0))))))))</f>
        <v>0</v>
      </c>
      <c r="AE638" s="407">
        <f>IF(AE637=0,0,(IF(($C$220+$B$220+$D$220+$E$220)&lt;=25000,(($E$220/+$AH637)*AE637)*VLOOKUP('1. SUMMARY'!$C$20,rate,Sheet1!AH$21,0),((IF(($B$220+$C$220+$D$220)&gt;=25000,0,(((25000-($B$220+$C$220+$D$220))/+$AH637)*AE637)*(VLOOKUP('1. SUMMARY'!$C$20,rate,Sheet1!AH$21,0))))))))</f>
        <v>0</v>
      </c>
      <c r="AF638" s="407">
        <f>IF(AF637=0,0,(IF(($C$220+$B$220+$D$220+$E$220)&lt;=25000,(($E$220/+$AH637)*AF637)*VLOOKUP('1. SUMMARY'!$C$20,rate,Sheet1!AI$21,0),((IF(($B$220+$C$220+$D$220)&gt;=25000,0,(((25000-($B$220+$C$220+$D$220))/+$AH637)*AF637)*(VLOOKUP('1. SUMMARY'!$C$20,rate,Sheet1!AI$21,0))))))))</f>
        <v>0</v>
      </c>
      <c r="AG638" s="407">
        <f>IF(AG637=0,0,(IF(($C$220+$B$220+$D$220+$E$220)&lt;=25000,(($E$220/+$AH637)*AG637)*VLOOKUP('1. SUMMARY'!$C$20,rate,Sheet1!AJ$21,0),((IF(($B$220+$C$220+$D$220)&gt;=25000,0,(((25000-($B$220+$C$220+$D$220))/+$AH637)*AG637)*(VLOOKUP('1. SUMMARY'!$C$20,rate,Sheet1!AJ$21,0))))))))</f>
        <v>0</v>
      </c>
      <c r="AH638" s="219">
        <f>SUM(Q638:AG638)</f>
        <v>0</v>
      </c>
      <c r="AI638" s="407">
        <f>IF(AI637=0,0,((+$E220/$AZ$22)*AI637)*VLOOKUP('1. SUMMARY'!$C$20,rate,Sheet1!T$21,0))</f>
        <v>0</v>
      </c>
      <c r="AJ638" s="407">
        <f>IF(AJ637=0,0,((+$E220/$AZ$22)*AJ637)*VLOOKUP('1. SUMMARY'!$C$20,rate,Sheet1!U$21,0))</f>
        <v>0</v>
      </c>
      <c r="AK638" s="407">
        <f>IF(AK637=0,0,((+$E220/$AZ$22)*AK637)*VLOOKUP('1. SUMMARY'!$C$20,rate,Sheet1!V$21,0))</f>
        <v>0</v>
      </c>
      <c r="AL638" s="407">
        <f>IF(AL637=0,0,((+$E220/$AZ$22)*AL637)*VLOOKUP('1. SUMMARY'!$C$20,rate,Sheet1!W$21,0))</f>
        <v>0</v>
      </c>
      <c r="AM638" s="407">
        <f>IF(AM637=0,0,((+$E220/$AZ$22)*AM637)*VLOOKUP('1. SUMMARY'!$C$20,rate,Sheet1!X$21,0))</f>
        <v>0</v>
      </c>
      <c r="AN638" s="407">
        <f>IF(AN637=0,0,((+$E220/$AZ$22)*AN637)*VLOOKUP('1. SUMMARY'!$C$20,rate,Sheet1!Y$21,0))</f>
        <v>0</v>
      </c>
      <c r="AO638" s="407">
        <f>IF(AO637=0,0,((+$E220/$AZ$22)*AO637)*VLOOKUP('1. SUMMARY'!$C$20,rate,Sheet1!Z$21,0))</f>
        <v>0</v>
      </c>
      <c r="AP638" s="407">
        <f>IF(AP637=0,0,((+$E220/$AZ$22)*AP637)*VLOOKUP('1. SUMMARY'!$C$20,rate,Sheet1!AA$21,0))</f>
        <v>0</v>
      </c>
      <c r="AQ638" s="407">
        <f>IF(AQ637=0,0,((+$E220/$AZ$22)*AQ637)*VLOOKUP('1. SUMMARY'!$C$20,rate,Sheet1!AB$21,0))</f>
        <v>0</v>
      </c>
      <c r="AR638" s="407">
        <f>IF(AR637=0,0,((+$E220/$AZ$22)*AR637)*VLOOKUP('1. SUMMARY'!$C$20,rate,Sheet1!AC$21,0))</f>
        <v>0</v>
      </c>
      <c r="AS638" s="407">
        <f>IF(AS637=0,0,((+$E220/$AZ$22)*AS637)*VLOOKUP('1. SUMMARY'!$C$20,rate,Sheet1!AD$21,0))</f>
        <v>0</v>
      </c>
      <c r="AT638" s="407">
        <f>IF(AT637=0,0,((+$E220/$AZ$22)*AT637)*VLOOKUP('1. SUMMARY'!$C$20,rate,Sheet1!AE$21,0))</f>
        <v>0</v>
      </c>
      <c r="AU638" s="407">
        <f>IF(AU637=0,0,((+$E220/$AZ$22)*AU637)*VLOOKUP('1. SUMMARY'!$C$20,rate,Sheet1!AF$21,0))</f>
        <v>0</v>
      </c>
      <c r="AV638" s="407">
        <f>IF(AV637=0,0,((+$E220/$AZ$22)*AV637)*VLOOKUP('1. SUMMARY'!$C$20,rate,Sheet1!AG$21,0))</f>
        <v>0</v>
      </c>
      <c r="AW638" s="407">
        <f>IF(AW637=0,0,((+$E220/$AZ$22)*AW637)*VLOOKUP('1. SUMMARY'!$C$20,rate,Sheet1!AH$21,0))</f>
        <v>0</v>
      </c>
      <c r="AX638" s="407">
        <f>IF(AX637=0,0,((+$E220/$AZ$22)*AX637)*VLOOKUP('1. SUMMARY'!$C$20,rate,Sheet1!AI$21,0))</f>
        <v>0</v>
      </c>
      <c r="AY638" s="407">
        <f>IF(AY637=0,0,((+$E220/$AZ$22)*AY637)*VLOOKUP('1. SUMMARY'!$C$20,rate,Sheet1!AJ$21,0))</f>
        <v>0</v>
      </c>
      <c r="AZ638" s="407">
        <f>SUM(AI638:AY638)</f>
        <v>0</v>
      </c>
    </row>
    <row r="639" spans="17:52" hidden="1">
      <c r="Q639" s="407">
        <f>+Q638/VLOOKUP('1. SUMMARY'!$C$20,rate,Sheet1!T$21,0)</f>
        <v>0</v>
      </c>
      <c r="R639" s="407">
        <f>+R638/VLOOKUP('1. SUMMARY'!$C$20,rate,Sheet1!U$21,0)</f>
        <v>0</v>
      </c>
      <c r="S639" s="407">
        <f>+S638/VLOOKUP('1. SUMMARY'!$C$20,rate,Sheet1!V$21,0)</f>
        <v>0</v>
      </c>
      <c r="T639" s="407">
        <f>+T638/VLOOKUP('1. SUMMARY'!$C$20,rate,Sheet1!W$21,0)</f>
        <v>0</v>
      </c>
      <c r="U639" s="407">
        <f>+U638/VLOOKUP('1. SUMMARY'!$C$20,rate,Sheet1!X$21,0)</f>
        <v>0</v>
      </c>
      <c r="V639" s="407">
        <f>+V638/VLOOKUP('1. SUMMARY'!$C$20,rate,Sheet1!Y$21,0)</f>
        <v>0</v>
      </c>
      <c r="W639" s="407">
        <f>+W638/VLOOKUP('1. SUMMARY'!$C$20,rate,Sheet1!Z$21,0)</f>
        <v>0</v>
      </c>
      <c r="X639" s="407">
        <f>+X638/VLOOKUP('1. SUMMARY'!$C$20,rate,Sheet1!AA$21,0)</f>
        <v>0</v>
      </c>
      <c r="Y639" s="407">
        <f>+Y638/VLOOKUP('1. SUMMARY'!$C$20,rate,Sheet1!AB$21,0)</f>
        <v>0</v>
      </c>
      <c r="Z639" s="407">
        <f>+Z638/VLOOKUP('1. SUMMARY'!$C$20,rate,Sheet1!AC$21,0)</f>
        <v>0</v>
      </c>
      <c r="AA639" s="407">
        <f>+AA638/VLOOKUP('1. SUMMARY'!$C$20,rate,Sheet1!AD$21,0)</f>
        <v>0</v>
      </c>
      <c r="AB639" s="407">
        <f>+AB638/VLOOKUP('1. SUMMARY'!$C$20,rate,Sheet1!AE$21,0)</f>
        <v>0</v>
      </c>
      <c r="AC639" s="407">
        <f>+AC638/VLOOKUP('1. SUMMARY'!$C$20,rate,Sheet1!AF$21,0)</f>
        <v>0</v>
      </c>
      <c r="AD639" s="407">
        <f>+AD638/VLOOKUP('1. SUMMARY'!$C$20,rate,Sheet1!AG$21,0)</f>
        <v>0</v>
      </c>
      <c r="AE639" s="407">
        <f>+AE638/VLOOKUP('1. SUMMARY'!$C$20,rate,Sheet1!AH$21,0)</f>
        <v>0</v>
      </c>
      <c r="AF639" s="407">
        <f>+AF638/VLOOKUP('1. SUMMARY'!$C$20,rate,Sheet1!AI$21,0)</f>
        <v>0</v>
      </c>
      <c r="AG639" s="407">
        <f>+AG638/VLOOKUP('1. SUMMARY'!$C$20,rate,Sheet1!AJ$21,0)</f>
        <v>0</v>
      </c>
      <c r="AH639" s="219"/>
      <c r="AI639" s="407">
        <v>0</v>
      </c>
      <c r="AJ639" s="407">
        <v>0</v>
      </c>
      <c r="AK639" s="407">
        <v>0</v>
      </c>
      <c r="AL639" s="407">
        <v>0</v>
      </c>
      <c r="AM639" s="407">
        <v>0</v>
      </c>
      <c r="AN639" s="407">
        <v>0</v>
      </c>
      <c r="AO639" s="407">
        <v>0</v>
      </c>
      <c r="AP639" s="407">
        <v>0</v>
      </c>
      <c r="AQ639" s="407"/>
      <c r="AR639" s="407"/>
      <c r="AS639" s="407"/>
      <c r="AT639" s="407"/>
      <c r="AU639" s="407"/>
      <c r="AV639" s="407"/>
      <c r="AW639" s="407"/>
      <c r="AX639" s="407"/>
      <c r="AY639" s="407"/>
      <c r="AZ639" s="407"/>
    </row>
    <row r="640" spans="17:52" hidden="1">
      <c r="Q640" s="408">
        <f>Sheet1!$T$8</f>
        <v>44105</v>
      </c>
      <c r="R640" s="408">
        <f>Sheet1!$U$8</f>
        <v>44470</v>
      </c>
      <c r="S640" s="408">
        <f>Sheet1!$V$8</f>
        <v>44835</v>
      </c>
      <c r="T640" s="408">
        <f>Sheet1!$W$8</f>
        <v>45200</v>
      </c>
      <c r="U640" s="408">
        <f>Sheet1!$X$8</f>
        <v>45566</v>
      </c>
      <c r="V640" s="408">
        <f>Sheet1!$Y$8</f>
        <v>45931</v>
      </c>
      <c r="W640" s="408">
        <f>Sheet1!$Z$8</f>
        <v>46296</v>
      </c>
      <c r="X640" s="408">
        <f>Sheet1!$AA$8</f>
        <v>46661</v>
      </c>
      <c r="Y640" s="408">
        <f>Sheet1!$AB$8</f>
        <v>47027</v>
      </c>
      <c r="Z640" s="408">
        <f>Sheet1!$AC$8</f>
        <v>47392</v>
      </c>
      <c r="AA640" s="408">
        <f>$AA$5</f>
        <v>47757</v>
      </c>
      <c r="AB640" s="408">
        <f>$AB$5</f>
        <v>48122</v>
      </c>
      <c r="AC640" s="408">
        <f>$AC$5</f>
        <v>48488</v>
      </c>
      <c r="AD640" s="408">
        <f>$AD$5</f>
        <v>48853</v>
      </c>
      <c r="AE640" s="408">
        <f>$AE$5</f>
        <v>49218</v>
      </c>
      <c r="AF640" s="408">
        <f>$AF$5</f>
        <v>49583</v>
      </c>
      <c r="AG640" s="408">
        <f>$AG$5</f>
        <v>49949</v>
      </c>
      <c r="AH640" s="211"/>
      <c r="AI640" s="408">
        <f t="shared" ref="AI640:AR642" si="286">+Q640</f>
        <v>44105</v>
      </c>
      <c r="AJ640" s="408">
        <f t="shared" si="286"/>
        <v>44470</v>
      </c>
      <c r="AK640" s="408">
        <f t="shared" si="286"/>
        <v>44835</v>
      </c>
      <c r="AL640" s="408">
        <f t="shared" si="286"/>
        <v>45200</v>
      </c>
      <c r="AM640" s="408">
        <f t="shared" si="286"/>
        <v>45566</v>
      </c>
      <c r="AN640" s="408">
        <f t="shared" si="286"/>
        <v>45931</v>
      </c>
      <c r="AO640" s="408">
        <f t="shared" si="286"/>
        <v>46296</v>
      </c>
      <c r="AP640" s="408">
        <f t="shared" si="286"/>
        <v>46661</v>
      </c>
      <c r="AQ640" s="408">
        <f t="shared" si="286"/>
        <v>47027</v>
      </c>
      <c r="AR640" s="408">
        <f t="shared" si="286"/>
        <v>47392</v>
      </c>
      <c r="AS640" s="408">
        <f t="shared" ref="AS640:AY642" si="287">+AA640</f>
        <v>47757</v>
      </c>
      <c r="AT640" s="408">
        <f t="shared" si="287"/>
        <v>48122</v>
      </c>
      <c r="AU640" s="408">
        <f t="shared" si="287"/>
        <v>48488</v>
      </c>
      <c r="AV640" s="408">
        <f t="shared" si="287"/>
        <v>48853</v>
      </c>
      <c r="AW640" s="408">
        <f t="shared" si="287"/>
        <v>49218</v>
      </c>
      <c r="AX640" s="408">
        <f t="shared" si="287"/>
        <v>49583</v>
      </c>
      <c r="AY640" s="408">
        <f t="shared" si="287"/>
        <v>49949</v>
      </c>
      <c r="AZ640" s="408"/>
    </row>
    <row r="641" spans="17:52" hidden="1">
      <c r="Q641" s="408">
        <f>Sheet1!$T$9</f>
        <v>44469</v>
      </c>
      <c r="R641" s="408">
        <f>Sheet1!$U$9</f>
        <v>44834</v>
      </c>
      <c r="S641" s="408">
        <f>Sheet1!$V$9</f>
        <v>45199</v>
      </c>
      <c r="T641" s="408">
        <f>Sheet1!$W$9</f>
        <v>45565</v>
      </c>
      <c r="U641" s="408">
        <f>Sheet1!$X$9</f>
        <v>45930</v>
      </c>
      <c r="V641" s="408">
        <f>Sheet1!$Y$9</f>
        <v>46295</v>
      </c>
      <c r="W641" s="408">
        <f>Sheet1!$Z$9</f>
        <v>46660</v>
      </c>
      <c r="X641" s="408">
        <f>Sheet1!$AA$9</f>
        <v>47026</v>
      </c>
      <c r="Y641" s="408">
        <f>Sheet1!$AB$9</f>
        <v>47391</v>
      </c>
      <c r="Z641" s="408">
        <f>Sheet1!$AC$9</f>
        <v>47756</v>
      </c>
      <c r="AA641" s="408">
        <f>$AA$6</f>
        <v>48121</v>
      </c>
      <c r="AB641" s="408">
        <f>$AB$6</f>
        <v>48487</v>
      </c>
      <c r="AC641" s="408">
        <f>$AC$6</f>
        <v>48852</v>
      </c>
      <c r="AD641" s="408">
        <f>$AD$6</f>
        <v>49217</v>
      </c>
      <c r="AE641" s="408">
        <f>$AE$6</f>
        <v>49582</v>
      </c>
      <c r="AF641" s="408">
        <f>$AF$6</f>
        <v>49948</v>
      </c>
      <c r="AG641" s="408">
        <f>$AG$6</f>
        <v>50313</v>
      </c>
      <c r="AH641" s="211"/>
      <c r="AI641" s="408">
        <f t="shared" si="286"/>
        <v>44469</v>
      </c>
      <c r="AJ641" s="408">
        <f t="shared" si="286"/>
        <v>44834</v>
      </c>
      <c r="AK641" s="408">
        <f t="shared" si="286"/>
        <v>45199</v>
      </c>
      <c r="AL641" s="408">
        <f t="shared" si="286"/>
        <v>45565</v>
      </c>
      <c r="AM641" s="408">
        <f t="shared" si="286"/>
        <v>45930</v>
      </c>
      <c r="AN641" s="408">
        <f t="shared" si="286"/>
        <v>46295</v>
      </c>
      <c r="AO641" s="408">
        <f t="shared" si="286"/>
        <v>46660</v>
      </c>
      <c r="AP641" s="408">
        <f t="shared" si="286"/>
        <v>47026</v>
      </c>
      <c r="AQ641" s="408">
        <f t="shared" si="286"/>
        <v>47391</v>
      </c>
      <c r="AR641" s="408">
        <f t="shared" si="286"/>
        <v>47756</v>
      </c>
      <c r="AS641" s="408">
        <f t="shared" si="287"/>
        <v>48121</v>
      </c>
      <c r="AT641" s="408">
        <f t="shared" si="287"/>
        <v>48487</v>
      </c>
      <c r="AU641" s="408">
        <f t="shared" si="287"/>
        <v>48852</v>
      </c>
      <c r="AV641" s="408">
        <f t="shared" si="287"/>
        <v>49217</v>
      </c>
      <c r="AW641" s="408">
        <f t="shared" si="287"/>
        <v>49582</v>
      </c>
      <c r="AX641" s="408">
        <f t="shared" si="287"/>
        <v>49948</v>
      </c>
      <c r="AY641" s="408">
        <f t="shared" si="287"/>
        <v>50313</v>
      </c>
      <c r="AZ641" s="408"/>
    </row>
    <row r="642" spans="17:52" hidden="1">
      <c r="Q642" s="409">
        <f>IF(IF(Q641&lt;$F$27,0,DATEDIF($F$27,Q641+1,"m"))&lt;0,0,IF(Q641&lt;$F$27,0,DATEDIF($F$27,Q641+1,"m")))</f>
        <v>0</v>
      </c>
      <c r="R642" s="409">
        <f>IF(IF(Q642=12,0,IF(R641&gt;$F$28,12-DATEDIF($F$28,R641+1,"m"),IF(R641&lt;$F$27,0,DATEDIF($F$27,R641+1,"m"))))&lt;0,0,IF(Q642=12,0,IF(R641&gt;$F$28,12-DATEDIF($F$28,R641+1,"m"),IF(R641&lt;$F$27,0,DATEDIF($F$27,R641+1,"m")))))</f>
        <v>0</v>
      </c>
      <c r="S642" s="409">
        <f>IF(IF(Q642+R642=12,0,IF(S641&gt;$F$28,12-DATEDIF($F$28,S641+1,"m"),IF(S641&lt;$F$27,0,DATEDIF($F$27,S641+1,"m"))))&lt;0,0,IF(Q642+R642=12,0,IF(S641&gt;$F$28,12-DATEDIF($F$28,S641+1,"m"),IF(S641&lt;$F$27,0,DATEDIF($F$27,S641+1,"m")))))</f>
        <v>0</v>
      </c>
      <c r="T642" s="409">
        <f>IF(IF(R642+S642+Q642=12,0,IF(T641&gt;$F$28,12-DATEDIF($F$28,T641+1,"m"),IF(T641&lt;$F$27,0,DATEDIF($F$27,T641+1,"m"))))&lt;0,0,IF(R642+S642+Q642=12,0,IF(T641&gt;$F$28,12-DATEDIF($F$28,T641+1,"m"),IF(T641&lt;$F$27,0,DATEDIF($F$27,T641+1,"m")))))</f>
        <v>0</v>
      </c>
      <c r="U642" s="409">
        <f>IF(IF(S642+T642+R642+Q642=12,0,IF(U641&gt;$F$28,12-DATEDIF($F$28,U641+1,"m"),IF(U641&lt;$F$27,0,DATEDIF($F$27,U641+1,"m"))))&lt;0,0,IF(S642+T642+R642+Q642=12,0,IF(U641&gt;$F$28,12-DATEDIF($F$28,U641+1,"m"),IF(U641&lt;$F$27,0,DATEDIF($F$27,U641+1,"m")))))</f>
        <v>0</v>
      </c>
      <c r="V642" s="409">
        <f>IF(IF(T642+U642+S642+R642+Q642=12,0,IF(V641&gt;$F$28,12-DATEDIF($F$28,V641+1,"m"),IF(V641&lt;$F$27,0,DATEDIF($F$27,V641+1,"m"))))&lt;0,0,IF(T642+U642+S642+R642+Q642=12,0,IF(V641&gt;$F$28,12-DATEDIF($F$28,V641+1,"m"),IF(V641&lt;$F$27,0,DATEDIF($F$27,V641+1,"m")))))</f>
        <v>0</v>
      </c>
      <c r="W642" s="409">
        <f>IF(IF(U642+V642+T642+S642+R642+Q642=12,0,IF(W641&gt;$F$28,12-DATEDIF($F$28,W641+1,"m"),IF(W641&lt;$F$27,0,DATEDIF($F$27,W641+1,"m"))))&lt;0,0,IF(U642+V642+T642+S642+R642+Q642=12,0,IF(W641&gt;$F$28,12-DATEDIF($F$28,W641+1,"m"),IF(W641&lt;$F$27,0,DATEDIF($F$27,W641+1,"m")))))</f>
        <v>0</v>
      </c>
      <c r="X642" s="409">
        <f>IF(IF(V642+W642+U642+T642+S642+R642+Q642=12,0,IF(X641&gt;$F$28,12-DATEDIF($F$28,X641+1,"m"),IF(X641&lt;$F$27,0,DATEDIF($F$27,X641+1,"m"))))&lt;0,0,IF(V642+W642+U642+T642+S642+R642+Q642=12,0,IF(X641&gt;$F$28,12-DATEDIF($F$28,X641+1,"m"),IF(X641&lt;$F$27,0,DATEDIF($F$27,X641+1,"m")))))</f>
        <v>0</v>
      </c>
      <c r="Y642" s="409">
        <f>IF(IF(Q642+W642+X642+V642+U642+T642+S642+R642=12,0,IF(Y641&gt;$F$28,12-DATEDIF($F$28,Y641+1,"m"),IF(Y641&lt;$F$27,0,DATEDIF($F$27,Y641+1,"m"))))&lt;0,0,IF(Q642+W642+X642+V642+U642+T642+S642+R642=12,0,IF(Y641&gt;$F$28,12-DATEDIF($F$28,Y641+1,"m"),IF(Y641&lt;$F$27,0,DATEDIF($F$27,Y641+1,"m")))))</f>
        <v>0</v>
      </c>
      <c r="Z642" s="409">
        <f>IF(IF(Q642+R642+X642+Y642+W642+V642+U642+T642+S642=12,0,IF(Z641&gt;$F$28,12-DATEDIF($F$28,Z641+1,"m"),IF(Z641&lt;$F$27,0,DATEDIF($F$27,Z641+1,"m"))))&lt;0,0,IF(Q642+R642+X642+Y642+W642+V642+U642+T642+S642=12,0,IF(Z641&gt;$F$28,12-DATEDIF($F$28,Z641+1,"m"),IF(Z641&lt;$F$27,0,DATEDIF($F$27,Z641+1,"m")))))</f>
        <v>0</v>
      </c>
      <c r="AA642" s="409"/>
      <c r="AB642" s="409"/>
      <c r="AC642" s="409"/>
      <c r="AD642" s="409"/>
      <c r="AE642" s="409"/>
      <c r="AF642" s="409"/>
      <c r="AG642" s="409"/>
      <c r="AH642" s="423">
        <f>SUM(Q642:AG642)</f>
        <v>0</v>
      </c>
      <c r="AI642" s="409">
        <f t="shared" si="286"/>
        <v>0</v>
      </c>
      <c r="AJ642" s="409">
        <f t="shared" si="286"/>
        <v>0</v>
      </c>
      <c r="AK642" s="409">
        <f t="shared" si="286"/>
        <v>0</v>
      </c>
      <c r="AL642" s="409">
        <f t="shared" si="286"/>
        <v>0</v>
      </c>
      <c r="AM642" s="409">
        <f t="shared" si="286"/>
        <v>0</v>
      </c>
      <c r="AN642" s="409">
        <f t="shared" si="286"/>
        <v>0</v>
      </c>
      <c r="AO642" s="409">
        <f t="shared" si="286"/>
        <v>0</v>
      </c>
      <c r="AP642" s="409">
        <f t="shared" si="286"/>
        <v>0</v>
      </c>
      <c r="AQ642" s="409">
        <f t="shared" si="286"/>
        <v>0</v>
      </c>
      <c r="AR642" s="409">
        <f t="shared" si="286"/>
        <v>0</v>
      </c>
      <c r="AS642" s="409">
        <f t="shared" si="287"/>
        <v>0</v>
      </c>
      <c r="AT642" s="409">
        <f t="shared" si="287"/>
        <v>0</v>
      </c>
      <c r="AU642" s="409">
        <f t="shared" si="287"/>
        <v>0</v>
      </c>
      <c r="AV642" s="409">
        <f t="shared" si="287"/>
        <v>0</v>
      </c>
      <c r="AW642" s="409">
        <f t="shared" si="287"/>
        <v>0</v>
      </c>
      <c r="AX642" s="409">
        <f t="shared" si="287"/>
        <v>0</v>
      </c>
      <c r="AY642" s="409">
        <f t="shared" si="287"/>
        <v>0</v>
      </c>
      <c r="AZ642" s="409">
        <f>SUM(AI642:AY642)</f>
        <v>0</v>
      </c>
    </row>
    <row r="643" spans="17:52" hidden="1">
      <c r="Q643" s="410">
        <f>IF(Q642=0,0,(IF(($C$220+$B$220+$D$220+$E$220+$F$220)&lt;=25000,(($F$220/+$AH642)*Q642)*VLOOKUP('1. SUMMARY'!$C$20,rate,Sheet1!T$21,0),((IF(($B$220+$C$220+$D$220+$E$220)&gt;=25000,0,(((25000-($B$220+$C$220+$D$220+$E$220))/+$AH642)*Q642)*(VLOOKUP('1. SUMMARY'!$C$20,rate,Sheet1!T$21,0))))))))</f>
        <v>0</v>
      </c>
      <c r="R643" s="410">
        <f>IF(R642=0,0,(IF(($C$220+$B$220+$D$220+$E$220+$F$220)&lt;=25000,(($F$220/+$AH642)*R642)*VLOOKUP('1. SUMMARY'!$C$20,rate,Sheet1!U$21,0),((IF(($B$220+$C$220+$D$220+$E$220)&gt;=25000,0,(((25000-($B$220+$C$220+$D$220+$E$220))/+$AH642)*R642)*(VLOOKUP('1. SUMMARY'!$C$20,rate,Sheet1!U$21,0))))))))</f>
        <v>0</v>
      </c>
      <c r="S643" s="410">
        <f>IF(S642=0,0,(IF(($C$220+$B$220+$D$220+$E$220+$F$220)&lt;=25000,(($F$220/+$AH642)*S642)*VLOOKUP('1. SUMMARY'!$C$20,rate,Sheet1!V$21,0),((IF(($B$220+$C$220+$D$220+$E$220)&gt;=25000,0,(((25000-($B$220+$C$220+$D$220+$E$220))/+$AH642)*S642)*(VLOOKUP('1. SUMMARY'!$C$20,rate,Sheet1!V$21,0))))))))</f>
        <v>0</v>
      </c>
      <c r="T643" s="410">
        <f>IF(T642=0,0,(IF(($C$220+$B$220+$D$220+$E$220+$F$220)&lt;=25000,(($F$220/+$AH642)*T642)*VLOOKUP('1. SUMMARY'!$C$20,rate,Sheet1!W$21,0),((IF(($B$220+$C$220+$D$220+$E$220)&gt;=25000,0,(((25000-($B$220+$C$220+$D$220+$E$220))/+$AH642)*T642)*(VLOOKUP('1. SUMMARY'!$C$20,rate,Sheet1!W$21,0))))))))</f>
        <v>0</v>
      </c>
      <c r="U643" s="410">
        <f>IF(U642=0,0,(IF(($C$220+$B$220+$D$220+$E$220+$F$220)&lt;=25000,(($F$220/+$AH642)*U642)*VLOOKUP('1. SUMMARY'!$C$20,rate,Sheet1!X$21,0),((IF(($B$220+$C$220+$D$220+$E$220)&gt;=25000,0,(((25000-($B$220+$C$220+$D$220+$E$220))/+$AH642)*U642)*(VLOOKUP('1. SUMMARY'!$C$20,rate,Sheet1!X$21,0))))))))</f>
        <v>0</v>
      </c>
      <c r="V643" s="410">
        <f>IF(V642=0,0,(IF(($C$220+$B$220+$D$220+$E$220+$F$220)&lt;=25000,(($F$220/+$AH642)*V642)*VLOOKUP('1. SUMMARY'!$C$20,rate,Sheet1!Y$21,0),((IF(($B$220+$C$220+$D$220+$E$220)&gt;=25000,0,(((25000-($B$220+$C$220+$D$220+$E$220))/+$AH642)*V642)*(VLOOKUP('1. SUMMARY'!$C$20,rate,Sheet1!Y$21,0))))))))</f>
        <v>0</v>
      </c>
      <c r="W643" s="410">
        <f>IF(W642=0,0,(IF(($C$220+$B$220+$D$220+$E$220+$F$220)&lt;=25000,(($F$220/+$AH642)*W642)*VLOOKUP('1. SUMMARY'!$C$20,rate,Sheet1!Z$21,0),((IF(($B$220+$C$220+$D$220+$E$220)&gt;=25000,0,(((25000-($B$220+$C$220+$D$220+$E$220))/+$AH642)*W642)*(VLOOKUP('1. SUMMARY'!$C$20,rate,Sheet1!Z$21,0))))))))</f>
        <v>0</v>
      </c>
      <c r="X643" s="410">
        <f>IF(X642=0,0,(IF(($C$220+$B$220+$D$220+$E$220+$F$220)&lt;=25000,(($F$220/+$AH642)*X642)*VLOOKUP('1. SUMMARY'!$C$20,rate,Sheet1!AA$21,0),((IF(($B$220+$C$220+$D$220+$E$220)&gt;=25000,0,(((25000-($B$220+$C$220+$D$220+$E$220))/+$AH642)*X642)*(VLOOKUP('1. SUMMARY'!$C$20,rate,Sheet1!AA$21,0))))))))</f>
        <v>0</v>
      </c>
      <c r="Y643" s="410">
        <f>IF(Y642=0,0,(IF(($C$220+$B$220+$D$220+$E$220+$F$220)&lt;=25000,(($F$220/+$AH642)*Y642)*VLOOKUP('1. SUMMARY'!$C$20,rate,Sheet1!AB$21,0),((IF(($B$220+$C$220+$D$220+$E$220)&gt;=25000,0,(((25000-($B$220+$C$220+$D$220+$E$220))/+$AH642)*Y642)*(VLOOKUP('1. SUMMARY'!$C$20,rate,Sheet1!AB$21,0))))))))</f>
        <v>0</v>
      </c>
      <c r="Z643" s="410">
        <f>IF(Z642=0,0,(IF(($C$220+$B$220+$D$220+$E$220+$F$220)&lt;=25000,(($F$220/+$AH642)*Z642)*VLOOKUP('1. SUMMARY'!$C$20,rate,Sheet1!AC$21,0),((IF(($B$220+$C$220+$D$220+$E$220)&gt;=25000,0,(((25000-($B$220+$C$220+$D$220+$E$220))/+$AH642)*Z642)*(VLOOKUP('1. SUMMARY'!$C$20,rate,Sheet1!AC$21,0))))))))</f>
        <v>0</v>
      </c>
      <c r="AA643" s="410">
        <f>IF(AA642=0,0,(IF(($C$220+$B$220+$D$220+$E$220+$F$220)&lt;=25000,(($F$220/+$AH642)*AA642)*VLOOKUP('1. SUMMARY'!$C$20,rate,Sheet1!AD$21,0),((IF(($B$220+$C$220+$D$220+$E$220)&gt;=25000,0,(((25000-($B$220+$C$220+$D$220+$E$220))/+$AH642)*AA642)*(VLOOKUP('1. SUMMARY'!$C$20,rate,Sheet1!AD$21,0))))))))</f>
        <v>0</v>
      </c>
      <c r="AB643" s="410">
        <f>IF(AB642=0,0,(IF(($C$220+$B$220+$D$220+$E$220+$F$220)&lt;=25000,(($F$220/+$AH642)*AB642)*VLOOKUP('1. SUMMARY'!$C$20,rate,Sheet1!AE$21,0),((IF(($B$220+$C$220+$D$220+$E$220)&gt;=25000,0,(((25000-($B$220+$C$220+$D$220+$E$220))/+$AH642)*AB642)*(VLOOKUP('1. SUMMARY'!$C$20,rate,Sheet1!AE$21,0))))))))</f>
        <v>0</v>
      </c>
      <c r="AC643" s="410">
        <f>IF(AC642=0,0,(IF(($C$220+$B$220+$D$220+$E$220+$F$220)&lt;=25000,(($F$220/+$AH642)*AC642)*VLOOKUP('1. SUMMARY'!$C$20,rate,Sheet1!AF$21,0),((IF(($B$220+$C$220+$D$220+$E$220)&gt;=25000,0,(((25000-($B$220+$C$220+$D$220+$E$220))/+$AH642)*AC642)*(VLOOKUP('1. SUMMARY'!$C$20,rate,Sheet1!AF$21,0))))))))</f>
        <v>0</v>
      </c>
      <c r="AD643" s="410">
        <f>IF(AD642=0,0,(IF(($C$220+$B$220+$D$220+$E$220+$F$220)&lt;=25000,(($F$220/+$AH642)*AD642)*VLOOKUP('1. SUMMARY'!$C$20,rate,Sheet1!AG$21,0),((IF(($B$220+$C$220+$D$220+$E$220)&gt;=25000,0,(((25000-($B$220+$C$220+$D$220+$E$220))/+$AH642)*AD642)*(VLOOKUP('1. SUMMARY'!$C$20,rate,Sheet1!AG$21,0))))))))</f>
        <v>0</v>
      </c>
      <c r="AE643" s="410">
        <f>IF(AE642=0,0,(IF(($C$220+$B$220+$D$220+$E$220+$F$220)&lt;=25000,(($F$220/+$AH642)*AE642)*VLOOKUP('1. SUMMARY'!$C$20,rate,Sheet1!AH$21,0),((IF(($B$220+$C$220+$D$220+$E$220)&gt;=25000,0,(((25000-($B$220+$C$220+$D$220+$E$220))/+$AH642)*AE642)*(VLOOKUP('1. SUMMARY'!$C$20,rate,Sheet1!AH$21,0))))))))</f>
        <v>0</v>
      </c>
      <c r="AF643" s="410">
        <f>IF(AF642=0,0,(IF(($C$220+$B$220+$D$220+$E$220+$F$220)&lt;=25000,(($F$220/+$AH642)*AF642)*VLOOKUP('1. SUMMARY'!$C$20,rate,Sheet1!AI$21,0),((IF(($B$220+$C$220+$D$220+$E$220)&gt;=25000,0,(((25000-($B$220+$C$220+$D$220+$E$220))/+$AH642)*AF642)*(VLOOKUP('1. SUMMARY'!$C$20,rate,Sheet1!AI$21,0))))))))</f>
        <v>0</v>
      </c>
      <c r="AG643" s="410">
        <f>IF(AG642=0,0,(IF(($C$220+$B$220+$D$220+$E$220+$F$220)&lt;=25000,(($F$220/+$AH642)*AG642)*VLOOKUP('1. SUMMARY'!$C$20,rate,Sheet1!AJ$21,0),((IF(($B$220+$C$220+$D$220+$E$220)&gt;=25000,0,(((25000-($B$220+$C$220+$D$220+$E$220))/+$AH642)*AG642)*(VLOOKUP('1. SUMMARY'!$C$20,rate,Sheet1!AJ$21,0))))))))</f>
        <v>0</v>
      </c>
      <c r="AH643" s="219">
        <f>SUM(Q643:AG643)</f>
        <v>0</v>
      </c>
      <c r="AI643" s="410">
        <f>IF(AI642=0,0,((+$F220/$AZ642)*AI642)*VLOOKUP('1. SUMMARY'!$C$20,rate,Sheet1!T$21,0))</f>
        <v>0</v>
      </c>
      <c r="AJ643" s="410">
        <f>IF(AJ642=0,0,((+$F220/$AZ642)*AJ642)*VLOOKUP('1. SUMMARY'!$C$20,rate,Sheet1!U$21,0))</f>
        <v>0</v>
      </c>
      <c r="AK643" s="410">
        <f>IF(AK642=0,0,((+$F220/$AZ642)*AK642)*VLOOKUP('1. SUMMARY'!$C$20,rate,Sheet1!V$21,0))</f>
        <v>0</v>
      </c>
      <c r="AL643" s="410">
        <f>IF(AL642=0,0,((+$F220/$AZ642)*AL642)*VLOOKUP('1. SUMMARY'!$C$20,rate,Sheet1!W$21,0))</f>
        <v>0</v>
      </c>
      <c r="AM643" s="410">
        <f>IF(AM642=0,0,((+$F220/$AZ642)*AM642)*VLOOKUP('1. SUMMARY'!$C$20,rate,Sheet1!X$21,0))</f>
        <v>0</v>
      </c>
      <c r="AN643" s="410">
        <f>IF(AN642=0,0,((+$F220/$AZ642)*AN642)*VLOOKUP('1. SUMMARY'!$C$20,rate,Sheet1!Y$21,0))</f>
        <v>0</v>
      </c>
      <c r="AO643" s="410">
        <f>IF(AO642=0,0,((+$F220/$AZ642)*AO642)*VLOOKUP('1. SUMMARY'!$C$20,rate,Sheet1!Z$21,0))</f>
        <v>0</v>
      </c>
      <c r="AP643" s="410">
        <f>IF(AP642=0,0,((+$F220/$AZ642)*AP642)*VLOOKUP('1. SUMMARY'!$C$20,rate,Sheet1!AA$21,0))</f>
        <v>0</v>
      </c>
      <c r="AQ643" s="410">
        <f>IF(AQ642=0,0,((+$F220/$AZ642)*AQ642)*VLOOKUP('1. SUMMARY'!$C$20,rate,Sheet1!AB$21,0))</f>
        <v>0</v>
      </c>
      <c r="AR643" s="410">
        <f>IF(AR642=0,0,((+$F220/$AZ642)*AR642)*VLOOKUP('1. SUMMARY'!$C$20,rate,Sheet1!AC$21,0))</f>
        <v>0</v>
      </c>
      <c r="AS643" s="410">
        <f>IF(AS642=0,0,((+$F220/$AZ642)*AS642)*VLOOKUP('1. SUMMARY'!$C$20,rate,Sheet1!AD$21,0))</f>
        <v>0</v>
      </c>
      <c r="AT643" s="410">
        <f>IF(AT642=0,0,((+$F220/$AZ642)*AT642)*VLOOKUP('1. SUMMARY'!$C$20,rate,Sheet1!AE$21,0))</f>
        <v>0</v>
      </c>
      <c r="AU643" s="410">
        <f>IF(AU642=0,0,((+$F220/$AZ642)*AU642)*VLOOKUP('1. SUMMARY'!$C$20,rate,Sheet1!AF$21,0))</f>
        <v>0</v>
      </c>
      <c r="AV643" s="410">
        <f>IF(AV642=0,0,((+$F220/$AZ642)*AV642)*VLOOKUP('1. SUMMARY'!$C$20,rate,Sheet1!AG$21,0))</f>
        <v>0</v>
      </c>
      <c r="AW643" s="410">
        <f>IF(AW642=0,0,((+$F220/$AZ642)*AW642)*VLOOKUP('1. SUMMARY'!$C$20,rate,Sheet1!AH$21,0))</f>
        <v>0</v>
      </c>
      <c r="AX643" s="410">
        <f>IF(AX642=0,0,((+$F220/$AZ642)*AX642)*VLOOKUP('1. SUMMARY'!$C$20,rate,Sheet1!AI$21,0))</f>
        <v>0</v>
      </c>
      <c r="AY643" s="410">
        <f>IF(AY642=0,0,((+$F220/$AZ642)*AY642)*VLOOKUP('1. SUMMARY'!$C$20,rate,Sheet1!AJ$21,0))</f>
        <v>0</v>
      </c>
      <c r="AZ643" s="410">
        <f>SUM(AI643:AY643)</f>
        <v>0</v>
      </c>
    </row>
    <row r="644" spans="17:52" hidden="1">
      <c r="Q644" s="410">
        <f>+Q643/VLOOKUP('1. SUMMARY'!$C$20,rate,Sheet1!T$21,0)</f>
        <v>0</v>
      </c>
      <c r="R644" s="410">
        <f>+R643/VLOOKUP('1. SUMMARY'!$C$20,rate,Sheet1!U$21,0)</f>
        <v>0</v>
      </c>
      <c r="S644" s="410">
        <f>+S643/VLOOKUP('1. SUMMARY'!$C$20,rate,Sheet1!V$21,0)</f>
        <v>0</v>
      </c>
      <c r="T644" s="410">
        <f>+T643/VLOOKUP('1. SUMMARY'!$C$20,rate,Sheet1!W$21,0)</f>
        <v>0</v>
      </c>
      <c r="U644" s="410">
        <f>+U643/VLOOKUP('1. SUMMARY'!$C$20,rate,Sheet1!X$21,0)</f>
        <v>0</v>
      </c>
      <c r="V644" s="410">
        <f>+V643/VLOOKUP('1. SUMMARY'!$C$20,rate,Sheet1!Y$21,0)</f>
        <v>0</v>
      </c>
      <c r="W644" s="410">
        <f>+W643/VLOOKUP('1. SUMMARY'!$C$20,rate,Sheet1!Z$21,0)</f>
        <v>0</v>
      </c>
      <c r="X644" s="410">
        <f>+X643/VLOOKUP('1. SUMMARY'!$C$20,rate,Sheet1!AA$21,0)</f>
        <v>0</v>
      </c>
      <c r="Y644" s="410">
        <f>+Y643/VLOOKUP('1. SUMMARY'!$C$20,rate,Sheet1!AB$21,0)</f>
        <v>0</v>
      </c>
      <c r="Z644" s="410">
        <f>+Z643/VLOOKUP('1. SUMMARY'!$C$20,rate,Sheet1!AC$21,0)</f>
        <v>0</v>
      </c>
      <c r="AA644" s="410">
        <f>+AA643/VLOOKUP('1. SUMMARY'!$C$20,rate,Sheet1!AD$21,0)</f>
        <v>0</v>
      </c>
      <c r="AB644" s="410">
        <f>+AB643/VLOOKUP('1. SUMMARY'!$C$20,rate,Sheet1!AE$21,0)</f>
        <v>0</v>
      </c>
      <c r="AC644" s="410">
        <f>+AC643/VLOOKUP('1. SUMMARY'!$C$20,rate,Sheet1!AF$21,0)</f>
        <v>0</v>
      </c>
      <c r="AD644" s="410">
        <f>+AD643/VLOOKUP('1. SUMMARY'!$C$20,rate,Sheet1!AG$21,0)</f>
        <v>0</v>
      </c>
      <c r="AE644" s="410">
        <f>+AE643/VLOOKUP('1. SUMMARY'!$C$20,rate,Sheet1!AH$21,0)</f>
        <v>0</v>
      </c>
      <c r="AF644" s="410">
        <f>+AF643/VLOOKUP('1. SUMMARY'!$C$20,rate,Sheet1!AI$21,0)</f>
        <v>0</v>
      </c>
      <c r="AG644" s="410">
        <f>+AG643/VLOOKUP('1. SUMMARY'!$C$20,rate,Sheet1!AJ$21,0)</f>
        <v>0</v>
      </c>
      <c r="AH644" s="219"/>
      <c r="AI644" s="410">
        <v>0</v>
      </c>
      <c r="AJ644" s="410">
        <v>0</v>
      </c>
      <c r="AK644" s="410">
        <v>0</v>
      </c>
      <c r="AL644" s="410">
        <v>0</v>
      </c>
      <c r="AM644" s="410">
        <v>0</v>
      </c>
      <c r="AN644" s="410">
        <v>0</v>
      </c>
      <c r="AO644" s="410">
        <v>0</v>
      </c>
      <c r="AP644" s="410">
        <v>0</v>
      </c>
      <c r="AQ644" s="410"/>
      <c r="AR644" s="410"/>
      <c r="AS644" s="410"/>
      <c r="AT644" s="410"/>
      <c r="AU644" s="410"/>
      <c r="AV644" s="410"/>
      <c r="AW644" s="410"/>
      <c r="AX644" s="410"/>
      <c r="AY644" s="410"/>
      <c r="AZ644" s="410"/>
    </row>
    <row r="645" spans="17:52" hidden="1">
      <c r="Q645" s="413">
        <f>Sheet1!$T$8</f>
        <v>44105</v>
      </c>
      <c r="R645" s="413">
        <f>Sheet1!$U$8</f>
        <v>44470</v>
      </c>
      <c r="S645" s="413">
        <f>Sheet1!$V$8</f>
        <v>44835</v>
      </c>
      <c r="T645" s="413">
        <f>Sheet1!$W$8</f>
        <v>45200</v>
      </c>
      <c r="U645" s="413">
        <f>Sheet1!$X$8</f>
        <v>45566</v>
      </c>
      <c r="V645" s="413">
        <f>Sheet1!$Y$8</f>
        <v>45931</v>
      </c>
      <c r="W645" s="413">
        <f>Sheet1!$Z$8</f>
        <v>46296</v>
      </c>
      <c r="X645" s="413">
        <f>Sheet1!$AA$8</f>
        <v>46661</v>
      </c>
      <c r="Y645" s="413">
        <f>Sheet1!$AB$8</f>
        <v>47027</v>
      </c>
      <c r="Z645" s="413">
        <f>Sheet1!$AC$8</f>
        <v>47392</v>
      </c>
      <c r="AA645" s="413">
        <f>$AA$5</f>
        <v>47757</v>
      </c>
      <c r="AB645" s="413">
        <f>$AB$5</f>
        <v>48122</v>
      </c>
      <c r="AC645" s="413">
        <f>$AC$5</f>
        <v>48488</v>
      </c>
      <c r="AD645" s="413">
        <f>$AD$5</f>
        <v>48853</v>
      </c>
      <c r="AE645" s="413">
        <f>$AE$5</f>
        <v>49218</v>
      </c>
      <c r="AF645" s="413">
        <f>$AF$5</f>
        <v>49583</v>
      </c>
      <c r="AG645" s="413">
        <f>$AG$5</f>
        <v>49949</v>
      </c>
      <c r="AH645" s="219"/>
      <c r="AI645" s="413">
        <f t="shared" ref="AI645:AR647" si="288">+Q645</f>
        <v>44105</v>
      </c>
      <c r="AJ645" s="413">
        <f t="shared" si="288"/>
        <v>44470</v>
      </c>
      <c r="AK645" s="413">
        <f t="shared" si="288"/>
        <v>44835</v>
      </c>
      <c r="AL645" s="413">
        <f t="shared" si="288"/>
        <v>45200</v>
      </c>
      <c r="AM645" s="413">
        <f t="shared" si="288"/>
        <v>45566</v>
      </c>
      <c r="AN645" s="413">
        <f t="shared" si="288"/>
        <v>45931</v>
      </c>
      <c r="AO645" s="413">
        <f t="shared" si="288"/>
        <v>46296</v>
      </c>
      <c r="AP645" s="413">
        <f t="shared" si="288"/>
        <v>46661</v>
      </c>
      <c r="AQ645" s="413">
        <f t="shared" si="288"/>
        <v>47027</v>
      </c>
      <c r="AR645" s="413">
        <f t="shared" si="288"/>
        <v>47392</v>
      </c>
      <c r="AS645" s="413">
        <f t="shared" ref="AS645:AY647" si="289">+AA645</f>
        <v>47757</v>
      </c>
      <c r="AT645" s="413">
        <f t="shared" si="289"/>
        <v>48122</v>
      </c>
      <c r="AU645" s="413">
        <f t="shared" si="289"/>
        <v>48488</v>
      </c>
      <c r="AV645" s="413">
        <f t="shared" si="289"/>
        <v>48853</v>
      </c>
      <c r="AW645" s="413">
        <f t="shared" si="289"/>
        <v>49218</v>
      </c>
      <c r="AX645" s="413">
        <f t="shared" si="289"/>
        <v>49583</v>
      </c>
      <c r="AY645" s="413">
        <f t="shared" si="289"/>
        <v>49949</v>
      </c>
      <c r="AZ645" s="413"/>
    </row>
    <row r="646" spans="17:52" hidden="1">
      <c r="Q646" s="413">
        <f>Sheet1!$T$9</f>
        <v>44469</v>
      </c>
      <c r="R646" s="413">
        <f>Sheet1!$U$9</f>
        <v>44834</v>
      </c>
      <c r="S646" s="413">
        <f>Sheet1!$V$9</f>
        <v>45199</v>
      </c>
      <c r="T646" s="413">
        <f>Sheet1!$W$9</f>
        <v>45565</v>
      </c>
      <c r="U646" s="413">
        <f>Sheet1!$X$9</f>
        <v>45930</v>
      </c>
      <c r="V646" s="413">
        <f>Sheet1!$Y$9</f>
        <v>46295</v>
      </c>
      <c r="W646" s="413">
        <f>Sheet1!$Z$9</f>
        <v>46660</v>
      </c>
      <c r="X646" s="413">
        <f>Sheet1!$AA$9</f>
        <v>47026</v>
      </c>
      <c r="Y646" s="413">
        <f>Sheet1!$AB$9</f>
        <v>47391</v>
      </c>
      <c r="Z646" s="413">
        <f>Sheet1!$AC$9</f>
        <v>47756</v>
      </c>
      <c r="AA646" s="413">
        <f>$AA$6</f>
        <v>48121</v>
      </c>
      <c r="AB646" s="413">
        <f>$AB$6</f>
        <v>48487</v>
      </c>
      <c r="AC646" s="413">
        <f>$AC$6</f>
        <v>48852</v>
      </c>
      <c r="AD646" s="413">
        <f>$AD$6</f>
        <v>49217</v>
      </c>
      <c r="AE646" s="413">
        <f>$AE$6</f>
        <v>49582</v>
      </c>
      <c r="AF646" s="413">
        <f>$AF$6</f>
        <v>49948</v>
      </c>
      <c r="AG646" s="413">
        <f>$AG$6</f>
        <v>50313</v>
      </c>
      <c r="AH646" s="219"/>
      <c r="AI646" s="413">
        <f t="shared" si="288"/>
        <v>44469</v>
      </c>
      <c r="AJ646" s="413">
        <f t="shared" si="288"/>
        <v>44834</v>
      </c>
      <c r="AK646" s="413">
        <f t="shared" si="288"/>
        <v>45199</v>
      </c>
      <c r="AL646" s="413">
        <f t="shared" si="288"/>
        <v>45565</v>
      </c>
      <c r="AM646" s="413">
        <f t="shared" si="288"/>
        <v>45930</v>
      </c>
      <c r="AN646" s="413">
        <f t="shared" si="288"/>
        <v>46295</v>
      </c>
      <c r="AO646" s="413">
        <f t="shared" si="288"/>
        <v>46660</v>
      </c>
      <c r="AP646" s="413">
        <f t="shared" si="288"/>
        <v>47026</v>
      </c>
      <c r="AQ646" s="413">
        <f t="shared" si="288"/>
        <v>47391</v>
      </c>
      <c r="AR646" s="413">
        <f t="shared" si="288"/>
        <v>47756</v>
      </c>
      <c r="AS646" s="413">
        <f t="shared" si="289"/>
        <v>48121</v>
      </c>
      <c r="AT646" s="413">
        <f t="shared" si="289"/>
        <v>48487</v>
      </c>
      <c r="AU646" s="413">
        <f t="shared" si="289"/>
        <v>48852</v>
      </c>
      <c r="AV646" s="413">
        <f t="shared" si="289"/>
        <v>49217</v>
      </c>
      <c r="AW646" s="413">
        <f t="shared" si="289"/>
        <v>49582</v>
      </c>
      <c r="AX646" s="413">
        <f t="shared" si="289"/>
        <v>49948</v>
      </c>
      <c r="AY646" s="413">
        <f t="shared" si="289"/>
        <v>50313</v>
      </c>
      <c r="AZ646" s="413"/>
    </row>
    <row r="647" spans="17:52" hidden="1">
      <c r="Q647" s="424">
        <f>IF(IF(Q646&lt;$G$27,0,DATEDIF($G$27,Q646+1,"m"))&lt;0,0,IF(Q646&lt;$G$27,0,DATEDIF($G$27,Q646+1,"m")))</f>
        <v>0</v>
      </c>
      <c r="R647" s="424">
        <f>IF(IF(Q647=12,0,IF(R646&gt;$G$28,12-DATEDIF($G$28,R646+1,"m"),IF(R646&lt;$G$27,0,DATEDIF($G$27,R646+1,"m"))))&lt;0,0,IF(Q647=12,0,IF(R646&gt;$G$28,12-DATEDIF($G$28,R646+1,"m"),IF(R646&lt;$G$27,0,DATEDIF($G$27,R646+1,"m")))))</f>
        <v>0</v>
      </c>
      <c r="S647" s="424">
        <f>IF(IF(Q647+R647=12,0,IF(S646&gt;$G$28,12-DATEDIF($G$28,S646+1,"m"),IF(S646&lt;$G$27,0,DATEDIF($G$27,S646+1,"m"))))&lt;0,0,IF(Q647+R647=12,0,IF(S646&gt;$G$28,12-DATEDIF($G$28,S646+1,"m"),IF(S646&lt;$G$27,0,DATEDIF($G$27,S646+1,"m")))))</f>
        <v>0</v>
      </c>
      <c r="T647" s="424">
        <f>IF(IF(R647+S647+Q647=12,0,IF(T646&gt;$G$28,12-DATEDIF($G$28,T646+1,"m"),IF(T646&lt;$G$27,0,DATEDIF($G$27,T646+1,"m"))))&lt;0,0,IF(R647+S647+Q647=12,0,IF(T646&gt;$G$28,12-DATEDIF($G$28,T646+1,"m"),IF(T646&lt;$G$27,0,DATEDIF($G$27,T646+1,"m")))))</f>
        <v>0</v>
      </c>
      <c r="U647" s="424">
        <f>IF(IF(S647+T647+R647+Q647=12,0,IF(U646&gt;$G$28,12-DATEDIF($G$28,U646+1,"m"),IF(U646&lt;$G$27,0,DATEDIF($G$27,U646+1,"m"))))&lt;0,0,IF(S647+T647+R647+Q647=12,0,IF(U646&gt;$G$28,12-DATEDIF($G$28,U646+1,"m"),IF(U646&lt;$G$27,0,DATEDIF($G$27,U646+1,"m")))))</f>
        <v>0</v>
      </c>
      <c r="V647" s="424">
        <f>IF(IF(T647+U647+S647+R647+Q647=12,0,IF(V646&gt;$G$28,12-DATEDIF($G$28,V646+1,"m"),IF(V646&lt;$G$27,0,DATEDIF($G$27,V646+1,"m"))))&lt;0,0,IF(T647+U647+S647+R647+Q647=12,0,IF(V646&gt;$G$28,12-DATEDIF($G$28,V646+1,"m"),IF(V646&lt;$G$27,0,DATEDIF($G$27,V646+1,"m")))))</f>
        <v>0</v>
      </c>
      <c r="W647" s="424">
        <f>IF(IF(U647+V647+T647+S647+R647+Q647=12,0,IF(W646&gt;$G$28,12-DATEDIF($G$28,W646+1,"m"),IF(W646&lt;$G$27,0,DATEDIF($G$27,W646+1,"m"))))&lt;0,0,IF(U647+V647+T647+S647+R647+Q647=12,0,IF(W646&gt;$G$28,12-DATEDIF($G$28,W646+1,"m"),IF(W646&lt;$G$27,0,DATEDIF($G$27,W646+1,"m")))))</f>
        <v>0</v>
      </c>
      <c r="X647" s="424">
        <f>IF(IF(V647+W647+U647+T647+S647+R647+Q647=12,0,IF(X646&gt;$G$28,12-DATEDIF($G$28,X646+1,"m"),IF(X646&lt;$G$27,0,DATEDIF($G$27,X646+1,"m"))))&lt;0,0,IF(V647+W647+U647+T647+S647+R647+Q647=12,0,IF(X646&gt;$G$28,12-DATEDIF($G$28,X646+1,"m"),IF(X646&lt;$G$27,0,DATEDIF($G$27,X646+1,"m")))))</f>
        <v>0</v>
      </c>
      <c r="Y647" s="424">
        <f>IF(IF(W647+X647+V647+U647+T647+S647+R647+Q647=12,0,IF(Y646&gt;$G$28,12-DATEDIF($G$28,Y646+1,"m"),IF(Y646&lt;$G$27,0,DATEDIF($G$27,Y646+1,"m"))))&lt;0,0,IF(W647+X647+V647+U647+T647+S647+R647+Q647=12,0,IF(Y646&gt;$G$28,12-DATEDIF($G$28,Y646+1,"m"),IF(Y646&lt;$G$27,0,DATEDIF($G$27,Y646+1,"m")))))</f>
        <v>0</v>
      </c>
      <c r="Z647" s="424">
        <f>IF(IF(X647+Y647+W647+V647+U647+T647+S647+R647+Q647=12,0,IF(Z646&gt;$G$28,12-DATEDIF($G$28,Z646+1,"m"),IF(Z646&lt;$G$27,0,DATEDIF($G$27,Z646+1,"m"))))&lt;0,0,IF(X647+Y647+W647+V647+U647+T647+S647+R647+Q647=12,0,IF(Z646&gt;$G$28,12-DATEDIF($G$28,Z646+1,"m"),IF(Z646&lt;$G$27,0,DATEDIF($G$27,Z646+1,"m")))))</f>
        <v>0</v>
      </c>
      <c r="AA647" s="414">
        <f>IF(IF(Q647+R647+S647+Y647+Z647+X647+W647+V647+U647+T647=12,0,IF(AA646&gt;$G$28,12-DATEDIF($G$28,AA646+1,"m"),IF(AA646&lt;$G$27,0,DATEDIF($G$27,AA646+1,"m"))))&lt;0,0,IF(Q647+R647+S647+Y647+Z647+X647+W647+V647+U647+T647=12,0,IF(AA646&gt;$G$28,12-DATEDIF($G$28,AA646+1,"m"),IF(AA646&lt;$G$27,0,DATEDIF($G$27,AA646+1,"m")))))</f>
        <v>0</v>
      </c>
      <c r="AB647" s="414">
        <f>IF(IF(Q647+R647+S647+T647+Z647+AA647+Y647+X647+W647+V647+U647=12,0,IF(AB646&gt;$G$28,12-DATEDIF($G$28,AB646+1,"m"),IF(AB646&lt;$G$27,0,DATEDIF($G$27,AB646+1,"m"))))&lt;0,0,IF(Q647+R647+S647+T647+Z647+AA647+Y647+X647+W647+V647+U647=12,0,IF(AB646&gt;$G$28,12-DATEDIF($G$28,AB646+1,"m"),IF(AB646&lt;$G$27,0,DATEDIF($G$27,AB646+1,"m")))))</f>
        <v>0</v>
      </c>
      <c r="AC647" s="414">
        <f>IF(IF(Q647+R647+S647+T647+U647+AA647+AB647+Z647+Y647+X647+W647+V647=12,0,IF(AC646&gt;$G$28,12-DATEDIF($G$28,AC646+1,"m"),IF(AC646&lt;$G$27,0,DATEDIF($G$27,AC646+1,"m"))))&lt;0,0,IF(Q647+R647+S647+T647+U647+AA647+AB647+Z647+Y647+X647+W647+V647=12,0,IF(AC646&gt;$G$28,12-DATEDIF($G$28,AC646+1,"m"),IF(AC646&lt;$G$27,0,DATEDIF($G$27,AC646+1,"m")))))</f>
        <v>0</v>
      </c>
      <c r="AD647" s="414">
        <f>IF(IF(Q647+R647+S647+T647+U647+V647+AB647+AC647+AA647+Z647+Y647+X647+W647=12,0,IF(AD646&gt;$G$28,12-DATEDIF($G$28,AD646+1,"m"),IF(AD646&lt;$G$27,0,DATEDIF($G$27,AD646+1,"m"))))&lt;0,0,IF(Q647+R647+S647+T647+U647+V647+AB647+AC647+AA647+Z647+Y647+X647+W647=12,0,IF(AD646&gt;$G$28,12-DATEDIF($G$28,AD646+1,"m"),IF(AD646&lt;$G$27,0,DATEDIF($G$27,AD646+1,"m")))))</f>
        <v>0</v>
      </c>
      <c r="AE647" s="414"/>
      <c r="AF647" s="414"/>
      <c r="AG647" s="414"/>
      <c r="AH647" s="423">
        <f>SUM(Q647:AG647)</f>
        <v>0</v>
      </c>
      <c r="AI647" s="414">
        <f t="shared" si="288"/>
        <v>0</v>
      </c>
      <c r="AJ647" s="414">
        <f t="shared" si="288"/>
        <v>0</v>
      </c>
      <c r="AK647" s="414">
        <f t="shared" si="288"/>
        <v>0</v>
      </c>
      <c r="AL647" s="414">
        <f t="shared" si="288"/>
        <v>0</v>
      </c>
      <c r="AM647" s="414">
        <f t="shared" si="288"/>
        <v>0</v>
      </c>
      <c r="AN647" s="414">
        <f t="shared" si="288"/>
        <v>0</v>
      </c>
      <c r="AO647" s="414">
        <f t="shared" si="288"/>
        <v>0</v>
      </c>
      <c r="AP647" s="414">
        <f t="shared" si="288"/>
        <v>0</v>
      </c>
      <c r="AQ647" s="414">
        <f t="shared" si="288"/>
        <v>0</v>
      </c>
      <c r="AR647" s="414">
        <f t="shared" si="288"/>
        <v>0</v>
      </c>
      <c r="AS647" s="414">
        <f t="shared" si="289"/>
        <v>0</v>
      </c>
      <c r="AT647" s="414">
        <f t="shared" si="289"/>
        <v>0</v>
      </c>
      <c r="AU647" s="414">
        <f t="shared" si="289"/>
        <v>0</v>
      </c>
      <c r="AV647" s="414">
        <f t="shared" si="289"/>
        <v>0</v>
      </c>
      <c r="AW647" s="414">
        <f t="shared" si="289"/>
        <v>0</v>
      </c>
      <c r="AX647" s="414">
        <f t="shared" si="289"/>
        <v>0</v>
      </c>
      <c r="AY647" s="414">
        <f t="shared" si="289"/>
        <v>0</v>
      </c>
      <c r="AZ647" s="414">
        <f>SUM(AI647:AY647)</f>
        <v>0</v>
      </c>
    </row>
    <row r="648" spans="17:52" hidden="1">
      <c r="Q648" s="415">
        <f>IF(Q647=0,0,(IF(($B$220+$C$220+$D$220+$E$220+$F$220+$G$220)&lt;=25000,(($G$220/+$AH647)*Q647)*VLOOKUP('1. SUMMARY'!$C$20,rate,Sheet1!T$21,0),((IF(($F$220+$B$220+$C$220+$D$220+$E$220)&gt;=25000,0,(((25000-($B$220+$C$220+$D$220+$E$220+$F$220))/+$AH647)*Q647)*(VLOOKUP('1. SUMMARY'!$C$20,rate,Sheet1!T$21,0))))))))</f>
        <v>0</v>
      </c>
      <c r="R648" s="415">
        <f>IF(R647=0,0,(IF(($B$220+$C$220+$D$220+$E$220+$F$220+$G$220)&lt;=25000,(($G$220/+$AH647)*R647)*VLOOKUP('1. SUMMARY'!$C$20,rate,Sheet1!U$21,0),((IF(($F$220+$B$220+$C$220+$D$220+$E$220)&gt;=25000,0,(((25000-($B$220+$C$220+$D$220+$E$220+$F$220))/+$AH647)*R647)*(VLOOKUP('1. SUMMARY'!$C$20,rate,Sheet1!U$21,0))))))))</f>
        <v>0</v>
      </c>
      <c r="S648" s="415">
        <f>IF(S647=0,0,(IF(($B$220+$C$220+$D$220+$E$220+$F$220+$G$220)&lt;=25000,(($G$220/+$AH647)*S647)*VLOOKUP('1. SUMMARY'!$C$20,rate,Sheet1!V$21,0),((IF(($F$220+$B$220+$C$220+$D$220+$E$220)&gt;=25000,0,(((25000-($B$220+$C$220+$D$220+$E$220+$F$220))/+$AH647)*S647)*(VLOOKUP('1. SUMMARY'!$C$20,rate,Sheet1!V$21,0))))))))</f>
        <v>0</v>
      </c>
      <c r="T648" s="415">
        <f>IF(T647=0,0,(IF(($B$220+$C$220+$D$220+$E$220+$F$220+$G$220)&lt;=25000,(($G$220/+$AH647)*T647)*VLOOKUP('1. SUMMARY'!$C$20,rate,Sheet1!W$21,0),((IF(($F$220+$B$220+$C$220+$D$220+$E$220)&gt;=25000,0,(((25000-($B$220+$C$220+$D$220+$E$220+$F$220))/+$AH647)*T647)*(VLOOKUP('1. SUMMARY'!$C$20,rate,Sheet1!W$21,0))))))))</f>
        <v>0</v>
      </c>
      <c r="U648" s="415">
        <f>IF(U647=0,0,(IF(($B$220+$C$220+$D$220+$E$220+$F$220+$G$220)&lt;=25000,(($G$220/+$AH647)*U647)*VLOOKUP('1. SUMMARY'!$C$20,rate,Sheet1!X$21,0),((IF(($F$220+$B$220+$C$220+$D$220+$E$220)&gt;=25000,0,(((25000-($B$220+$C$220+$D$220+$E$220+$F$220))/+$AH647)*U647)*(VLOOKUP('1. SUMMARY'!$C$20,rate,Sheet1!X$21,0))))))))</f>
        <v>0</v>
      </c>
      <c r="V648" s="415">
        <f>IF(V647=0,0,(IF(($B$220+$C$220+$D$220+$E$220+$F$220+$G$220)&lt;=25000,(($G$220/+$AH647)*V647)*VLOOKUP('1. SUMMARY'!$C$20,rate,Sheet1!Y$21,0),((IF(($F$220+$B$220+$C$220+$D$220+$E$220)&gt;=25000,0,(((25000-($B$220+$C$220+$D$220+$E$220+$F$220))/+$AH647)*V647)*(VLOOKUP('1. SUMMARY'!$C$20,rate,Sheet1!Y$21,0))))))))</f>
        <v>0</v>
      </c>
      <c r="W648" s="415">
        <f>IF(W647=0,0,(IF(($B$220+$C$220+$D$220+$E$220+$F$220+$G$220)&lt;=25000,(($G$220/+$AH647)*W647)*VLOOKUP('1. SUMMARY'!$C$20,rate,Sheet1!Z$21,0),((IF(($F$220+$B$220+$C$220+$D$220+$E$220)&gt;=25000,0,(((25000-($B$220+$C$220+$D$220+$E$220+$F$220))/+$AH647)*W647)*(VLOOKUP('1. SUMMARY'!$C$20,rate,Sheet1!Z$21,0))))))))</f>
        <v>0</v>
      </c>
      <c r="X648" s="415">
        <f>IF(X647=0,0,(IF(($B$220+$C$220+$D$220+$E$220+$F$220+$G$220)&lt;=25000,(($G$220/+$AH647)*X647)*VLOOKUP('1. SUMMARY'!$C$20,rate,Sheet1!AA$21,0),((IF(($F$220+$B$220+$C$220+$D$220+$E$220)&gt;=25000,0,(((25000-($B$220+$C$220+$D$220+$E$220+$F$220))/+$AH647)*X647)*(VLOOKUP('1. SUMMARY'!$C$20,rate,Sheet1!AA$21,0))))))))</f>
        <v>0</v>
      </c>
      <c r="Y648" s="415">
        <f>IF(Y647=0,0,(IF(($B$220+$C$220+$D$220+$E$220+$F$220+$G$220)&lt;=25000,(($G$220/+$AH647)*Y647)*VLOOKUP('1. SUMMARY'!$C$20,rate,Sheet1!AB$21,0),((IF(($F$220+$B$220+$C$220+$D$220+$E$220)&gt;=25000,0,(((25000-($B$220+$C$220+$D$220+$E$220+$F$220))/+$AH647)*Y647)*(VLOOKUP('1. SUMMARY'!$C$20,rate,Sheet1!AB$21,0))))))))</f>
        <v>0</v>
      </c>
      <c r="Z648" s="415">
        <f>IF(Z647=0,0,(IF(($B$220+$C$220+$D$220+$E$220+$F$220+$G$220)&lt;=25000,(($G$220/+$AH647)*Z647)*VLOOKUP('1. SUMMARY'!$C$20,rate,Sheet1!AC$21,0),((IF(($F$220+$B$220+$C$220+$D$220+$E$220)&gt;=25000,0,(((25000-($B$220+$C$220+$D$220+$E$220+$F$220))/+$AH647)*Z647)*(VLOOKUP('1. SUMMARY'!$C$20,rate,Sheet1!AC$21,0))))))))</f>
        <v>0</v>
      </c>
      <c r="AA648" s="415">
        <f>IF(AA647=0,0,(IF(($B$220+$C$220+$D$220+$E$220+$F$220+$G$220)&lt;=25000,(($G$220/+$AH647)*AA647)*VLOOKUP('1. SUMMARY'!$C$20,rate,Sheet1!AD$21,0),((IF(($F$220+$B$220+$C$220+$D$220+$E$220)&gt;=25000,0,(((25000-($B$220+$C$220+$D$220+$E$220+$F$220))/+$AH647)*AA647)*(VLOOKUP('1. SUMMARY'!$C$20,rate,Sheet1!AD$21,0))))))))</f>
        <v>0</v>
      </c>
      <c r="AB648" s="415">
        <f>IF(AB647=0,0,(IF(($B$220+$C$220+$D$220+$E$220+$F$220+$G$220)&lt;=25000,(($G$220/+$AH647)*AB647)*VLOOKUP('1. SUMMARY'!$C$20,rate,Sheet1!AE$21,0),((IF(($F$220+$B$220+$C$220+$D$220+$E$220)&gt;=25000,0,(((25000-($B$220+$C$220+$D$220+$E$220+$F$220))/+$AH647)*AB647)*(VLOOKUP('1. SUMMARY'!$C$20,rate,Sheet1!AE$21,0))))))))</f>
        <v>0</v>
      </c>
      <c r="AC648" s="415">
        <f>IF(AC647=0,0,(IF(($B$220+$C$220+$D$220+$E$220+$F$220+$G$220)&lt;=25000,(($G$220/+$AH647)*AC647)*VLOOKUP('1. SUMMARY'!$C$20,rate,Sheet1!AF$21,0),((IF(($F$220+$B$220+$C$220+$D$220+$E$220)&gt;=25000,0,(((25000-($B$220+$C$220+$D$220+$E$220+$F$220))/+$AH647)*AC647)*(VLOOKUP('1. SUMMARY'!$C$20,rate,Sheet1!AF$21,0))))))))</f>
        <v>0</v>
      </c>
      <c r="AD648" s="415">
        <f>IF(AD647=0,0,(IF(($B$220+$C$220+$D$220+$E$220+$F$220+$G$220)&lt;=25000,(($G$220/+$AH647)*AD647)*VLOOKUP('1. SUMMARY'!$C$20,rate,Sheet1!AG$21,0),((IF(($F$220+$B$220+$C$220+$D$220+$E$220)&gt;=25000,0,(((25000-($B$220+$C$220+$D$220+$E$220+$F$220))/+$AH647)*AD647)*(VLOOKUP('1. SUMMARY'!$C$20,rate,Sheet1!AG$21,0))))))))</f>
        <v>0</v>
      </c>
      <c r="AE648" s="415">
        <f>IF(AE647=0,0,(IF(($B$220+$C$220+$D$220+$E$220+$F$220+$G$220)&lt;=25000,(($G$220/+$AH647)*AE647)*VLOOKUP('1. SUMMARY'!$C$20,rate,Sheet1!AH$21,0),((IF(($F$220+$B$220+$C$220+$D$220+$E$220)&gt;=25000,0,(((25000-($B$220+$C$220+$D$220+$E$220+$F$220))/+$AH647)*AE647)*(VLOOKUP('1. SUMMARY'!$C$20,rate,Sheet1!AH$21,0))))))))</f>
        <v>0</v>
      </c>
      <c r="AF648" s="415">
        <f>IF(AF647=0,0,(IF(($B$220+$C$220+$D$220+$E$220+$F$220+$G$220)&lt;=25000,(($G$220/+$AH647)*AF647)*VLOOKUP('1. SUMMARY'!$C$20,rate,Sheet1!AI$21,0),((IF(($F$220+$B$220+$C$220+$D$220+$E$220)&gt;=25000,0,(((25000-($B$220+$C$220+$D$220+$E$220+$F$220))/+$AH647)*AF647)*(VLOOKUP('1. SUMMARY'!$C$20,rate,Sheet1!AI$21,0))))))))</f>
        <v>0</v>
      </c>
      <c r="AG648" s="415">
        <f>IF(AG647=0,0,(IF(($B$220+$C$220+$D$220+$E$220+$F$220+$G$220)&lt;=25000,(($G$220/+$AH647)*AG647)*VLOOKUP('1. SUMMARY'!$C$20,rate,Sheet1!AJ$21,0),((IF(($F$220+$B$220+$C$220+$D$220+$E$220)&gt;=25000,0,(((25000-($B$220+$C$220+$D$220+$E$220+$F$220))/+$AH647)*AG647)*(VLOOKUP('1. SUMMARY'!$C$20,rate,Sheet1!AJ$21,0))))))))</f>
        <v>0</v>
      </c>
      <c r="AH648" s="219">
        <f>SUM(Q648:AG648)</f>
        <v>0</v>
      </c>
      <c r="AI648" s="415">
        <f>IF(AI647=0,0,((+$G220/$AZ647)*AI647)*VLOOKUP('1. SUMMARY'!$C$20,rate,Sheet1!T$21,0))</f>
        <v>0</v>
      </c>
      <c r="AJ648" s="415">
        <f>IF(AJ647=0,0,((+$G220/$AZ647)*AJ647)*VLOOKUP('1. SUMMARY'!$C$20,rate,Sheet1!U$21,0))</f>
        <v>0</v>
      </c>
      <c r="AK648" s="415">
        <f>IF(AK647=0,0,((+$G220/$AZ647)*AK647)*VLOOKUP('1. SUMMARY'!$C$20,rate,Sheet1!V$21,0))</f>
        <v>0</v>
      </c>
      <c r="AL648" s="415">
        <f>IF(AL647=0,0,((+$G220/$AZ647)*AL647)*VLOOKUP('1. SUMMARY'!$C$20,rate,Sheet1!W$21,0))</f>
        <v>0</v>
      </c>
      <c r="AM648" s="415">
        <f>IF(AM647=0,0,((+$G220/$AZ647)*AM647)*VLOOKUP('1. SUMMARY'!$C$20,rate,Sheet1!X$21,0))</f>
        <v>0</v>
      </c>
      <c r="AN648" s="415">
        <f>IF(AN647=0,0,((+$G220/$AZ647)*AN647)*VLOOKUP('1. SUMMARY'!$C$20,rate,Sheet1!Y$21,0))</f>
        <v>0</v>
      </c>
      <c r="AO648" s="415">
        <f>IF(AO647=0,0,((+$G220/$AZ647)*AO647)*VLOOKUP('1. SUMMARY'!$C$20,rate,Sheet1!Z$21,0))</f>
        <v>0</v>
      </c>
      <c r="AP648" s="415">
        <f>IF(AP647=0,0,((+$G220/$AZ647)*AP647)*VLOOKUP('1. SUMMARY'!$C$20,rate,Sheet1!AA$21,0))</f>
        <v>0</v>
      </c>
      <c r="AQ648" s="415">
        <f>IF(AQ647=0,0,((+$G220/$AZ647)*AQ647)*VLOOKUP('1. SUMMARY'!$C$20,rate,Sheet1!AB$21,0))</f>
        <v>0</v>
      </c>
      <c r="AR648" s="415">
        <f>IF(AR647=0,0,((+$G220/$AZ647)*AR647)*VLOOKUP('1. SUMMARY'!$C$20,rate,Sheet1!AC$21,0))</f>
        <v>0</v>
      </c>
      <c r="AS648" s="415">
        <f>IF(AS647=0,0,((+$G220/$AZ647)*AS647)*VLOOKUP('1. SUMMARY'!$C$20,rate,Sheet1!AD$21,0))</f>
        <v>0</v>
      </c>
      <c r="AT648" s="415">
        <f>IF(AT647=0,0,((+$G220/$AZ647)*AT647)*VLOOKUP('1. SUMMARY'!$C$20,rate,Sheet1!AE$21,0))</f>
        <v>0</v>
      </c>
      <c r="AU648" s="415">
        <f>IF(AU647=0,0,((+$G220/$AZ647)*AU647)*VLOOKUP('1. SUMMARY'!$C$20,rate,Sheet1!AF$21,0))</f>
        <v>0</v>
      </c>
      <c r="AV648" s="415">
        <f>IF(AV647=0,0,((+$G220/$AZ647)*AV647)*VLOOKUP('1. SUMMARY'!$C$20,rate,Sheet1!AG$21,0))</f>
        <v>0</v>
      </c>
      <c r="AW648" s="415">
        <f>IF(AW647=0,0,((+$G220/$AZ647)*AW647)*VLOOKUP('1. SUMMARY'!$C$20,rate,Sheet1!AH$21,0))</f>
        <v>0</v>
      </c>
      <c r="AX648" s="415">
        <f>IF(AX647=0,0,((+$G220/$AZ647)*AX647)*VLOOKUP('1. SUMMARY'!$C$20,rate,Sheet1!AI$21,0))</f>
        <v>0</v>
      </c>
      <c r="AY648" s="415">
        <f>IF(AY647=0,0,((+$G220/$AZ647)*AY647)*VLOOKUP('1. SUMMARY'!$C$20,rate,Sheet1!AJ$21,0))</f>
        <v>0</v>
      </c>
      <c r="AZ648" s="415">
        <f>SUM(AI648:AY648)</f>
        <v>0</v>
      </c>
    </row>
    <row r="649" spans="17:52" hidden="1">
      <c r="Q649" s="415">
        <f>+Q648/VLOOKUP('1. SUMMARY'!$C$20,rate,Sheet1!T$21,0)</f>
        <v>0</v>
      </c>
      <c r="R649" s="415">
        <f>+R648/VLOOKUP('1. SUMMARY'!$C$20,rate,Sheet1!U$21,0)</f>
        <v>0</v>
      </c>
      <c r="S649" s="415">
        <f>+S648/VLOOKUP('1. SUMMARY'!$C$20,rate,Sheet1!V$21,0)</f>
        <v>0</v>
      </c>
      <c r="T649" s="415">
        <f>+T648/VLOOKUP('1. SUMMARY'!$C$20,rate,Sheet1!W$21,0)</f>
        <v>0</v>
      </c>
      <c r="U649" s="415">
        <f>+U648/VLOOKUP('1. SUMMARY'!$C$20,rate,Sheet1!X$21,0)</f>
        <v>0</v>
      </c>
      <c r="V649" s="415">
        <f>+V648/VLOOKUP('1. SUMMARY'!$C$20,rate,Sheet1!Y$21,0)</f>
        <v>0</v>
      </c>
      <c r="W649" s="415">
        <f>+W648/VLOOKUP('1. SUMMARY'!$C$20,rate,Sheet1!Z$21,0)</f>
        <v>0</v>
      </c>
      <c r="X649" s="415">
        <f>+X648/VLOOKUP('1. SUMMARY'!$C$20,rate,Sheet1!AA$21,0)</f>
        <v>0</v>
      </c>
      <c r="Y649" s="415">
        <f>+Y648/VLOOKUP('1. SUMMARY'!$C$20,rate,Sheet1!AB$21,0)</f>
        <v>0</v>
      </c>
      <c r="Z649" s="415">
        <f>+Z648/VLOOKUP('1. SUMMARY'!$C$20,rate,Sheet1!AC$21,0)</f>
        <v>0</v>
      </c>
      <c r="AA649" s="415">
        <f>+AA648/VLOOKUP('1. SUMMARY'!$C$20,rate,Sheet1!AD$21,0)</f>
        <v>0</v>
      </c>
      <c r="AB649" s="415">
        <f>+AB648/VLOOKUP('1. SUMMARY'!$C$20,rate,Sheet1!AE$21,0)</f>
        <v>0</v>
      </c>
      <c r="AC649" s="415">
        <f>+AC648/VLOOKUP('1. SUMMARY'!$C$20,rate,Sheet1!AF$21,0)</f>
        <v>0</v>
      </c>
      <c r="AD649" s="415">
        <f>+AD648/VLOOKUP('1. SUMMARY'!$C$20,rate,Sheet1!AG$21,0)</f>
        <v>0</v>
      </c>
      <c r="AE649" s="415">
        <f>+AE648/VLOOKUP('1. SUMMARY'!$C$20,rate,Sheet1!AH$21,0)</f>
        <v>0</v>
      </c>
      <c r="AF649" s="415">
        <f>+AF648/VLOOKUP('1. SUMMARY'!$C$20,rate,Sheet1!AI$21,0)</f>
        <v>0</v>
      </c>
      <c r="AG649" s="415">
        <f>+AG648/VLOOKUP('1. SUMMARY'!$C$20,rate,Sheet1!AJ$21,0)</f>
        <v>0</v>
      </c>
      <c r="AH649" s="219"/>
      <c r="AI649" s="415"/>
      <c r="AJ649" s="415"/>
      <c r="AK649" s="415"/>
      <c r="AL649" s="415"/>
      <c r="AM649" s="415"/>
      <c r="AN649" s="415"/>
      <c r="AO649" s="415"/>
      <c r="AP649" s="415"/>
      <c r="AQ649" s="415"/>
      <c r="AR649" s="415"/>
      <c r="AS649" s="415"/>
      <c r="AT649" s="415"/>
      <c r="AU649" s="415"/>
      <c r="AV649" s="415"/>
      <c r="AW649" s="415"/>
      <c r="AX649" s="415"/>
      <c r="AY649" s="415"/>
      <c r="AZ649" s="415"/>
    </row>
    <row r="650" spans="17:52" hidden="1">
      <c r="Q650" s="411">
        <f>Sheet1!$T$8</f>
        <v>44105</v>
      </c>
      <c r="R650" s="411">
        <f>Sheet1!$U$8</f>
        <v>44470</v>
      </c>
      <c r="S650" s="411">
        <f>Sheet1!$V$8</f>
        <v>44835</v>
      </c>
      <c r="T650" s="411">
        <f>Sheet1!$W$8</f>
        <v>45200</v>
      </c>
      <c r="U650" s="411">
        <f>Sheet1!$X$8</f>
        <v>45566</v>
      </c>
      <c r="V650" s="411">
        <f>Sheet1!$Y$8</f>
        <v>45931</v>
      </c>
      <c r="W650" s="411">
        <f>Sheet1!$Z$8</f>
        <v>46296</v>
      </c>
      <c r="X650" s="411">
        <f>Sheet1!$AA$8</f>
        <v>46661</v>
      </c>
      <c r="Y650" s="411">
        <f>Sheet1!$AB$8</f>
        <v>47027</v>
      </c>
      <c r="Z650" s="411">
        <f>Sheet1!$AC$8</f>
        <v>47392</v>
      </c>
      <c r="AA650" s="411">
        <f>$AA$5</f>
        <v>47757</v>
      </c>
      <c r="AB650" s="411">
        <f>$AB$5</f>
        <v>48122</v>
      </c>
      <c r="AC650" s="411">
        <f>$AC$5</f>
        <v>48488</v>
      </c>
      <c r="AD650" s="411">
        <f>$AD$5</f>
        <v>48853</v>
      </c>
      <c r="AE650" s="411">
        <f>$AE$5</f>
        <v>49218</v>
      </c>
      <c r="AF650" s="411">
        <f>$AF$5</f>
        <v>49583</v>
      </c>
      <c r="AG650" s="411">
        <f>$AG$5</f>
        <v>49949</v>
      </c>
      <c r="AH650" s="219"/>
      <c r="AI650" s="411">
        <f t="shared" ref="AI650:AR652" si="290">+Q650</f>
        <v>44105</v>
      </c>
      <c r="AJ650" s="411">
        <f t="shared" si="290"/>
        <v>44470</v>
      </c>
      <c r="AK650" s="411">
        <f t="shared" si="290"/>
        <v>44835</v>
      </c>
      <c r="AL650" s="411">
        <f t="shared" si="290"/>
        <v>45200</v>
      </c>
      <c r="AM650" s="411">
        <f t="shared" si="290"/>
        <v>45566</v>
      </c>
      <c r="AN650" s="411">
        <f t="shared" si="290"/>
        <v>45931</v>
      </c>
      <c r="AO650" s="411">
        <f t="shared" si="290"/>
        <v>46296</v>
      </c>
      <c r="AP650" s="411">
        <f t="shared" si="290"/>
        <v>46661</v>
      </c>
      <c r="AQ650" s="411">
        <f t="shared" si="290"/>
        <v>47027</v>
      </c>
      <c r="AR650" s="411">
        <f t="shared" si="290"/>
        <v>47392</v>
      </c>
      <c r="AS650" s="411">
        <f t="shared" ref="AS650:AY652" si="291">+AA650</f>
        <v>47757</v>
      </c>
      <c r="AT650" s="411">
        <f t="shared" si="291"/>
        <v>48122</v>
      </c>
      <c r="AU650" s="411">
        <f t="shared" si="291"/>
        <v>48488</v>
      </c>
      <c r="AV650" s="411">
        <f t="shared" si="291"/>
        <v>48853</v>
      </c>
      <c r="AW650" s="411">
        <f t="shared" si="291"/>
        <v>49218</v>
      </c>
      <c r="AX650" s="411">
        <f t="shared" si="291"/>
        <v>49583</v>
      </c>
      <c r="AY650" s="411">
        <f t="shared" si="291"/>
        <v>49949</v>
      </c>
      <c r="AZ650" s="411"/>
    </row>
    <row r="651" spans="17:52" hidden="1">
      <c r="Q651" s="411">
        <f>Sheet1!$T$9</f>
        <v>44469</v>
      </c>
      <c r="R651" s="411">
        <f>Sheet1!$U$9</f>
        <v>44834</v>
      </c>
      <c r="S651" s="411">
        <f>Sheet1!$V$9</f>
        <v>45199</v>
      </c>
      <c r="T651" s="411">
        <f>Sheet1!$W$9</f>
        <v>45565</v>
      </c>
      <c r="U651" s="411">
        <f>Sheet1!$X$9</f>
        <v>45930</v>
      </c>
      <c r="V651" s="411">
        <f>Sheet1!$Y$9</f>
        <v>46295</v>
      </c>
      <c r="W651" s="411">
        <f>Sheet1!$Z$9</f>
        <v>46660</v>
      </c>
      <c r="X651" s="411">
        <f>Sheet1!$AA$9</f>
        <v>47026</v>
      </c>
      <c r="Y651" s="411">
        <f>Sheet1!$AB$9</f>
        <v>47391</v>
      </c>
      <c r="Z651" s="411">
        <f>Sheet1!$AC$9</f>
        <v>47756</v>
      </c>
      <c r="AA651" s="411">
        <f>$AA$6</f>
        <v>48121</v>
      </c>
      <c r="AB651" s="411">
        <f>$AB$6</f>
        <v>48487</v>
      </c>
      <c r="AC651" s="411">
        <f>$AC$6</f>
        <v>48852</v>
      </c>
      <c r="AD651" s="411">
        <f>$AD$6</f>
        <v>49217</v>
      </c>
      <c r="AE651" s="411">
        <f>$AE$6</f>
        <v>49582</v>
      </c>
      <c r="AF651" s="411">
        <f>$AF$6</f>
        <v>49948</v>
      </c>
      <c r="AG651" s="411">
        <f>$AG$6</f>
        <v>50313</v>
      </c>
      <c r="AH651" s="219"/>
      <c r="AI651" s="411">
        <f t="shared" si="290"/>
        <v>44469</v>
      </c>
      <c r="AJ651" s="411">
        <f t="shared" si="290"/>
        <v>44834</v>
      </c>
      <c r="AK651" s="411">
        <f t="shared" si="290"/>
        <v>45199</v>
      </c>
      <c r="AL651" s="411">
        <f t="shared" si="290"/>
        <v>45565</v>
      </c>
      <c r="AM651" s="411">
        <f t="shared" si="290"/>
        <v>45930</v>
      </c>
      <c r="AN651" s="411">
        <f t="shared" si="290"/>
        <v>46295</v>
      </c>
      <c r="AO651" s="411">
        <f t="shared" si="290"/>
        <v>46660</v>
      </c>
      <c r="AP651" s="411">
        <f t="shared" si="290"/>
        <v>47026</v>
      </c>
      <c r="AQ651" s="411">
        <f t="shared" si="290"/>
        <v>47391</v>
      </c>
      <c r="AR651" s="411">
        <f t="shared" si="290"/>
        <v>47756</v>
      </c>
      <c r="AS651" s="411">
        <f t="shared" si="291"/>
        <v>48121</v>
      </c>
      <c r="AT651" s="411">
        <f t="shared" si="291"/>
        <v>48487</v>
      </c>
      <c r="AU651" s="411">
        <f t="shared" si="291"/>
        <v>48852</v>
      </c>
      <c r="AV651" s="411">
        <f t="shared" si="291"/>
        <v>49217</v>
      </c>
      <c r="AW651" s="411">
        <f t="shared" si="291"/>
        <v>49582</v>
      </c>
      <c r="AX651" s="411">
        <f t="shared" si="291"/>
        <v>49948</v>
      </c>
      <c r="AY651" s="411">
        <f t="shared" si="291"/>
        <v>50313</v>
      </c>
      <c r="AZ651" s="411"/>
    </row>
    <row r="652" spans="17:52" hidden="1">
      <c r="Q652" s="412">
        <f>IF(IF(Q651&lt;$H$27,0,DATEDIF($H$27,Q651+1,"m"))&lt;0,0,IF(Q651&lt;$H$27,0,DATEDIF($H$27,Q651+1,"m")))</f>
        <v>0</v>
      </c>
      <c r="R652" s="412">
        <f>IF(IF(Q652=12,0,IF(R651&gt;$H$28,12-DATEDIF($H$28,R651+1,"m"),IF(R651&lt;$H$27,0,DATEDIF($H$27,R651+1,"m"))))&lt;0,0,IF(Q652=12,0,IF(R651&gt;$H$28,12-DATEDIF($H$28,R651+1,"m"),IF(R651&lt;$H$27,0,DATEDIF($H$27,R651+1,"m")))))</f>
        <v>0</v>
      </c>
      <c r="S652" s="412">
        <f>IF(IF(Q652+R652=12,0,IF(S651&gt;$H$28,12-DATEDIF($H$28,S651+1,"m"),IF(S651&lt;$H$27,0,DATEDIF($H$27,S651+1,"m"))))&lt;0,0,IF(Q652+R652=12,0,IF(S651&gt;$H$28,12-DATEDIF($H$28,S651+1,"m"),IF(S651&lt;$H$27,0,DATEDIF($H$27,S651+1,"m")))))</f>
        <v>0</v>
      </c>
      <c r="T652" s="412">
        <f>IF(IF(R652+S652+Q652=12,0,IF(T651&gt;$H$28,12-DATEDIF($H$28,T651+1,"m"),IF(T651&lt;$H$27,0,DATEDIF($H$27,T651+1,"m"))))&lt;0,0,IF(R652+S652+Q652=12,0,IF(T651&gt;$H$28,12-DATEDIF($H$28,T651+1,"m"),IF(T651&lt;$H$27,0,DATEDIF($H$27,T651+1,"m")))))</f>
        <v>0</v>
      </c>
      <c r="U652" s="412">
        <f>IF(IF(S652+T652+R652+Q652=12,0,IF(U651&gt;$H$28,12-DATEDIF($H$28,U651+1,"m"),IF(U651&lt;$H$27,0,DATEDIF($H$27,U651+1,"m"))))&lt;0,0,IF(S652+T652+R652+Q652=12,0,IF(U651&gt;$H$28,12-DATEDIF($H$28,U651+1,"m"),IF(U651&lt;$H$27,0,DATEDIF($H$27,U651+1,"m")))))</f>
        <v>0</v>
      </c>
      <c r="V652" s="412">
        <f>IF(IF(T652+U652+S652+R652+Q652=12,0,IF(V651&gt;$H$28,12-DATEDIF($H$28,V651+1,"m"),IF(V651&lt;$H$27,0,DATEDIF($H$27,V651+1,"m"))))&lt;0,0,IF(T652+U652+S652+R652+Q652=12,0,IF(V651&gt;$H$28,12-DATEDIF($H$28,V651+1,"m"),IF(V651&lt;$H$27,0,DATEDIF($H$27,V651+1,"m")))))</f>
        <v>0</v>
      </c>
      <c r="W652" s="412">
        <f>IF(IF(U652+V652+T652+S652+R652+Q652=12,0,IF(W651&gt;$H$28,12-DATEDIF($H$28,W651+1,"m"),IF(W651&lt;$H$27,0,DATEDIF($H$27,W651+1,"m"))))&lt;0,0,IF(U652+V652+T652+S652+R652+Q652=12,0,IF(W651&gt;$H$28,12-DATEDIF($H$28,W651+1,"m"),IF(W651&lt;$H$27,0,DATEDIF($H$27,W651+1,"m")))))</f>
        <v>0</v>
      </c>
      <c r="X652" s="412">
        <f>IF(IF(V652+W652+U652+T652+S652+R652+Q652=12,0,IF(X651&gt;$H$28,12-DATEDIF($H$28,X651+1,"m"),IF(X651&lt;$H$27,0,DATEDIF($H$27,X651+1,"m"))))&lt;0,0,IF(V652+W652+U652+T652+S652+R652+Q652=12,0,IF(X651&gt;$H$28,12-DATEDIF($H$28,X651+1,"m"),IF(X651&lt;$H$27,0,DATEDIF($H$27,X651+1,"m")))))</f>
        <v>0</v>
      </c>
      <c r="Y652" s="412">
        <f>IF(IF(W652+X652+V652+U652+T652+S652+R652+Q652=12,0,IF(Y651&gt;$H$28,12-DATEDIF($H$28,Y651+1,"m"),IF(Y651&lt;$H$27,0,DATEDIF($H$27,Y651+1,"m"))))&lt;0,0,IF(W652+X652+V652+U652+T652+S652+R652+Q652=12,0,IF(Y651&gt;$H$28,12-DATEDIF($H$28,Y651+1,"m"),IF(Y651&lt;$H$27,0,DATEDIF($H$27,Y651+1,"m")))))</f>
        <v>0</v>
      </c>
      <c r="Z652" s="412">
        <f>IF(IF(X652+Y652+W652+V652+U652+T652+S652+R652+Q652=12,0,IF(Z651&gt;$H$28,12-DATEDIF($H$28,Z651+1,"m"),IF(Z651&lt;$H$27,0,DATEDIF($H$27,Z651+1,"m"))))&lt;0,0,IF(X652+Y652+W652+V652+U652+T652+S652+R652+Q652=12,0,IF(Z651&gt;$H$28,12-DATEDIF($H$28,Z651+1,"m"),IF(Z651&lt;$H$27,0,DATEDIF($H$27,Z651+1,"m")))))</f>
        <v>0</v>
      </c>
      <c r="AA652" s="412">
        <f>IF(IF(Q652+R652+S652+Y652+Z652+X652+W652+V652+U652+T652=12,0,IF(AA651&gt;$H$28,12-DATEDIF($H$28,AA651+1,"m"),IF(AA651&lt;$H$27,0,DATEDIF($H$27,AA651+1,"m"))))&lt;0,0,IF(Q652+R652+S652+Y652+Z652+X652+W652+V652+U652+T652=12,0,IF(AA651&gt;$H$28,12-DATEDIF($H$28,AA651+1,"m"),IF(AA651&lt;$H$27,0,DATEDIF($H$27,AA651+1,"m")))))</f>
        <v>0</v>
      </c>
      <c r="AB652" s="412">
        <f>IF(IF(Q652+R652+S652+T652+Z652+AA652+Y652+X652+W652+V652+U652=12,0,IF(AB651&gt;$H$28,12-DATEDIF($H$28,AB651+1,"m"),IF(AB651&lt;$H$27,0,DATEDIF($H$27,AB651+1,"m"))))&lt;0,0,IF(Q652+R652+S652+T652+Z652+AA652+Y652+X652+W652+V652+U652=12,0,IF(AB651&gt;$H$28,12-DATEDIF($H$28,AB651+1,"m"),IF(AB651&lt;$H$27,0,DATEDIF($H$27,AB651+1,"m")))))</f>
        <v>0</v>
      </c>
      <c r="AC652" s="412">
        <f>IF(IF(Q652+R652+S652+T652+U652+AA652+AB652+Z652+Y652+X652+W652+V652=12,0,IF(AC651&gt;$H$28,12-DATEDIF($H$28,AC651+1,"m"),IF(AC651&lt;$H$27,0,DATEDIF($H$27,AC651+1,"m"))))&lt;0,0,IF(Q652+R652+S652+T652+U652+AA652+AB652+Z652+Y652+X652+W652+V652=12,0,IF(AC651&gt;$H$28,12-DATEDIF($H$28,AC651+1,"m"),IF(AC651&lt;$H$27,0,DATEDIF($H$27,AC651+1,"m")))))</f>
        <v>0</v>
      </c>
      <c r="AD652" s="412">
        <f>IF(IF(Q652+R652+S652+T652+U652+V652+AB652+AC652+AA652+Z652+Y652+X652+W652=12,0,IF(AD651&gt;$H$28,12-DATEDIF($H$28,AD651+1,"m"),IF(AD651&lt;$H$27,0,DATEDIF($H$27,AD651+1,"m"))))&lt;0,0,IF(Q652+R652+S652+T652+U652+V652+AB652+AC652+AA652+Z652+Y652+X652+W652=12,0,IF(AD651&gt;$H$28,12-DATEDIF($H$28,AD651+1,"m"),IF(AD651&lt;$H$27,0,DATEDIF($H$27,AD651+1,"m")))))</f>
        <v>0</v>
      </c>
      <c r="AE652" s="412">
        <f>IF(IF(Q652+R652+S652+T652+U652+V652+W652+AC652+AD652+AB652+AA652+Z652+Y652+X652=12,0,IF(AE651&gt;$H$28,12-DATEDIF($H$28,AE651+1,"m"),IF(AE651&lt;$H$27,0,DATEDIF($H$27,AE651+1,"m"))))&lt;0,0,IF(Q652+R652+S652+T652+U652+V652+W652+AC652+AD652+AB652+AA652+Z652+Y652+X652=12,0,IF(AE651&gt;$H$28,12-DATEDIF($H$28,AE651+1,"m"),IF(AE651&lt;$H$27,0,DATEDIF($H$27,AE651+1,"m")))))</f>
        <v>0</v>
      </c>
      <c r="AF652" s="412">
        <f>IF(IF(Q652+R652+S652+T652+U652+V652+W652+X652+AD652+AE652+AC652+AB652+AA652+Z652+Y652=12,0,IF(AF651&gt;$H$28,12-DATEDIF($H$28,AF651+1,"m"),IF(AF651&lt;$H$27,0,DATEDIF($H$27,AF651+1,"m"))))&lt;0,0,IF(Q652+R652+S652+T652+U652+V652+W652+X652+AD652+AE652+AC652+AB652+AA652+Z652+Y652=12,0,IF(AF651&gt;$H$28,12-DATEDIF($H$28,AF651+1,"m"),IF(AF651&lt;$H$27,0,DATEDIF($H$27,AF651+1,"m")))))</f>
        <v>0</v>
      </c>
      <c r="AG652" s="412">
        <f>IF(IF(Q652+R652+S652+T652+U652+V652+W652+X652+Y652+AE652+AF652+AD652+AC652+AB652+AA652+Z652=12,0,IF(AG651&gt;$H$28,12-DATEDIF($H$28,AG651+1,"m"),IF(AG651&lt;$H$27,0,DATEDIF($H$27,AG651+1,"m"))))&lt;0,0,IF(Q652+R652+S652+T652+U652+V652+W652+X652+Y652+AE652+AF652+AD652+AC652+AB652+AA652+Z652=12,0,IF(AG651&gt;$H$28,12-DATEDIF($H$28,AG651+1,"m"),IF(AG651&lt;$H$27,0,DATEDIF($H$27,AG651+1,"m")))))</f>
        <v>0</v>
      </c>
      <c r="AH652" s="423">
        <f>SUM(Q652:AG652)</f>
        <v>0</v>
      </c>
      <c r="AI652" s="425">
        <f t="shared" si="290"/>
        <v>0</v>
      </c>
      <c r="AJ652" s="425">
        <f t="shared" si="290"/>
        <v>0</v>
      </c>
      <c r="AK652" s="425">
        <f t="shared" si="290"/>
        <v>0</v>
      </c>
      <c r="AL652" s="425">
        <f t="shared" si="290"/>
        <v>0</v>
      </c>
      <c r="AM652" s="425">
        <f t="shared" si="290"/>
        <v>0</v>
      </c>
      <c r="AN652" s="425">
        <f t="shared" si="290"/>
        <v>0</v>
      </c>
      <c r="AO652" s="425">
        <f t="shared" si="290"/>
        <v>0</v>
      </c>
      <c r="AP652" s="425">
        <f t="shared" si="290"/>
        <v>0</v>
      </c>
      <c r="AQ652" s="425">
        <f t="shared" si="290"/>
        <v>0</v>
      </c>
      <c r="AR652" s="425">
        <f t="shared" si="290"/>
        <v>0</v>
      </c>
      <c r="AS652" s="425">
        <f t="shared" si="291"/>
        <v>0</v>
      </c>
      <c r="AT652" s="425">
        <f t="shared" si="291"/>
        <v>0</v>
      </c>
      <c r="AU652" s="425">
        <f t="shared" si="291"/>
        <v>0</v>
      </c>
      <c r="AV652" s="425">
        <f t="shared" si="291"/>
        <v>0</v>
      </c>
      <c r="AW652" s="425">
        <f t="shared" si="291"/>
        <v>0</v>
      </c>
      <c r="AX652" s="425">
        <f t="shared" si="291"/>
        <v>0</v>
      </c>
      <c r="AY652" s="425">
        <f t="shared" si="291"/>
        <v>0</v>
      </c>
      <c r="AZ652" s="425">
        <f>SUM(AI652:AY652)</f>
        <v>0</v>
      </c>
    </row>
    <row r="653" spans="17:52" hidden="1">
      <c r="Q653" s="412">
        <f>IF(Q652=0,0,(IF(($B$220+$C$220+$D$220+$E$220+$F$220+$G$220+$H$220)&lt;=25000,(($H$220/+$AH652)*Q652)*VLOOKUP('1. SUMMARY'!$C$20,rate,Sheet1!T$21,0),((IF(($F$220+$B$220+$C$220+$D$220+$E$220+$G$220)&gt;=25000,0,(((25000-($B$220+$C$220+$D$220+$E$220+$F$220+$G$220))/+$AH652)*Q652)*(VLOOKUP('1. SUMMARY'!$C$20,rate,Sheet1!T$21,0))))))))</f>
        <v>0</v>
      </c>
      <c r="R653" s="412">
        <f>IF(R652=0,0,(IF(($B$220+$C$220+$D$220+$E$220+$F$220+$G$220+$H$220)&lt;=25000,(($H$220/+$AH652)*R652)*VLOOKUP('1. SUMMARY'!$C$20,rate,Sheet1!U$21,0),((IF(($F$220+$B$220+$C$220+$D$220+$E$220+$G$220)&gt;=25000,0,(((25000-($B$220+$C$220+$D$220+$E$220+$F$220+$G$220))/+$AH652)*R652)*(VLOOKUP('1. SUMMARY'!$C$20,rate,Sheet1!U$21,0))))))))</f>
        <v>0</v>
      </c>
      <c r="S653" s="412">
        <f>IF(S652=0,0,(IF(($B$220+$C$220+$D$220+$E$220+$F$220+$G$220+$H$220)&lt;=25000,(($H$220/+$AH652)*S652)*VLOOKUP('1. SUMMARY'!$C$20,rate,Sheet1!V$21,0),((IF(($F$220+$B$220+$C$220+$D$220+$E$220+$G$220)&gt;=25000,0,(((25000-($B$220+$C$220+$D$220+$E$220+$F$220+$G$220))/+$AH652)*S652)*(VLOOKUP('1. SUMMARY'!$C$20,rate,Sheet1!V$21,0))))))))</f>
        <v>0</v>
      </c>
      <c r="T653" s="412">
        <f>IF(T652=0,0,(IF(($B$220+$C$220+$D$220+$E$220+$F$220+$G$220+$H$220)&lt;=25000,(($H$220/+$AH652)*T652)*VLOOKUP('1. SUMMARY'!$C$20,rate,Sheet1!W$21,0),((IF(($F$220+$B$220+$C$220+$D$220+$E$220+$G$220)&gt;=25000,0,(((25000-($B$220+$C$220+$D$220+$E$220+$F$220+$G$220))/+$AH652)*T652)*(VLOOKUP('1. SUMMARY'!$C$20,rate,Sheet1!W$21,0))))))))</f>
        <v>0</v>
      </c>
      <c r="U653" s="412">
        <f>IF(U652=0,0,(IF(($B$220+$C$220+$D$220+$E$220+$F$220+$G$220+$H$220)&lt;=25000,(($H$220/+$AH652)*U652)*VLOOKUP('1. SUMMARY'!$C$20,rate,Sheet1!X$21,0),((IF(($F$220+$B$220+$C$220+$D$220+$E$220+$G$220)&gt;=25000,0,(((25000-($B$220+$C$220+$D$220+$E$220+$F$220+$G$220))/+$AH652)*U652)*(VLOOKUP('1. SUMMARY'!$C$20,rate,Sheet1!X$21,0))))))))</f>
        <v>0</v>
      </c>
      <c r="V653" s="412">
        <f>IF(V652=0,0,(IF(($B$220+$C$220+$D$220+$E$220+$F$220+$G$220+$H$220)&lt;=25000,(($H$220/+$AH652)*V652)*VLOOKUP('1. SUMMARY'!$C$20,rate,Sheet1!Y$21,0),((IF(($F$220+$B$220+$C$220+$D$220+$E$220+$G$220)&gt;=25000,0,(((25000-($B$220+$C$220+$D$220+$E$220+$F$220+$G$220))/+$AH652)*V652)*(VLOOKUP('1. SUMMARY'!$C$20,rate,Sheet1!Y$21,0))))))))</f>
        <v>0</v>
      </c>
      <c r="W653" s="412">
        <f>IF(W652=0,0,(IF(($B$220+$C$220+$D$220+$E$220+$F$220+$G$220+$H$220)&lt;=25000,(($H$220/+$AH652)*W652)*VLOOKUP('1. SUMMARY'!$C$20,rate,Sheet1!Z$21,0),((IF(($F$220+$B$220+$C$220+$D$220+$E$220+$G$220)&gt;=25000,0,(((25000-($B$220+$C$220+$D$220+$E$220+$F$220+$G$220))/+$AH652)*W652)*(VLOOKUP('1. SUMMARY'!$C$20,rate,Sheet1!Z$21,0))))))))</f>
        <v>0</v>
      </c>
      <c r="X653" s="412">
        <f>IF(X652=0,0,(IF(($B$220+$C$220+$D$220+$E$220+$F$220+$G$220+$H$220)&lt;=25000,(($H$220/+$AH652)*X652)*VLOOKUP('1. SUMMARY'!$C$20,rate,Sheet1!AA$21,0),((IF(($F$220+$B$220+$C$220+$D$220+$E$220+$G$220)&gt;=25000,0,(((25000-($B$220+$C$220+$D$220+$E$220+$F$220+$G$220))/+$AH652)*X652)*(VLOOKUP('1. SUMMARY'!$C$20,rate,Sheet1!AA$21,0))))))))</f>
        <v>0</v>
      </c>
      <c r="Y653" s="412">
        <f>IF(Y652=0,0,(IF(($B$220+$C$220+$D$220+$E$220+$F$220+$G$220+$H$220)&lt;=25000,(($H$220/+$AH652)*Y652)*VLOOKUP('1. SUMMARY'!$C$20,rate,Sheet1!AB$21,0),((IF(($F$220+$B$220+$C$220+$D$220+$E$220+$G$220)&gt;=25000,0,(((25000-($B$220+$C$220+$D$220+$E$220+$F$220+$G$220))/+$AH652)*Y652)*(VLOOKUP('1. SUMMARY'!$C$20,rate,Sheet1!AB$21,0))))))))</f>
        <v>0</v>
      </c>
      <c r="Z653" s="412">
        <f>IF(Z652=0,0,(IF(($B$220+$C$220+$D$220+$E$220+$F$220+$G$220+$H$220)&lt;=25000,(($H$220/+$AH652)*Z652)*VLOOKUP('1. SUMMARY'!$C$20,rate,Sheet1!AC$21,0),((IF(($F$220+$B$220+$C$220+$D$220+$E$220+$G$220)&gt;=25000,0,(((25000-($B$220+$C$220+$D$220+$E$220+$F$220+$G$220))/+$AH652)*Z652)*(VLOOKUP('1. SUMMARY'!$C$20,rate,Sheet1!AC$21,0))))))))</f>
        <v>0</v>
      </c>
      <c r="AA653" s="412">
        <f>IF(AA652=0,0,(IF(($B$220+$C$220+$D$220+$E$220+$F$220+$G$220+$H$220)&lt;=25000,(($H$220/+$AH652)*AA652)*VLOOKUP('1. SUMMARY'!$C$20,rate,Sheet1!AD$21,0),((IF(($F$220+$B$220+$C$220+$D$220+$E$220+$G$220)&gt;=25000,0,(((25000-($B$220+$C$220+$D$220+$E$220+$F$220+$G$220))/+$AH652)*AA652)*(VLOOKUP('1. SUMMARY'!$C$20,rate,Sheet1!AD$21,0))))))))</f>
        <v>0</v>
      </c>
      <c r="AB653" s="412">
        <f>IF(AB652=0,0,(IF(($B$220+$C$220+$D$220+$E$220+$F$220+$G$220+$H$220)&lt;=25000,(($H$220/+$AH652)*AB652)*VLOOKUP('1. SUMMARY'!$C$20,rate,Sheet1!AE$21,0),((IF(($F$220+$B$220+$C$220+$D$220+$E$220+$G$220)&gt;=25000,0,(((25000-($B$220+$C$220+$D$220+$E$220+$F$220+$G$220))/+$AH652)*AB652)*(VLOOKUP('1. SUMMARY'!$C$20,rate,Sheet1!AE$21,0))))))))</f>
        <v>0</v>
      </c>
      <c r="AC653" s="412">
        <f>IF(AC652=0,0,(IF(($B$220+$C$220+$D$220+$E$220+$F$220+$G$220+$H$220)&lt;=25000,(($H$220/+$AH652)*AC652)*VLOOKUP('1. SUMMARY'!$C$20,rate,Sheet1!AF$21,0),((IF(($F$220+$B$220+$C$220+$D$220+$E$220+$G$220)&gt;=25000,0,(((25000-($B$220+$C$220+$D$220+$E$220+$F$220+$G$220))/+$AH652)*AC652)*(VLOOKUP('1. SUMMARY'!$C$20,rate,Sheet1!AF$21,0))))))))</f>
        <v>0</v>
      </c>
      <c r="AD653" s="412">
        <f>IF(AD652=0,0,(IF(($B$220+$C$220+$D$220+$E$220+$F$220+$G$220+$H$220)&lt;=25000,(($H$220/+$AH652)*AD652)*VLOOKUP('1. SUMMARY'!$C$20,rate,Sheet1!AG$21,0),((IF(($F$220+$B$220+$C$220+$D$220+$E$220+$G$220)&gt;=25000,0,(((25000-($B$220+$C$220+$D$220+$E$220+$F$220+$G$220))/+$AH652)*AD652)*(VLOOKUP('1. SUMMARY'!$C$20,rate,Sheet1!AG$21,0))))))))</f>
        <v>0</v>
      </c>
      <c r="AE653" s="412">
        <f>IF(AE652=0,0,(IF(($B$220+$C$220+$D$220+$E$220+$F$220+$G$220+$H$220)&lt;=25000,(($H$220/+$AH652)*AE652)*VLOOKUP('1. SUMMARY'!$C$20,rate,Sheet1!AH$21,0),((IF(($F$220+$B$220+$C$220+$D$220+$E$220+$G$220)&gt;=25000,0,(((25000-($B$220+$C$220+$D$220+$E$220+$F$220+$G$220))/+$AH652)*AE652)*(VLOOKUP('1. SUMMARY'!$C$20,rate,Sheet1!AH$21,0))))))))</f>
        <v>0</v>
      </c>
      <c r="AF653" s="412">
        <f>IF(AF652=0,0,(IF(($B$220+$C$220+$D$220+$E$220+$F$220+$G$220+$H$220)&lt;=25000,(($H$220/+$AH652)*AF652)*VLOOKUP('1. SUMMARY'!$C$20,rate,Sheet1!AI$21,0),((IF(($F$220+$B$220+$C$220+$D$220+$E$220+$G$220)&gt;=25000,0,(((25000-($B$220+$C$220+$D$220+$E$220+$F$220+$G$220))/+$AH652)*AF652)*(VLOOKUP('1. SUMMARY'!$C$20,rate,Sheet1!AI$21,0))))))))</f>
        <v>0</v>
      </c>
      <c r="AG653" s="412">
        <f>IF(AG652=0,0,(IF(($B$220+$C$220+$D$220+$E$220+$F$220+$G$220+$H$220)&lt;=25000,(($H$220/+$AH652)*AG652)*VLOOKUP('1. SUMMARY'!$C$20,rate,Sheet1!AJ$21,0),((IF(($F$220+$B$220+$C$220+$D$220+$E$220+$G$220)&gt;=25000,0,(((25000-($B$220+$C$220+$D$220+$E$220+$F$220+$G$220))/+$AH652)*AG652)*(VLOOKUP('1. SUMMARY'!$C$20,rate,Sheet1!AJ$21,0))))))))</f>
        <v>0</v>
      </c>
      <c r="AH653" s="219">
        <f>SUM(Q653:AG653)</f>
        <v>0</v>
      </c>
      <c r="AI653" s="412">
        <f>IF(AI652=0,0,((+$H220/$AZ652)*AI652)*VLOOKUP('1. SUMMARY'!$C$20,rate,Sheet1!T$21,0))</f>
        <v>0</v>
      </c>
      <c r="AJ653" s="412">
        <f>IF(AJ652=0,0,((+$H220/$AZ652)*AJ652)*VLOOKUP('1. SUMMARY'!$C$20,rate,Sheet1!U$21,0))</f>
        <v>0</v>
      </c>
      <c r="AK653" s="412">
        <f>IF(AK652=0,0,((+$H220/$AZ652)*AK652)*VLOOKUP('1. SUMMARY'!$C$20,rate,Sheet1!V$21,0))</f>
        <v>0</v>
      </c>
      <c r="AL653" s="412">
        <f>IF(AL652=0,0,((+$H220/$AZ652)*AL652)*VLOOKUP('1. SUMMARY'!$C$20,rate,Sheet1!W$21,0))</f>
        <v>0</v>
      </c>
      <c r="AM653" s="412">
        <f>IF(AM652=0,0,((+$H220/$AZ652)*AM652)*VLOOKUP('1. SUMMARY'!$C$20,rate,Sheet1!X$21,0))</f>
        <v>0</v>
      </c>
      <c r="AN653" s="412">
        <f>IF(AN652=0,0,((+$H220/$AZ652)*AN652)*VLOOKUP('1. SUMMARY'!$C$20,rate,Sheet1!Y$21,0))</f>
        <v>0</v>
      </c>
      <c r="AO653" s="412">
        <f>IF(AO652=0,0,((+$H220/$AZ652)*AO652)*VLOOKUP('1. SUMMARY'!$C$20,rate,Sheet1!Z$21,0))</f>
        <v>0</v>
      </c>
      <c r="AP653" s="412">
        <f>IF(AP652=0,0,((+$H220/$AZ652)*AP652)*VLOOKUP('1. SUMMARY'!$C$20,rate,Sheet1!AA$21,0))</f>
        <v>0</v>
      </c>
      <c r="AQ653" s="412">
        <f>IF(AQ652=0,0,((+$H220/$AZ652)*AQ652)*VLOOKUP('1. SUMMARY'!$C$20,rate,Sheet1!AB$21,0))</f>
        <v>0</v>
      </c>
      <c r="AR653" s="412">
        <f>IF(AR652=0,0,((+$H220/$AZ652)*AR652)*VLOOKUP('1. SUMMARY'!$C$20,rate,Sheet1!AC$21,0))</f>
        <v>0</v>
      </c>
      <c r="AS653" s="412">
        <f>IF(AS652=0,0,((+$H220/$AZ652)*AS652)*VLOOKUP('1. SUMMARY'!$C$20,rate,Sheet1!AD$21,0))</f>
        <v>0</v>
      </c>
      <c r="AT653" s="412">
        <f>IF(AT652=0,0,((+$H220/$AZ652)*AT652)*VLOOKUP('1. SUMMARY'!$C$20,rate,Sheet1!AE$21,0))</f>
        <v>0</v>
      </c>
      <c r="AU653" s="412">
        <f>IF(AU652=0,0,((+$H220/$AZ652)*AU652)*VLOOKUP('1. SUMMARY'!$C$20,rate,Sheet1!AF$21,0))</f>
        <v>0</v>
      </c>
      <c r="AV653" s="412">
        <f>IF(AV652=0,0,((+$H220/$AZ652)*AV652)*VLOOKUP('1. SUMMARY'!$C$20,rate,Sheet1!AG$21,0))</f>
        <v>0</v>
      </c>
      <c r="AW653" s="412">
        <f>IF(AW652=0,0,((+$H220/$AZ652)*AW652)*VLOOKUP('1. SUMMARY'!$C$20,rate,Sheet1!AH$21,0))</f>
        <v>0</v>
      </c>
      <c r="AX653" s="412">
        <f>IF(AX652=0,0,((+$H220/$AZ652)*AX652)*VLOOKUP('1. SUMMARY'!$C$20,rate,Sheet1!AI$21,0))</f>
        <v>0</v>
      </c>
      <c r="AY653" s="412">
        <f>IF(AY652=0,0,((+$H220/$AZ652)*AY652)*VLOOKUP('1. SUMMARY'!$C$20,rate,Sheet1!AJ$21,0))</f>
        <v>0</v>
      </c>
      <c r="AZ653" s="412">
        <f>SUM(AI653:AY653)</f>
        <v>0</v>
      </c>
    </row>
    <row r="654" spans="17:52" hidden="1">
      <c r="Q654" s="412">
        <f>+Q653/VLOOKUP('1. SUMMARY'!$C$20,rate,Sheet1!T$21,0)</f>
        <v>0</v>
      </c>
      <c r="R654" s="412">
        <f>+R653/VLOOKUP('1. SUMMARY'!$C$20,rate,Sheet1!U$21,0)</f>
        <v>0</v>
      </c>
      <c r="S654" s="412">
        <f>+S653/VLOOKUP('1. SUMMARY'!$C$20,rate,Sheet1!V$21,0)</f>
        <v>0</v>
      </c>
      <c r="T654" s="412">
        <f>+T653/VLOOKUP('1. SUMMARY'!$C$20,rate,Sheet1!W$21,0)</f>
        <v>0</v>
      </c>
      <c r="U654" s="412">
        <f>+U653/VLOOKUP('1. SUMMARY'!$C$20,rate,Sheet1!X$21,0)</f>
        <v>0</v>
      </c>
      <c r="V654" s="412">
        <f>+V653/VLOOKUP('1. SUMMARY'!$C$20,rate,Sheet1!Y$21,0)</f>
        <v>0</v>
      </c>
      <c r="W654" s="412">
        <f>+W653/VLOOKUP('1. SUMMARY'!$C$20,rate,Sheet1!Z$21,0)</f>
        <v>0</v>
      </c>
      <c r="X654" s="412">
        <f>+X653/VLOOKUP('1. SUMMARY'!$C$20,rate,Sheet1!AA$21,0)</f>
        <v>0</v>
      </c>
      <c r="Y654" s="412">
        <f>+Y653/VLOOKUP('1. SUMMARY'!$C$20,rate,Sheet1!AB$21,0)</f>
        <v>0</v>
      </c>
      <c r="Z654" s="412">
        <f>+Z653/VLOOKUP('1. SUMMARY'!$C$20,rate,Sheet1!AC$21,0)</f>
        <v>0</v>
      </c>
      <c r="AA654" s="412">
        <f>+AA653/VLOOKUP('1. SUMMARY'!$C$20,rate,Sheet1!AD$21,0)</f>
        <v>0</v>
      </c>
      <c r="AB654" s="412">
        <f>+AB653/VLOOKUP('1. SUMMARY'!$C$20,rate,Sheet1!AE$21,0)</f>
        <v>0</v>
      </c>
      <c r="AC654" s="412">
        <f>+AC653/VLOOKUP('1. SUMMARY'!$C$20,rate,Sheet1!AF$21,0)</f>
        <v>0</v>
      </c>
      <c r="AD654" s="412">
        <f>+AD653/VLOOKUP('1. SUMMARY'!$C$20,rate,Sheet1!AG$21,0)</f>
        <v>0</v>
      </c>
      <c r="AE654" s="412">
        <f>+AE653/VLOOKUP('1. SUMMARY'!$C$20,rate,Sheet1!AH$21,0)</f>
        <v>0</v>
      </c>
      <c r="AF654" s="412">
        <f>+AF653/VLOOKUP('1. SUMMARY'!$C$20,rate,Sheet1!AI$21,0)</f>
        <v>0</v>
      </c>
      <c r="AG654" s="412">
        <f>+AG653/VLOOKUP('1. SUMMARY'!$C$20,rate,Sheet1!AJ$21,0)</f>
        <v>0</v>
      </c>
      <c r="AH654" s="219">
        <f>SUM(Q654:AG654)</f>
        <v>0</v>
      </c>
      <c r="AI654" s="412"/>
      <c r="AJ654" s="412"/>
      <c r="AK654" s="412"/>
      <c r="AL654" s="412"/>
      <c r="AM654" s="412"/>
      <c r="AN654" s="412"/>
      <c r="AO654" s="412"/>
      <c r="AP654" s="412"/>
      <c r="AQ654" s="412"/>
      <c r="AR654" s="412"/>
      <c r="AS654" s="412"/>
      <c r="AT654" s="412"/>
      <c r="AU654" s="412"/>
      <c r="AV654" s="412"/>
      <c r="AW654" s="412"/>
      <c r="AX654" s="412"/>
      <c r="AY654" s="412"/>
      <c r="AZ654" s="412"/>
    </row>
    <row r="655" spans="17:52" hidden="1">
      <c r="Q655" s="418">
        <f>Sheet1!$T$8</f>
        <v>44105</v>
      </c>
      <c r="R655" s="418">
        <f>Sheet1!$U$8</f>
        <v>44470</v>
      </c>
      <c r="S655" s="418">
        <f>Sheet1!$V$8</f>
        <v>44835</v>
      </c>
      <c r="T655" s="418">
        <f>Sheet1!$W$8</f>
        <v>45200</v>
      </c>
      <c r="U655" s="418">
        <f>Sheet1!$X$8</f>
        <v>45566</v>
      </c>
      <c r="V655" s="418">
        <f>Sheet1!$Y$8</f>
        <v>45931</v>
      </c>
      <c r="W655" s="418">
        <f>Sheet1!$Z$8</f>
        <v>46296</v>
      </c>
      <c r="X655" s="418">
        <f>Sheet1!$AA$8</f>
        <v>46661</v>
      </c>
      <c r="Y655" s="418">
        <f>Sheet1!$AB$8</f>
        <v>47027</v>
      </c>
      <c r="Z655" s="418">
        <f>Sheet1!$AC$8</f>
        <v>47392</v>
      </c>
      <c r="AA655" s="418">
        <f>$AA$5</f>
        <v>47757</v>
      </c>
      <c r="AB655" s="418">
        <f>$AB$5</f>
        <v>48122</v>
      </c>
      <c r="AC655" s="418">
        <f>$AC$5</f>
        <v>48488</v>
      </c>
      <c r="AD655" s="418">
        <f>$AD$5</f>
        <v>48853</v>
      </c>
      <c r="AE655" s="418">
        <f>$AE$5</f>
        <v>49218</v>
      </c>
      <c r="AF655" s="418">
        <f>$AF$5</f>
        <v>49583</v>
      </c>
      <c r="AG655" s="418">
        <f>$AG$5</f>
        <v>49949</v>
      </c>
      <c r="AH655" s="219"/>
      <c r="AI655" s="418">
        <f t="shared" ref="AI655:AR657" si="292">+Q655</f>
        <v>44105</v>
      </c>
      <c r="AJ655" s="418">
        <f t="shared" si="292"/>
        <v>44470</v>
      </c>
      <c r="AK655" s="418">
        <f t="shared" si="292"/>
        <v>44835</v>
      </c>
      <c r="AL655" s="418">
        <f t="shared" si="292"/>
        <v>45200</v>
      </c>
      <c r="AM655" s="418">
        <f t="shared" si="292"/>
        <v>45566</v>
      </c>
      <c r="AN655" s="418">
        <f t="shared" si="292"/>
        <v>45931</v>
      </c>
      <c r="AO655" s="418">
        <f t="shared" si="292"/>
        <v>46296</v>
      </c>
      <c r="AP655" s="418">
        <f t="shared" si="292"/>
        <v>46661</v>
      </c>
      <c r="AQ655" s="418">
        <f t="shared" si="292"/>
        <v>47027</v>
      </c>
      <c r="AR655" s="418">
        <f t="shared" si="292"/>
        <v>47392</v>
      </c>
      <c r="AS655" s="418">
        <f t="shared" ref="AS655:AY657" si="293">+AA655</f>
        <v>47757</v>
      </c>
      <c r="AT655" s="418">
        <f t="shared" si="293"/>
        <v>48122</v>
      </c>
      <c r="AU655" s="418">
        <f t="shared" si="293"/>
        <v>48488</v>
      </c>
      <c r="AV655" s="418">
        <f t="shared" si="293"/>
        <v>48853</v>
      </c>
      <c r="AW655" s="418">
        <f t="shared" si="293"/>
        <v>49218</v>
      </c>
      <c r="AX655" s="418">
        <f t="shared" si="293"/>
        <v>49583</v>
      </c>
      <c r="AY655" s="418">
        <f t="shared" si="293"/>
        <v>49949</v>
      </c>
      <c r="AZ655" s="418"/>
    </row>
    <row r="656" spans="17:52" hidden="1">
      <c r="Q656" s="418">
        <f>Sheet1!$T$9</f>
        <v>44469</v>
      </c>
      <c r="R656" s="418">
        <f>Sheet1!$U$9</f>
        <v>44834</v>
      </c>
      <c r="S656" s="418">
        <f>Sheet1!$V$9</f>
        <v>45199</v>
      </c>
      <c r="T656" s="418">
        <f>Sheet1!$W$9</f>
        <v>45565</v>
      </c>
      <c r="U656" s="418">
        <f>Sheet1!$X$9</f>
        <v>45930</v>
      </c>
      <c r="V656" s="418">
        <f>Sheet1!$Y$9</f>
        <v>46295</v>
      </c>
      <c r="W656" s="418">
        <f>Sheet1!$Z$9</f>
        <v>46660</v>
      </c>
      <c r="X656" s="418">
        <f>Sheet1!$AA$9</f>
        <v>47026</v>
      </c>
      <c r="Y656" s="418">
        <f>Sheet1!$AB$9</f>
        <v>47391</v>
      </c>
      <c r="Z656" s="418">
        <f>Sheet1!$AC$9</f>
        <v>47756</v>
      </c>
      <c r="AA656" s="418">
        <f>$AA$6</f>
        <v>48121</v>
      </c>
      <c r="AB656" s="418">
        <f>$AB$6</f>
        <v>48487</v>
      </c>
      <c r="AC656" s="418">
        <f>$AC$6</f>
        <v>48852</v>
      </c>
      <c r="AD656" s="418">
        <f>$AD$6</f>
        <v>49217</v>
      </c>
      <c r="AE656" s="418">
        <f>$AE$6</f>
        <v>49582</v>
      </c>
      <c r="AF656" s="418">
        <f>$AF$6</f>
        <v>49948</v>
      </c>
      <c r="AG656" s="418">
        <f>$AG$6</f>
        <v>50313</v>
      </c>
      <c r="AH656" s="219"/>
      <c r="AI656" s="418">
        <f t="shared" si="292"/>
        <v>44469</v>
      </c>
      <c r="AJ656" s="418">
        <f t="shared" si="292"/>
        <v>44834</v>
      </c>
      <c r="AK656" s="418">
        <f t="shared" si="292"/>
        <v>45199</v>
      </c>
      <c r="AL656" s="418">
        <f t="shared" si="292"/>
        <v>45565</v>
      </c>
      <c r="AM656" s="418">
        <f t="shared" si="292"/>
        <v>45930</v>
      </c>
      <c r="AN656" s="418">
        <f t="shared" si="292"/>
        <v>46295</v>
      </c>
      <c r="AO656" s="418">
        <f t="shared" si="292"/>
        <v>46660</v>
      </c>
      <c r="AP656" s="418">
        <f t="shared" si="292"/>
        <v>47026</v>
      </c>
      <c r="AQ656" s="418">
        <f t="shared" si="292"/>
        <v>47391</v>
      </c>
      <c r="AR656" s="418">
        <f t="shared" si="292"/>
        <v>47756</v>
      </c>
      <c r="AS656" s="418">
        <f t="shared" si="293"/>
        <v>48121</v>
      </c>
      <c r="AT656" s="418">
        <f t="shared" si="293"/>
        <v>48487</v>
      </c>
      <c r="AU656" s="418">
        <f t="shared" si="293"/>
        <v>48852</v>
      </c>
      <c r="AV656" s="418">
        <f t="shared" si="293"/>
        <v>49217</v>
      </c>
      <c r="AW656" s="418">
        <f t="shared" si="293"/>
        <v>49582</v>
      </c>
      <c r="AX656" s="418">
        <f t="shared" si="293"/>
        <v>49948</v>
      </c>
      <c r="AY656" s="418">
        <f t="shared" si="293"/>
        <v>50313</v>
      </c>
      <c r="AZ656" s="418"/>
    </row>
    <row r="657" spans="17:52" hidden="1">
      <c r="Q657" s="419">
        <f>IF(IF(Q656&lt;$I$27,0,DATEDIF($I$27,Q656+1,"m"))&lt;0,0,IF(Q656&lt;$I$27,0,DATEDIF($I$27,Q656+1,"m")))</f>
        <v>0</v>
      </c>
      <c r="R657" s="419">
        <f>IF(IF(Q657=12,0,IF(R656&gt;$I$28,12-DATEDIF($I$28,R656+1,"m"),IF(R656&lt;$I$27,0,DATEDIF($I$27,R656+1,"m"))))&lt;0,0,IF(Q657=12,0,IF(R656&gt;$I$28,12-DATEDIF($I$28,R656+1,"m"),IF(R656&lt;$I$27,0,DATEDIF($I$27,R656+1,"m")))))</f>
        <v>0</v>
      </c>
      <c r="S657" s="419">
        <f>IF(IF(Q657+R657=12,0,IF(S656&gt;$I$28,12-DATEDIF($I$28,S656+1,"m"),IF(S656&lt;$I$27,0,DATEDIF($I$27,S656+1,"m"))))&lt;0,0,IF(Q657+R657=12,0,IF(S656&gt;$I$28,12-DATEDIF($I$28,S656+1,"m"),IF(S656&lt;$I$27,0,DATEDIF($I$27,S656+1,"m")))))</f>
        <v>0</v>
      </c>
      <c r="T657" s="419">
        <f>IF(IF(R657+S657+Q657=12,0,IF(T656&gt;$I$28,12-DATEDIF($I$28,T656+1,"m"),IF(T656&lt;$I$27,0,DATEDIF($I$27,T656+1,"m"))))&lt;0,0,IF(R657+S657+Q657=12,0,IF(T656&gt;$I$28,12-DATEDIF($I$28,T656+1,"m"),IF(T656&lt;$I$27,0,DATEDIF($I$27,T656+1,"m")))))</f>
        <v>0</v>
      </c>
      <c r="U657" s="419">
        <f>IF(IF(S657+T657+R657+Q657=12,0,IF(U656&gt;$I$28,12-DATEDIF($I$28,U656+1,"m"),IF(U656&lt;$I$27,0,DATEDIF($I$27,U656+1,"m"))))&lt;0,0,IF(S657+T657+R657+Q657=12,0,IF(U656&gt;$I$28,12-DATEDIF($I$28,U656+1,"m"),IF(U656&lt;$I$27,0,DATEDIF($I$27,U656+1,"m")))))</f>
        <v>0</v>
      </c>
      <c r="V657" s="419">
        <f>IF(IF(T657+U657+S657+R657+Q657=12,0,IF(V656&gt;$I$28,12-DATEDIF($I$28,V656+1,"m"),IF(V656&lt;$I$27,0,DATEDIF($I$27,V656+1,"m"))))&lt;0,0,IF(T657+U657+S657+R657+Q657=12,0,IF(V656&gt;$I$28,12-DATEDIF($I$28,V656+1,"m"),IF(V656&lt;$I$27,0,DATEDIF($I$27,V656+1,"m")))))</f>
        <v>0</v>
      </c>
      <c r="W657" s="419">
        <f>IF(IF(U657+V657+T657+S657+R657+Q657=12,0,IF(W656&gt;$I$28,12-DATEDIF($I$28,W656+1,"m"),IF(W656&lt;$I$27,0,DATEDIF($I$27,W656+1,"m"))))&lt;0,0,IF(U657+V657+T657+S657+R657+Q657=12,0,IF(W656&gt;$I$28,12-DATEDIF($I$28,W656+1,"m"),IF(W656&lt;$I$27,0,DATEDIF($I$27,W656+1,"m")))))</f>
        <v>0</v>
      </c>
      <c r="X657" s="419">
        <f>IF(IF(V657+W657+U657+T657+S657+R657+Q657=12,0,IF(X656&gt;$I$28,12-DATEDIF($I$28,X656+1,"m"),IF(X656&lt;$I$27,0,DATEDIF($I$27,X656+1,"m"))))&lt;0,0,IF(V657+W657+U657+T657+S657+R657+Q657=12,0,IF(X656&gt;$I$28,12-DATEDIF($I$28,X656+1,"m"),IF(X656&lt;$I$27,0,DATEDIF($I$27,X656+1,"m")))))</f>
        <v>0</v>
      </c>
      <c r="Y657" s="419">
        <f>IF(IF(W657+X657+V657+U657+T657+S657+R657+Q657=12,0,IF(Y656&gt;$I$28,12-DATEDIF($I$28,Y656+1,"m"),IF(Y656&lt;$I$27,0,DATEDIF($I$27,Y656+1,"m"))))&lt;0,0,IF(W657+X657+V657+U657+T657+S657+R657+Q657=12,0,IF(Y656&gt;$I$28,12-DATEDIF($I$28,Y656+1,"m"),IF(Y656&lt;$I$27,0,DATEDIF($I$27,Y656+1,"m")))))</f>
        <v>0</v>
      </c>
      <c r="Z657" s="419">
        <f>IF(IF(X657+Y657+W657+V657+U657+T657+S657+R657+Q657=12,0,IF(Z656&gt;$I$28,12-DATEDIF($I$28,Z656+1,"m"),IF(Z656&lt;$I$27,0,DATEDIF($I$27,Z656+1,"m"))))&lt;0,0,IF(X657+Y657+W657+V657+U657+T657+S657+R657+Q657=12,0,IF(Z656&gt;$I$28,12-DATEDIF($I$28,Z656+1,"m"),IF(Z656&lt;$I$27,0,DATEDIF($I$27,Z656+1,"m")))))</f>
        <v>0</v>
      </c>
      <c r="AA657" s="419">
        <f>IF(IF(Q657+R657+S657+Y657+Z657+X657+W657+V657+U657+T657=12,0,IF(AA656&gt;$I$28,12-DATEDIF($I$28,AA656+1,"m"),IF(AA656&lt;$I$27,0,DATEDIF($I$27,AA656+1,"m"))))&lt;0,0,IF(Q657+R657+S657+Y657+Z657+X657+W657+V657+U657+T657=12,0,IF(AA656&gt;$I$28,12-DATEDIF($I$28,AA656+1,"m"),IF(AA656&lt;$I$27,0,DATEDIF($I$27,AA656+1,"m")))))</f>
        <v>0</v>
      </c>
      <c r="AB657" s="419">
        <f>IF(IF(Q657+R657+S657+T657+Z657+AA657+Y657+X657+W657+V657+U657=12,0,IF(AB656&gt;$I$28,12-DATEDIF($I$28,AB656+1,"m"),IF(AB656&lt;$I$27,0,DATEDIF($I$27,AB656+1,"m"))))&lt;0,0,IF(Q657+R657+S657+T657+Z657+AA657+Y657+X657+W657+V657+U657=12,0,IF(AB656&gt;$I$28,12-DATEDIF($I$28,AB656+1,"m"),IF(AB656&lt;$I$27,0,DATEDIF($I$27,AB656+1,"m")))))</f>
        <v>0</v>
      </c>
      <c r="AC657" s="419">
        <f>IF(IF(Q657+R657+S657+T657+U657+AA657+AB657+Z657+Y657+X657+W657+V657=12,0,IF(AC656&gt;$I$28,12-DATEDIF($I$28,AC656+1,"m"),IF(AC656&lt;$I$27,0,DATEDIF($I$27,AC656+1,"m"))))&lt;0,0,IF(Q657+R657+S657+T657+U657+AA657+AB657+Z657+Y657+X657+W657+V657=12,0,IF(AC656&gt;$I$28,12-DATEDIF($I$28,AC656+1,"m"),IF(AC656&lt;$I$27,0,DATEDIF($I$27,AC656+1,"m")))))</f>
        <v>0</v>
      </c>
      <c r="AD657" s="419">
        <f>IF(IF(Q657+R657+S657+T657+U657+V657+AB657+AC657+AA657+Z657+Y657+X657+W657=12,0,IF(AD656&gt;$I$28,12-DATEDIF($I$28,AD656+1,"m"),IF(AD656&lt;$I$27,0,DATEDIF($I$27,AD656+1,"m"))))&lt;0,0,IF(Q657+R657+S657+T657+U657+V657+AB657+AC657+AA657+Z657+Y657+X657+W657=12,0,IF(AD656&gt;$I$28,12-DATEDIF($I$28,AD656+1,"m"),IF(AD656&lt;$I$27,0,DATEDIF($I$27,AD656+1,"m")))))</f>
        <v>0</v>
      </c>
      <c r="AE657" s="419">
        <f>IF(IF(Q657+R657+S657+T657+U657+V657+W657+AC657+AD657+AB657+AA657+Z657+Y657+X657=12,0,IF(AE656&gt;$I$28,12-DATEDIF($I$28,AE656+1,"m"),IF(AE656&lt;$I$27,0,DATEDIF($I$27,AE656+1,"m"))))&lt;0,0,IF(Q657+R657+S657+T657+U657+V657+W657+AC657+AD657+AB657+AA657+Z657+Y657+X657=12,0,IF(AE656&gt;$I$28,12-DATEDIF($I$28,AE656+1,"m"),IF(AE656&lt;$I$27,0,DATEDIF($I$27,AE656+1,"m")))))</f>
        <v>0</v>
      </c>
      <c r="AF657" s="419">
        <f>IF(IF(Q657+R657+S657+T657+U657+V657+W657+X657+AD657+AE657+AC657+AB657+AA657+Z657+Y657=12,0,IF(AF656&gt;$I$28,12-DATEDIF($I$28,AF656+1,"m"),IF(AF656&lt;$I$27,0,DATEDIF($I$27,AF656+1,"m"))))&lt;0,0,IF(Q657+R657+S657+T657+U657+V657+W657+X657+AD657+AE657+AC657+AB657+AA657+Z657+Y657=12,0,IF(AF656&gt;$I$28,12-DATEDIF($I$28,AF656+1,"m"),IF(AF656&lt;$I$27,0,DATEDIF($I$27,AF656+1,"m")))))</f>
        <v>0</v>
      </c>
      <c r="AG657" s="419">
        <f>IF(IF(Q657+R657+S657+T657+U657+V657+W657+X657+Y657+AE657+AF657+AD657+AC657+AB657+AA657+Z657=12,0,IF(AG656&gt;$I$28,12-DATEDIF($I$28,AG656+1,"m"),IF(AG656&lt;$I$27,0,DATEDIF($I$27,AG656+1,"m"))))&lt;0,0,IF(Q657+R657+S657+T657+U657+V657+W657+X657+Y657+AE657+AF657+AD657+AC657+AB657+AA657+Z657=12,0,IF(AG656&gt;$I$28,12-DATEDIF($I$28,AG656+1,"m"),IF(AG656&lt;$I$27,0,DATEDIF($I$27,AG656+1,"m")))))</f>
        <v>0</v>
      </c>
      <c r="AH657" s="423">
        <f>SUM(Q657:AG657)</f>
        <v>0</v>
      </c>
      <c r="AI657" s="426">
        <f t="shared" si="292"/>
        <v>0</v>
      </c>
      <c r="AJ657" s="426">
        <f t="shared" si="292"/>
        <v>0</v>
      </c>
      <c r="AK657" s="426">
        <f t="shared" si="292"/>
        <v>0</v>
      </c>
      <c r="AL657" s="426">
        <f t="shared" si="292"/>
        <v>0</v>
      </c>
      <c r="AM657" s="426">
        <f t="shared" si="292"/>
        <v>0</v>
      </c>
      <c r="AN657" s="426">
        <f t="shared" si="292"/>
        <v>0</v>
      </c>
      <c r="AO657" s="426">
        <f t="shared" si="292"/>
        <v>0</v>
      </c>
      <c r="AP657" s="426">
        <f t="shared" si="292"/>
        <v>0</v>
      </c>
      <c r="AQ657" s="426">
        <f t="shared" si="292"/>
        <v>0</v>
      </c>
      <c r="AR657" s="426">
        <f t="shared" si="292"/>
        <v>0</v>
      </c>
      <c r="AS657" s="426">
        <f t="shared" si="293"/>
        <v>0</v>
      </c>
      <c r="AT657" s="426">
        <f t="shared" si="293"/>
        <v>0</v>
      </c>
      <c r="AU657" s="426">
        <f t="shared" si="293"/>
        <v>0</v>
      </c>
      <c r="AV657" s="426">
        <f t="shared" si="293"/>
        <v>0</v>
      </c>
      <c r="AW657" s="426">
        <f t="shared" si="293"/>
        <v>0</v>
      </c>
      <c r="AX657" s="426">
        <f t="shared" si="293"/>
        <v>0</v>
      </c>
      <c r="AY657" s="426">
        <f t="shared" si="293"/>
        <v>0</v>
      </c>
      <c r="AZ657" s="426">
        <f>SUM(AI657:AY657)</f>
        <v>0</v>
      </c>
    </row>
    <row r="658" spans="17:52" hidden="1">
      <c r="Q658" s="419">
        <f>IF(Q657=0,0,(IF(($B$220+$C$220+$D$220+$E$220+$F$220+$G$220+$H$220+$I$220)&lt;=25000,(($I$220/+$AH657)*Q657)*VLOOKUP('1. SUMMARY'!$C$20,rate,Sheet1!T$21,0),((IF(($F$220+$B$220+$C$220+$D$220+$E$220+$G$220+$H$220)&gt;=25000,0,(((25000-($B$220+$C$220+$D$220+$E$220+$F$220+$G$220+$H$220))/+$AH657)*Q657)*(VLOOKUP('1. SUMMARY'!$C$20,rate,Sheet1!T$21,0))))))))</f>
        <v>0</v>
      </c>
      <c r="R658" s="419">
        <f>IF(R657=0,0,(IF(($B$220+$C$220+$D$220+$E$220+$F$220+$G$220+$H$220+$I$220)&lt;=25000,(($I$220/+$AH657)*R657)*VLOOKUP('1. SUMMARY'!$C$20,rate,Sheet1!U$21,0),((IF(($F$220+$B$220+$C$220+$D$220+$E$220+$G$220+$H$220)&gt;=25000,0,(((25000-($B$220+$C$220+$D$220+$E$220+$F$220+$G$220+$H$220))/+$AH657)*R657)*(VLOOKUP('1. SUMMARY'!$C$20,rate,Sheet1!U$21,0))))))))</f>
        <v>0</v>
      </c>
      <c r="S658" s="419">
        <f>IF(S657=0,0,(IF(($B$220+$C$220+$D$220+$E$220+$F$220+$G$220+$H$220+$I$220)&lt;=25000,(($I$220/+$AH657)*S657)*VLOOKUP('1. SUMMARY'!$C$20,rate,Sheet1!V$21,0),((IF(($F$220+$B$220+$C$220+$D$220+$E$220+$G$220+$H$220)&gt;=25000,0,(((25000-($B$220+$C$220+$D$220+$E$220+$F$220+$G$220+$H$220))/+$AH657)*S657)*(VLOOKUP('1. SUMMARY'!$C$20,rate,Sheet1!V$21,0))))))))</f>
        <v>0</v>
      </c>
      <c r="T658" s="419">
        <f>IF(T657=0,0,(IF(($B$220+$C$220+$D$220+$E$220+$F$220+$G$220+$H$220+$I$220)&lt;=25000,(($I$220/+$AH657)*T657)*VLOOKUP('1. SUMMARY'!$C$20,rate,Sheet1!W$21,0),((IF(($F$220+$B$220+$C$220+$D$220+$E$220+$G$220+$H$220)&gt;=25000,0,(((25000-($B$220+$C$220+$D$220+$E$220+$F$220+$G$220+$H$220))/+$AH657)*T657)*(VLOOKUP('1. SUMMARY'!$C$20,rate,Sheet1!W$21,0))))))))</f>
        <v>0</v>
      </c>
      <c r="U658" s="419">
        <f>IF(U657=0,0,(IF(($B$220+$C$220+$D$220+$E$220+$F$220+$G$220+$H$220+$I$220)&lt;=25000,(($I$220/+$AH657)*U657)*VLOOKUP('1. SUMMARY'!$C$20,rate,Sheet1!X$21,0),((IF(($F$220+$B$220+$C$220+$D$220+$E$220+$G$220+$H$220)&gt;=25000,0,(((25000-($B$220+$C$220+$D$220+$E$220+$F$220+$G$220+$H$220))/+$AH657)*U657)*(VLOOKUP('1. SUMMARY'!$C$20,rate,Sheet1!X$21,0))))))))</f>
        <v>0</v>
      </c>
      <c r="V658" s="419">
        <f>IF(V657=0,0,(IF(($B$220+$C$220+$D$220+$E$220+$F$220+$G$220+$H$220+$I$220)&lt;=25000,(($I$220/+$AH657)*V657)*VLOOKUP('1. SUMMARY'!$C$20,rate,Sheet1!Y$21,0),((IF(($F$220+$B$220+$C$220+$D$220+$E$220+$G$220+$H$220)&gt;=25000,0,(((25000-($B$220+$C$220+$D$220+$E$220+$F$220+$G$220+$H$220))/+$AH657)*V657)*(VLOOKUP('1. SUMMARY'!$C$20,rate,Sheet1!Y$21,0))))))))</f>
        <v>0</v>
      </c>
      <c r="W658" s="419">
        <f>IF(W657=0,0,(IF(($B$220+$C$220+$D$220+$E$220+$F$220+$G$220+$H$220+$I$220)&lt;=25000,(($I$220/+$AH657)*W657)*VLOOKUP('1. SUMMARY'!$C$20,rate,Sheet1!Z$21,0),((IF(($F$220+$B$220+$C$220+$D$220+$E$220+$G$220+$H$220)&gt;=25000,0,(((25000-($B$220+$C$220+$D$220+$E$220+$F$220+$G$220+$H$220))/+$AH657)*W657)*(VLOOKUP('1. SUMMARY'!$C$20,rate,Sheet1!Z$21,0))))))))</f>
        <v>0</v>
      </c>
      <c r="X658" s="419">
        <f>IF(X657=0,0,(IF(($B$220+$C$220+$D$220+$E$220+$F$220+$G$220+$H$220+$I$220)&lt;=25000,(($I$220/+$AH657)*X657)*VLOOKUP('1. SUMMARY'!$C$20,rate,Sheet1!AA$21,0),((IF(($F$220+$B$220+$C$220+$D$220+$E$220+$G$220+$H$220)&gt;=25000,0,(((25000-($B$220+$C$220+$D$220+$E$220+$F$220+$G$220+$H$220))/+$AH657)*X657)*(VLOOKUP('1. SUMMARY'!$C$20,rate,Sheet1!AA$21,0))))))))</f>
        <v>0</v>
      </c>
      <c r="Y658" s="419">
        <f>IF(Y657=0,0,(IF(($B$220+$C$220+$D$220+$E$220+$F$220+$G$220+$H$220+$I$220)&lt;=25000,(($I$220/+$AH657)*Y657)*VLOOKUP('1. SUMMARY'!$C$20,rate,Sheet1!AB$21,0),((IF(($F$220+$B$220+$C$220+$D$220+$E$220+$G$220+$H$220)&gt;=25000,0,(((25000-($B$220+$C$220+$D$220+$E$220+$F$220+$G$220+$H$220))/+$AH657)*Y657)*(VLOOKUP('1. SUMMARY'!$C$20,rate,Sheet1!AB$21,0))))))))</f>
        <v>0</v>
      </c>
      <c r="Z658" s="419">
        <f>IF(Z657=0,0,(IF(($B$220+$C$220+$D$220+$E$220+$F$220+$G$220+$H$220+$I$220)&lt;=25000,(($I$220/+$AH657)*Z657)*VLOOKUP('1. SUMMARY'!$C$20,rate,Sheet1!AC$21,0),((IF(($F$220+$B$220+$C$220+$D$220+$E$220+$G$220+$H$220)&gt;=25000,0,(((25000-($B$220+$C$220+$D$220+$E$220+$F$220+$G$220+$H$220))/+$AH657)*Z657)*(VLOOKUP('1. SUMMARY'!$C$20,rate,Sheet1!AC$21,0))))))))</f>
        <v>0</v>
      </c>
      <c r="AA658" s="419">
        <f>IF(AA657=0,0,(IF(($B$220+$C$220+$D$220+$E$220+$F$220+$G$220+$H$220+$I$220)&lt;=25000,(($I$220/+$AH657)*AA657)*VLOOKUP('1. SUMMARY'!$C$20,rate,Sheet1!AD$21,0),((IF(($F$220+$B$220+$C$220+$D$220+$E$220+$G$220+$H$220)&gt;=25000,0,(((25000-($B$220+$C$220+$D$220+$E$220+$F$220+$G$220+$H$220))/+$AH657)*AA657)*(VLOOKUP('1. SUMMARY'!$C$20,rate,Sheet1!AD$21,0))))))))</f>
        <v>0</v>
      </c>
      <c r="AB658" s="419">
        <f>IF(AB657=0,0,(IF(($B$220+$C$220+$D$220+$E$220+$F$220+$G$220+$H$220+$I$220)&lt;=25000,(($I$220/+$AH657)*AB657)*VLOOKUP('1. SUMMARY'!$C$20,rate,Sheet1!AE$21,0),((IF(($F$220+$B$220+$C$220+$D$220+$E$220+$G$220+$H$220)&gt;=25000,0,(((25000-($B$220+$C$220+$D$220+$E$220+$F$220+$G$220+$H$220))/+$AH657)*AB657)*(VLOOKUP('1. SUMMARY'!$C$20,rate,Sheet1!AE$21,0))))))))</f>
        <v>0</v>
      </c>
      <c r="AC658" s="419">
        <f>IF(AC657=0,0,(IF(($B$220+$C$220+$D$220+$E$220+$F$220+$G$220+$H$220+$I$220)&lt;=25000,(($I$220/+$AH657)*AC657)*VLOOKUP('1. SUMMARY'!$C$20,rate,Sheet1!AF$21,0),((IF(($F$220+$B$220+$C$220+$D$220+$E$220+$G$220+$H$220)&gt;=25000,0,(((25000-($B$220+$C$220+$D$220+$E$220+$F$220+$G$220+$H$220))/+$AH657)*AC657)*(VLOOKUP('1. SUMMARY'!$C$20,rate,Sheet1!AF$21,0))))))))</f>
        <v>0</v>
      </c>
      <c r="AD658" s="419">
        <f>IF(AD657=0,0,(IF(($B$220+$C$220+$D$220+$E$220+$F$220+$G$220+$H$220+$I$220)&lt;=25000,(($I$220/+$AH657)*AD657)*VLOOKUP('1. SUMMARY'!$C$20,rate,Sheet1!AG$21,0),((IF(($F$220+$B$220+$C$220+$D$220+$E$220+$G$220+$H$220)&gt;=25000,0,(((25000-($B$220+$C$220+$D$220+$E$220+$F$220+$G$220+$H$220))/+$AH657)*AD657)*(VLOOKUP('1. SUMMARY'!$C$20,rate,Sheet1!AG$21,0))))))))</f>
        <v>0</v>
      </c>
      <c r="AE658" s="419">
        <f>IF(AE657=0,0,(IF(($B$220+$C$220+$D$220+$E$220+$F$220+$G$220+$H$220+$I$220)&lt;=25000,(($I$220/+$AH657)*AE657)*VLOOKUP('1. SUMMARY'!$C$20,rate,Sheet1!AH$21,0),((IF(($F$220+$B$220+$C$220+$D$220+$E$220+$G$220+$H$220)&gt;=25000,0,(((25000-($B$220+$C$220+$D$220+$E$220+$F$220+$G$220+$H$220))/+$AH657)*AE657)*(VLOOKUP('1. SUMMARY'!$C$20,rate,Sheet1!AH$21,0))))))))</f>
        <v>0</v>
      </c>
      <c r="AF658" s="419">
        <f>IF(AF657=0,0,(IF(($B$220+$C$220+$D$220+$E$220+$F$220+$G$220+$H$220+$I$220)&lt;=25000,(($I$220/+$AH657)*AF657)*VLOOKUP('1. SUMMARY'!$C$20,rate,Sheet1!AI$21,0),((IF(($F$220+$B$220+$C$220+$D$220+$E$220+$G$220+$H$220)&gt;=25000,0,(((25000-($B$220+$C$220+$D$220+$E$220+$F$220+$G$220+$H$220))/+$AH657)*AF657)*(VLOOKUP('1. SUMMARY'!$C$20,rate,Sheet1!AI$21,0))))))))</f>
        <v>0</v>
      </c>
      <c r="AG658" s="419">
        <f>IF(AG657=0,0,(IF(($B$220+$C$220+$D$220+$E$220+$F$220+$G$220+$H$220+$I$220)&lt;=25000,(($I$220/+$AH657)*AG657)*VLOOKUP('1. SUMMARY'!$C$20,rate,Sheet1!AJ$21,0),((IF(($F$220+$B$220+$C$220+$D$220+$E$220+$G$220+$H$220)&gt;=25000,0,(((25000-($B$220+$C$220+$D$220+$E$220+$F$220+$G$220+$H$220))/+$AH657)*AG657)*(VLOOKUP('1. SUMMARY'!$C$20,rate,Sheet1!AJ$21,0))))))))</f>
        <v>0</v>
      </c>
      <c r="AH658" s="219">
        <f>SUM(Q658:AG658)</f>
        <v>0</v>
      </c>
      <c r="AI658" s="419">
        <f>IF(AI657=0,0,((+$I220/$AZ657)*AI657)*VLOOKUP('1. SUMMARY'!$C$20,rate,Sheet1!T$21,0))</f>
        <v>0</v>
      </c>
      <c r="AJ658" s="419">
        <f>IF(AJ657=0,0,((+$I220/$AZ657)*AJ657)*VLOOKUP('1. SUMMARY'!$C$20,rate,Sheet1!U$21,0))</f>
        <v>0</v>
      </c>
      <c r="AK658" s="419">
        <f>IF(AK657=0,0,((+$I220/$AZ657)*AK657)*VLOOKUP('1. SUMMARY'!$C$20,rate,Sheet1!V$21,0))</f>
        <v>0</v>
      </c>
      <c r="AL658" s="419">
        <f>IF(AL657=0,0,((+$I220/$AZ657)*AL657)*VLOOKUP('1. SUMMARY'!$C$20,rate,Sheet1!W$21,0))</f>
        <v>0</v>
      </c>
      <c r="AM658" s="419">
        <f>IF(AM657=0,0,((+$I220/$AZ657)*AM657)*VLOOKUP('1. SUMMARY'!$C$20,rate,Sheet1!X$21,0))</f>
        <v>0</v>
      </c>
      <c r="AN658" s="419">
        <f>IF(AN657=0,0,((+$I220/$AZ657)*AN657)*VLOOKUP('1. SUMMARY'!$C$20,rate,Sheet1!Y$21,0))</f>
        <v>0</v>
      </c>
      <c r="AO658" s="419">
        <f>IF(AO657=0,0,((+$I220/$AZ657)*AO657)*VLOOKUP('1. SUMMARY'!$C$20,rate,Sheet1!Z$21,0))</f>
        <v>0</v>
      </c>
      <c r="AP658" s="419">
        <f>IF(AP657=0,0,((+$I220/$AZ657)*AP657)*VLOOKUP('1. SUMMARY'!$C$20,rate,Sheet1!AA$21,0))</f>
        <v>0</v>
      </c>
      <c r="AQ658" s="419">
        <f>IF(AQ657=0,0,((+$I220/$AZ657)*AQ657)*VLOOKUP('1. SUMMARY'!$C$20,rate,Sheet1!AB$21,0))</f>
        <v>0</v>
      </c>
      <c r="AR658" s="419">
        <f>IF(AR657=0,0,((+$I220/$AZ657)*AR657)*VLOOKUP('1. SUMMARY'!$C$20,rate,Sheet1!AC$21,0))</f>
        <v>0</v>
      </c>
      <c r="AS658" s="419">
        <f>IF(AS657=0,0,((+$I220/$AZ657)*AS657)*VLOOKUP('1. SUMMARY'!$C$20,rate,Sheet1!AD$21,0))</f>
        <v>0</v>
      </c>
      <c r="AT658" s="419">
        <f>IF(AT657=0,0,((+$I220/$AZ657)*AT657)*VLOOKUP('1. SUMMARY'!$C$20,rate,Sheet1!AE$21,0))</f>
        <v>0</v>
      </c>
      <c r="AU658" s="419">
        <f>IF(AU657=0,0,((+$I220/$AZ657)*AU657)*VLOOKUP('1. SUMMARY'!$C$20,rate,Sheet1!AF$21,0))</f>
        <v>0</v>
      </c>
      <c r="AV658" s="419">
        <f>IF(AV657=0,0,((+$I220/$AZ657)*AV657)*VLOOKUP('1. SUMMARY'!$C$20,rate,Sheet1!AG$21,0))</f>
        <v>0</v>
      </c>
      <c r="AW658" s="419">
        <f>IF(AW657=0,0,((+$I220/$AZ657)*AW657)*VLOOKUP('1. SUMMARY'!$C$20,rate,Sheet1!AH$21,0))</f>
        <v>0</v>
      </c>
      <c r="AX658" s="419">
        <f>IF(AX657=0,0,((+$I220/$AZ657)*AX657)*VLOOKUP('1. SUMMARY'!$C$20,rate,Sheet1!AI$21,0))</f>
        <v>0</v>
      </c>
      <c r="AY658" s="419">
        <f>IF(AY657=0,0,((+$I220/$AZ657)*AY657)*VLOOKUP('1. SUMMARY'!$C$20,rate,Sheet1!AJ$21,0))</f>
        <v>0</v>
      </c>
      <c r="AZ658" s="419">
        <f>SUM(AI658:AY658)</f>
        <v>0</v>
      </c>
    </row>
    <row r="659" spans="17:52" hidden="1">
      <c r="Q659" s="419">
        <f>+Q658/VLOOKUP('1. SUMMARY'!$C$20,rate,Sheet1!T$21,0)</f>
        <v>0</v>
      </c>
      <c r="R659" s="419">
        <f>+R658/VLOOKUP('1. SUMMARY'!$C$20,rate,Sheet1!U$21,0)</f>
        <v>0</v>
      </c>
      <c r="S659" s="419">
        <f>+S658/VLOOKUP('1. SUMMARY'!$C$20,rate,Sheet1!V$21,0)</f>
        <v>0</v>
      </c>
      <c r="T659" s="419">
        <f>+T658/VLOOKUP('1. SUMMARY'!$C$20,rate,Sheet1!W$21,0)</f>
        <v>0</v>
      </c>
      <c r="U659" s="419">
        <f>+U658/VLOOKUP('1. SUMMARY'!$C$20,rate,Sheet1!X$21,0)</f>
        <v>0</v>
      </c>
      <c r="V659" s="419">
        <f>+V658/VLOOKUP('1. SUMMARY'!$C$20,rate,Sheet1!Y$21,0)</f>
        <v>0</v>
      </c>
      <c r="W659" s="419">
        <f>+W658/VLOOKUP('1. SUMMARY'!$C$20,rate,Sheet1!Z$21,0)</f>
        <v>0</v>
      </c>
      <c r="X659" s="419">
        <f>+X658/VLOOKUP('1. SUMMARY'!$C$20,rate,Sheet1!AA$21,0)</f>
        <v>0</v>
      </c>
      <c r="Y659" s="419">
        <f>+Y658/VLOOKUP('1. SUMMARY'!$C$20,rate,Sheet1!AB$21,0)</f>
        <v>0</v>
      </c>
      <c r="Z659" s="419">
        <f>+Z658/VLOOKUP('1. SUMMARY'!$C$20,rate,Sheet1!AC$21,0)</f>
        <v>0</v>
      </c>
      <c r="AA659" s="419">
        <f>+AA658/VLOOKUP('1. SUMMARY'!$C$20,rate,Sheet1!AD$21,0)</f>
        <v>0</v>
      </c>
      <c r="AB659" s="419">
        <f>+AB658/VLOOKUP('1. SUMMARY'!$C$20,rate,Sheet1!AE$21,0)</f>
        <v>0</v>
      </c>
      <c r="AC659" s="419">
        <f>+AC658/VLOOKUP('1. SUMMARY'!$C$20,rate,Sheet1!AF$21,0)</f>
        <v>0</v>
      </c>
      <c r="AD659" s="419">
        <f>+AD658/VLOOKUP('1. SUMMARY'!$C$20,rate,Sheet1!AG$21,0)</f>
        <v>0</v>
      </c>
      <c r="AE659" s="419">
        <f>+AE658/VLOOKUP('1. SUMMARY'!$C$20,rate,Sheet1!AH$21,0)</f>
        <v>0</v>
      </c>
      <c r="AF659" s="419">
        <f>+AF658/VLOOKUP('1. SUMMARY'!$C$20,rate,Sheet1!AI$21,0)</f>
        <v>0</v>
      </c>
      <c r="AG659" s="419">
        <f>+AG658/VLOOKUP('1. SUMMARY'!$C$20,rate,Sheet1!AJ$21,0)</f>
        <v>0</v>
      </c>
      <c r="AH659" s="219"/>
      <c r="AI659" s="419"/>
      <c r="AJ659" s="419"/>
      <c r="AK659" s="419"/>
      <c r="AL659" s="419"/>
      <c r="AM659" s="419"/>
      <c r="AN659" s="419"/>
      <c r="AO659" s="419"/>
      <c r="AP659" s="419"/>
      <c r="AQ659" s="419"/>
      <c r="AR659" s="419"/>
      <c r="AS659" s="419"/>
      <c r="AT659" s="419"/>
      <c r="AU659" s="419"/>
      <c r="AV659" s="419"/>
      <c r="AW659" s="419"/>
      <c r="AX659" s="419"/>
      <c r="AY659" s="419"/>
      <c r="AZ659" s="419"/>
    </row>
    <row r="660" spans="17:52" hidden="1">
      <c r="Q660" s="416">
        <f>Sheet1!$T$8</f>
        <v>44105</v>
      </c>
      <c r="R660" s="416">
        <f>Sheet1!$U$8</f>
        <v>44470</v>
      </c>
      <c r="S660" s="416">
        <f>Sheet1!$V$8</f>
        <v>44835</v>
      </c>
      <c r="T660" s="416">
        <f>Sheet1!$W$8</f>
        <v>45200</v>
      </c>
      <c r="U660" s="416">
        <f>Sheet1!$X$8</f>
        <v>45566</v>
      </c>
      <c r="V660" s="416">
        <f>Sheet1!$Y$8</f>
        <v>45931</v>
      </c>
      <c r="W660" s="416">
        <f>Sheet1!$Z$8</f>
        <v>46296</v>
      </c>
      <c r="X660" s="416">
        <f>Sheet1!$AA$8</f>
        <v>46661</v>
      </c>
      <c r="Y660" s="416">
        <f>Sheet1!$AB$8</f>
        <v>47027</v>
      </c>
      <c r="Z660" s="416">
        <f>Sheet1!$AC$8</f>
        <v>47392</v>
      </c>
      <c r="AA660" s="416">
        <f>$AA$5</f>
        <v>47757</v>
      </c>
      <c r="AB660" s="416">
        <f>$AB$5</f>
        <v>48122</v>
      </c>
      <c r="AC660" s="416">
        <f>$AC$5</f>
        <v>48488</v>
      </c>
      <c r="AD660" s="416">
        <f>$AD$5</f>
        <v>48853</v>
      </c>
      <c r="AE660" s="416">
        <f>$AE$5</f>
        <v>49218</v>
      </c>
      <c r="AF660" s="416">
        <f>$AF$5</f>
        <v>49583</v>
      </c>
      <c r="AG660" s="416">
        <f>$AG$5</f>
        <v>49949</v>
      </c>
      <c r="AH660" s="219"/>
      <c r="AI660" s="416">
        <f t="shared" ref="AI660:AR662" si="294">+Q660</f>
        <v>44105</v>
      </c>
      <c r="AJ660" s="416">
        <f t="shared" si="294"/>
        <v>44470</v>
      </c>
      <c r="AK660" s="416">
        <f t="shared" si="294"/>
        <v>44835</v>
      </c>
      <c r="AL660" s="416">
        <f t="shared" si="294"/>
        <v>45200</v>
      </c>
      <c r="AM660" s="416">
        <f t="shared" si="294"/>
        <v>45566</v>
      </c>
      <c r="AN660" s="416">
        <f t="shared" si="294"/>
        <v>45931</v>
      </c>
      <c r="AO660" s="416">
        <f t="shared" si="294"/>
        <v>46296</v>
      </c>
      <c r="AP660" s="416">
        <f t="shared" si="294"/>
        <v>46661</v>
      </c>
      <c r="AQ660" s="416">
        <f t="shared" si="294"/>
        <v>47027</v>
      </c>
      <c r="AR660" s="416">
        <f t="shared" si="294"/>
        <v>47392</v>
      </c>
      <c r="AS660" s="416">
        <f t="shared" ref="AS660:AY662" si="295">+AA660</f>
        <v>47757</v>
      </c>
      <c r="AT660" s="416">
        <f t="shared" si="295"/>
        <v>48122</v>
      </c>
      <c r="AU660" s="416">
        <f t="shared" si="295"/>
        <v>48488</v>
      </c>
      <c r="AV660" s="416">
        <f t="shared" si="295"/>
        <v>48853</v>
      </c>
      <c r="AW660" s="416">
        <f t="shared" si="295"/>
        <v>49218</v>
      </c>
      <c r="AX660" s="416">
        <f t="shared" si="295"/>
        <v>49583</v>
      </c>
      <c r="AY660" s="416">
        <f t="shared" si="295"/>
        <v>49949</v>
      </c>
      <c r="AZ660" s="416"/>
    </row>
    <row r="661" spans="17:52" hidden="1">
      <c r="Q661" s="416">
        <f>Sheet1!$T$9</f>
        <v>44469</v>
      </c>
      <c r="R661" s="416">
        <f>Sheet1!$U$9</f>
        <v>44834</v>
      </c>
      <c r="S661" s="416">
        <f>Sheet1!$V$9</f>
        <v>45199</v>
      </c>
      <c r="T661" s="416">
        <f>Sheet1!$W$9</f>
        <v>45565</v>
      </c>
      <c r="U661" s="416">
        <f>Sheet1!$X$9</f>
        <v>45930</v>
      </c>
      <c r="V661" s="416">
        <f>Sheet1!$Y$9</f>
        <v>46295</v>
      </c>
      <c r="W661" s="416">
        <f>Sheet1!$Z$9</f>
        <v>46660</v>
      </c>
      <c r="X661" s="416">
        <f>Sheet1!$AA$9</f>
        <v>47026</v>
      </c>
      <c r="Y661" s="416">
        <f>Sheet1!$AB$9</f>
        <v>47391</v>
      </c>
      <c r="Z661" s="416">
        <f>Sheet1!$AC$9</f>
        <v>47756</v>
      </c>
      <c r="AA661" s="416">
        <f>$AA$6</f>
        <v>48121</v>
      </c>
      <c r="AB661" s="416">
        <f>$AB$6</f>
        <v>48487</v>
      </c>
      <c r="AC661" s="416">
        <f>$AC$6</f>
        <v>48852</v>
      </c>
      <c r="AD661" s="416">
        <f>$AD$6</f>
        <v>49217</v>
      </c>
      <c r="AE661" s="416">
        <f>$AE$6</f>
        <v>49582</v>
      </c>
      <c r="AF661" s="416">
        <f>$AF$6</f>
        <v>49948</v>
      </c>
      <c r="AG661" s="416">
        <f>$AG$6</f>
        <v>50313</v>
      </c>
      <c r="AH661" s="219"/>
      <c r="AI661" s="416">
        <f t="shared" si="294"/>
        <v>44469</v>
      </c>
      <c r="AJ661" s="416">
        <f t="shared" si="294"/>
        <v>44834</v>
      </c>
      <c r="AK661" s="416">
        <f t="shared" si="294"/>
        <v>45199</v>
      </c>
      <c r="AL661" s="416">
        <f t="shared" si="294"/>
        <v>45565</v>
      </c>
      <c r="AM661" s="416">
        <f t="shared" si="294"/>
        <v>45930</v>
      </c>
      <c r="AN661" s="416">
        <f t="shared" si="294"/>
        <v>46295</v>
      </c>
      <c r="AO661" s="416">
        <f t="shared" si="294"/>
        <v>46660</v>
      </c>
      <c r="AP661" s="416">
        <f t="shared" si="294"/>
        <v>47026</v>
      </c>
      <c r="AQ661" s="416">
        <f t="shared" si="294"/>
        <v>47391</v>
      </c>
      <c r="AR661" s="416">
        <f t="shared" si="294"/>
        <v>47756</v>
      </c>
      <c r="AS661" s="416">
        <f t="shared" si="295"/>
        <v>48121</v>
      </c>
      <c r="AT661" s="416">
        <f t="shared" si="295"/>
        <v>48487</v>
      </c>
      <c r="AU661" s="416">
        <f t="shared" si="295"/>
        <v>48852</v>
      </c>
      <c r="AV661" s="416">
        <f t="shared" si="295"/>
        <v>49217</v>
      </c>
      <c r="AW661" s="416">
        <f t="shared" si="295"/>
        <v>49582</v>
      </c>
      <c r="AX661" s="416">
        <f t="shared" si="295"/>
        <v>49948</v>
      </c>
      <c r="AY661" s="416">
        <f t="shared" si="295"/>
        <v>50313</v>
      </c>
      <c r="AZ661" s="416"/>
    </row>
    <row r="662" spans="17:52" hidden="1">
      <c r="Q662" s="417">
        <f>IF(IF(Q661&lt;$J$27,0,DATEDIF($J$27,Q661+1,"m"))&lt;0,0,IF(Q661&lt;$J$27,0,DATEDIF($J$27,Q661+1,"m")))</f>
        <v>0</v>
      </c>
      <c r="R662" s="417">
        <f>IF(IF(Q662=12,0,IF(R661&gt;$J$28,12-DATEDIF($J$28,R661+1,"m"),IF(R661&lt;$J$27,0,DATEDIF($J$27,R661+1,"m"))))&lt;0,0,IF(Q662=12,0,IF(R661&gt;$J$28,12-DATEDIF($J$28,R661+1,"m"),IF(R661&lt;$J$27,0,DATEDIF($J$27,R661+1,"m")))))</f>
        <v>0</v>
      </c>
      <c r="S662" s="417">
        <f>IF(IF(Q662+R662=12,0,IF(S661&gt;$J$28,12-DATEDIF($J$28,S661+1,"m"),IF(S661&lt;$J$27,0,DATEDIF($J$27,S661+1,"m"))))&lt;0,0,IF(Q662+R662=12,0,IF(S661&gt;$J$28,12-DATEDIF($J$28,S661+1,"m"),IF(S661&lt;$J$27,0,DATEDIF($J$27,S661+1,"m")))))</f>
        <v>0</v>
      </c>
      <c r="T662" s="417">
        <f>IF(IF(R662+S662+Q662=12,0,IF(T661&gt;$J$28,12-DATEDIF($J$28,T661+1,"m"),IF(T661&lt;$J$27,0,DATEDIF($J$27,T661+1,"m"))))&lt;0,0,IF(R662+S662+Q662=12,0,IF(T661&gt;$J$28,12-DATEDIF($J$28,T661+1,"m"),IF(T661&lt;$J$27,0,DATEDIF($J$27,T661+1,"m")))))</f>
        <v>0</v>
      </c>
      <c r="U662" s="417">
        <f>IF(IF(S662+T662+R662+Q662=12,0,IF(U661&gt;$J$28,12-DATEDIF($J$28,U661+1,"m"),IF(U661&lt;$J$27,0,DATEDIF($J$27,U661+1,"m"))))&lt;0,0,IF(S662+T662+R662+Q662=12,0,IF(U661&gt;$J$28,12-DATEDIF($J$28,U661+1,"m"),IF(U661&lt;$J$27,0,DATEDIF($J$27,U661+1,"m")))))</f>
        <v>0</v>
      </c>
      <c r="V662" s="417">
        <f>IF(IF(T662+U662+S662+R662+Q662=12,0,IF(V661&gt;$J$28,12-DATEDIF($J$28,V661+1,"m"),IF(V661&lt;$J$27,0,DATEDIF($J$27,V661+1,"m"))))&lt;0,0,IF(T662+U662+S662+R662+Q662=12,0,IF(V661&gt;$J$28,12-DATEDIF($J$28,V661+1,"m"),IF(V661&lt;$J$27,0,DATEDIF($J$27,V661+1,"m")))))</f>
        <v>0</v>
      </c>
      <c r="W662" s="417">
        <f>IF(IF(U662+V662+T662+S662+R662+Q662=12,0,IF(W661&gt;$J$28,12-DATEDIF($J$28,W661+1,"m"),IF(W661&lt;$J$27,0,DATEDIF($J$27,W661+1,"m"))))&lt;0,0,IF(U662+V662+T662+S662+R662+Q662=12,0,IF(W661&gt;$J$28,12-DATEDIF($J$28,W661+1,"m"),IF(W661&lt;$J$27,0,DATEDIF($J$27,W661+1,"m")))))</f>
        <v>0</v>
      </c>
      <c r="X662" s="417">
        <f>IF(IF(V662+W662+U662+T662+S662+R662+Q662=12,0,IF(X661&gt;$J$28,12-DATEDIF($J$28,X661+1,"m"),IF(X661&lt;$J$27,0,DATEDIF($J$27,X661+1,"m"))))&lt;0,0,IF(V662+W662+U662+T662+S662+R662+Q662=12,0,IF(X661&gt;$J$28,12-DATEDIF($J$28,X661+1,"m"),IF(X661&lt;$J$27,0,DATEDIF($J$27,X661+1,"m")))))</f>
        <v>0</v>
      </c>
      <c r="Y662" s="417">
        <f>IF(IF(W662+X662+V662+U662+T662+S662+R662+Q662=12,0,IF(Y661&gt;$J$28,12-DATEDIF($J$28,Y661+1,"m"),IF(Y661&lt;$J$27,0,DATEDIF($J$27,Y661+1,"m"))))&lt;0,0,IF(W662+X662+V662+U662+T662+S662+R662+Q662=12,0,IF(Y661&gt;$J$28,12-DATEDIF($J$28,Y661+1,"m"),IF(Y661&lt;$J$27,0,DATEDIF($J$27,Y661+1,"m")))))</f>
        <v>0</v>
      </c>
      <c r="Z662" s="417">
        <f>IF(IF(X662+Y662+W662+V662+U662+T662+S662+R662+Q662=12,0,IF(Z661&gt;$J$28,12-DATEDIF($J$28,Z661+1,"m"),IF(Z661&lt;$J$27,0,DATEDIF($J$27,Z661+1,"m"))))&lt;0,0,IF(X662+Y662+W662+V662+U662+T662+S662+R662+Q662=12,0,IF(Z661&gt;$J$28,12-DATEDIF($J$28,Z661+1,"m"),IF(Z661&lt;$J$27,0,DATEDIF($J$27,Z661+1,"m")))))</f>
        <v>0</v>
      </c>
      <c r="AA662" s="417">
        <f>IF(IF(Q662+R662+S662+Y662+Z662+X662+W662+V662+U662+T662=12,0,IF(AA661&gt;$J$28,12-DATEDIF($J$28,AA661+1,"m"),IF(AA661&lt;$J$27,0,DATEDIF($J$27,AA661+1,"m"))))&lt;0,0,IF(Q662+R662+S662+Y662+Z662+X662+W662+V662+U662+T662=12,0,IF(AA661&gt;$J$28,12-DATEDIF($J$28,AA661+1,"m"),IF(AA661&lt;$J$27,0,DATEDIF($J$27,AA661+1,"m")))))</f>
        <v>0</v>
      </c>
      <c r="AB662" s="417">
        <f>IF(IF(Q662+R662+S662+T662+Z662+AA662+Y662+X662+W662+V662+U662=12,0,IF(AB661&gt;$J$28,12-DATEDIF($J$28,AB661+1,"m"),IF(AB661&lt;$J$27,0,DATEDIF($J$27,AB661+1,"m"))))&lt;0,0,IF(Q662+R662+S662+T662+Z662+AA662+Y662+X662+W662+V662+U662=12,0,IF(AB661&gt;$J$28,12-DATEDIF($J$28,AB661+1,"m"),IF(AB661&lt;$J$27,0,DATEDIF($J$27,AB661+1,"m")))))</f>
        <v>0</v>
      </c>
      <c r="AC662" s="417">
        <f>IF(IF(Q662+R662+S662+T662+U662+AA662+AB662+Z662+Y662+X662+W662+V662=12,0,IF(AC661&gt;$J$28,12-DATEDIF($J$28,AC661+1,"m"),IF(AC661&lt;$J$27,0,DATEDIF($J$27,AC661+1,"m"))))&lt;0,0,IF(Q662+R662+S662+T662+U662+AA662+AB662+Z662+Y662+X662+W662+V662=12,0,IF(AC661&gt;$J$28,12-DATEDIF($J$28,AC661+1,"m"),IF(AC661&lt;$J$27,0,DATEDIF($J$27,AC661+1,"m")))))</f>
        <v>0</v>
      </c>
      <c r="AD662" s="417">
        <f>IF(IF(Q662+R662+S662+T662+U662+V662+AB662+AC662+AA662+Z662+Y662+X662+W662=12,0,IF(AD661&gt;$J$28,12-DATEDIF($J$28,AD661+1,"m"),IF(AD661&lt;$J$27,0,DATEDIF($J$27,AD661+1,"m"))))&lt;0,0,IF(Q662+R662+S662+T662+U662+V662+AB662+AC662+AA662+Z662+Y662+X662+W662=12,0,IF(AD661&gt;$J$28,12-DATEDIF($J$28,AD661+1,"m"),IF(AD661&lt;$J$27,0,DATEDIF($J$27,AD661+1,"m")))))</f>
        <v>0</v>
      </c>
      <c r="AE662" s="417">
        <f>IF(IF(Q662+R662+S662+T662+U662+V662+W662+AC662+AD662+AB662+AA662+Z662+Y662+X662=12,0,IF(AE661&gt;$J$28,12-DATEDIF($J$28,AE661+1,"m"),IF(AE661&lt;$J$27,0,DATEDIF($J$27,AE661+1,"m"))))&lt;0,0,IF(Q662+R662+S662+T662+U662+V662+W662+AC662+AD662+AB662+AA662+Z662+Y662+X662=12,0,IF(AE661&gt;$J$28,12-DATEDIF($J$28,AE661+1,"m"),IF(AE661&lt;$J$27,0,DATEDIF($J$27,AE661+1,"m")))))</f>
        <v>0</v>
      </c>
      <c r="AF662" s="417">
        <f>IF(IF(Q662+R662+S662+T662+U662+V662+W662+X662+AD662+AE662+AC662+AB662+AA662+Z662+Y662=12,0,IF(AF661&gt;$J$28,12-DATEDIF($J$28,AF661+1,"m"),IF(AF661&lt;$J$27,0,DATEDIF($J$27,AF661+1,"m"))))&lt;0,0,IF(Q662+R662+S662+T662+U662+V662+W662+X662+AD662+AE662+AC662+AB662+AA662+Z662+Y662=12,0,IF(AF661&gt;$J$28,12-DATEDIF($J$28,AF661+1,"m"),IF(AF661&lt;$J$27,0,DATEDIF($J$27,AF661+1,"m")))))</f>
        <v>0</v>
      </c>
      <c r="AG662" s="417">
        <f>IF(IF(Q662+R662+S662+T662+U662+V662+W662+X662+Y662+AE662+AF662+AD662+AC662+AB662+AA662+Z662=12,0,IF(AG661&gt;$J$28,12-DATEDIF($J$28,AG661+1,"m"),IF(AG661&lt;$J$27,0,DATEDIF($J$27,AG661+1,"m"))))&lt;0,0,IF(Q662+R662+S662+T662+U662+V662+W662+X662+Y662+AE662+AF662+AD662+AC662+AB662+AA662+Z662=12,0,IF(AG661&gt;$J$28,12-DATEDIF($J$28,AG661+1,"m"),IF(AG661&lt;$J$27,0,DATEDIF($J$27,AG661+1,"m")))))</f>
        <v>0</v>
      </c>
      <c r="AH662" s="423">
        <f>SUM(Q662:AG662)</f>
        <v>0</v>
      </c>
      <c r="AI662" s="427">
        <f t="shared" si="294"/>
        <v>0</v>
      </c>
      <c r="AJ662" s="427">
        <f t="shared" si="294"/>
        <v>0</v>
      </c>
      <c r="AK662" s="427">
        <f t="shared" si="294"/>
        <v>0</v>
      </c>
      <c r="AL662" s="427">
        <f t="shared" si="294"/>
        <v>0</v>
      </c>
      <c r="AM662" s="427">
        <f t="shared" si="294"/>
        <v>0</v>
      </c>
      <c r="AN662" s="427">
        <f t="shared" si="294"/>
        <v>0</v>
      </c>
      <c r="AO662" s="427">
        <f t="shared" si="294"/>
        <v>0</v>
      </c>
      <c r="AP662" s="427">
        <f t="shared" si="294"/>
        <v>0</v>
      </c>
      <c r="AQ662" s="427">
        <f t="shared" si="294"/>
        <v>0</v>
      </c>
      <c r="AR662" s="427">
        <f t="shared" si="294"/>
        <v>0</v>
      </c>
      <c r="AS662" s="427">
        <f t="shared" si="295"/>
        <v>0</v>
      </c>
      <c r="AT662" s="427">
        <f t="shared" si="295"/>
        <v>0</v>
      </c>
      <c r="AU662" s="427">
        <f t="shared" si="295"/>
        <v>0</v>
      </c>
      <c r="AV662" s="427">
        <f t="shared" si="295"/>
        <v>0</v>
      </c>
      <c r="AW662" s="427">
        <f t="shared" si="295"/>
        <v>0</v>
      </c>
      <c r="AX662" s="427">
        <f t="shared" si="295"/>
        <v>0</v>
      </c>
      <c r="AY662" s="427">
        <f t="shared" si="295"/>
        <v>0</v>
      </c>
      <c r="AZ662" s="427">
        <f>SUM(AI662:AY662)</f>
        <v>0</v>
      </c>
    </row>
    <row r="663" spans="17:52" hidden="1">
      <c r="Q663" s="417">
        <f>IF(Q662=0,0,(IF(($B$220+$C$220+$D$220+$E$220+$F$220+$G$220+$H$220+$I$220+$J$220)&lt;=25000,(($J$220/+$AH662)*Q662)*VLOOKUP('1. SUMMARY'!$C$20,rate,Sheet1!T$21,0),((IF(($F$220+$B$220+$C$220+$D$220+$E$220+$G$220+$H$220+$I$220)&gt;=25000,0,(((25000-($B$220+$C$220+$D$220+$E$220+$F$220+$G$220+$H$220+$I$220))/+$AH662)*Q662)*(VLOOKUP('1. SUMMARY'!$C$20,rate,Sheet1!T$21,0))))))))</f>
        <v>0</v>
      </c>
      <c r="R663" s="417">
        <f>IF(R662=0,0,(IF(($B$220+$C$220+$D$220+$E$220+$F$220+$G$220+$H$220+$I$220+$J$220)&lt;=25000,(($J$220/+$AH662)*R662)*VLOOKUP('1. SUMMARY'!$C$20,rate,Sheet1!U$21,0),((IF(($F$220+$B$220+$C$220+$D$220+$E$220+$G$220+$H$220+$I$220)&gt;=25000,0,(((25000-($B$220+$C$220+$D$220+$E$220+$F$220+$G$220+$H$220+$I$220))/+$AH662)*R662)*(VLOOKUP('1. SUMMARY'!$C$20,rate,Sheet1!U$21,0))))))))</f>
        <v>0</v>
      </c>
      <c r="S663" s="417">
        <f>IF(S662=0,0,(IF(($B$220+$C$220+$D$220+$E$220+$F$220+$G$220+$H$220+$I$220+$J$220)&lt;=25000,(($J$220/+$AH662)*S662)*VLOOKUP('1. SUMMARY'!$C$20,rate,Sheet1!V$21,0),((IF(($F$220+$B$220+$C$220+$D$220+$E$220+$G$220+$H$220+$I$220)&gt;=25000,0,(((25000-($B$220+$C$220+$D$220+$E$220+$F$220+$G$220+$H$220+$I$220))/+$AH662)*S662)*(VLOOKUP('1. SUMMARY'!$C$20,rate,Sheet1!V$21,0))))))))</f>
        <v>0</v>
      </c>
      <c r="T663" s="417">
        <f>IF(T662=0,0,(IF(($B$220+$C$220+$D$220+$E$220+$F$220+$G$220+$H$220+$I$220+$J$220)&lt;=25000,(($J$220/+$AH662)*T662)*VLOOKUP('1. SUMMARY'!$C$20,rate,Sheet1!W$21,0),((IF(($F$220+$B$220+$C$220+$D$220+$E$220+$G$220+$H$220+$I$220)&gt;=25000,0,(((25000-($B$220+$C$220+$D$220+$E$220+$F$220+$G$220+$H$220+$I$220))/+$AH662)*T662)*(VLOOKUP('1. SUMMARY'!$C$20,rate,Sheet1!W$21,0))))))))</f>
        <v>0</v>
      </c>
      <c r="U663" s="417">
        <f>IF(U662=0,0,(IF(($B$220+$C$220+$D$220+$E$220+$F$220+$G$220+$H$220+$I$220+$J$220)&lt;=25000,(($J$220/+$AH662)*U662)*VLOOKUP('1. SUMMARY'!$C$20,rate,Sheet1!X$21,0),((IF(($F$220+$B$220+$C$220+$D$220+$E$220+$G$220+$H$220+$I$220)&gt;=25000,0,(((25000-($B$220+$C$220+$D$220+$E$220+$F$220+$G$220+$H$220+$I$220))/+$AH662)*U662)*(VLOOKUP('1. SUMMARY'!$C$20,rate,Sheet1!X$21,0))))))))</f>
        <v>0</v>
      </c>
      <c r="V663" s="417">
        <f>IF(V662=0,0,(IF(($B$220+$C$220+$D$220+$E$220+$F$220+$G$220+$H$220+$I$220+$J$220)&lt;=25000,(($J$220/+$AH662)*V662)*VLOOKUP('1. SUMMARY'!$C$20,rate,Sheet1!Y$21,0),((IF(($F$220+$B$220+$C$220+$D$220+$E$220+$G$220+$H$220+$I$220)&gt;=25000,0,(((25000-($B$220+$C$220+$D$220+$E$220+$F$220+$G$220+$H$220+$I$220))/+$AH662)*V662)*(VLOOKUP('1. SUMMARY'!$C$20,rate,Sheet1!Y$21,0))))))))</f>
        <v>0</v>
      </c>
      <c r="W663" s="417">
        <f>IF(W662=0,0,(IF(($B$220+$C$220+$D$220+$E$220+$F$220+$G$220+$H$220+$I$220+$J$220)&lt;=25000,(($J$220/+$AH662)*W662)*VLOOKUP('1. SUMMARY'!$C$20,rate,Sheet1!Z$21,0),((IF(($F$220+$B$220+$C$220+$D$220+$E$220+$G$220+$H$220+$I$220)&gt;=25000,0,(((25000-($B$220+$C$220+$D$220+$E$220+$F$220+$G$220+$H$220+$I$220))/+$AH662)*W662)*(VLOOKUP('1. SUMMARY'!$C$20,rate,Sheet1!Z$21,0))))))))</f>
        <v>0</v>
      </c>
      <c r="X663" s="417">
        <f>IF(X662=0,0,(IF(($B$220+$C$220+$D$220+$E$220+$F$220+$G$220+$H$220+$I$220+$J$220)&lt;=25000,(($J$220/+$AH662)*X662)*VLOOKUP('1. SUMMARY'!$C$20,rate,Sheet1!AA$21,0),((IF(($F$220+$B$220+$C$220+$D$220+$E$220+$G$220+$H$220+$I$220)&gt;=25000,0,(((25000-($B$220+$C$220+$D$220+$E$220+$F$220+$G$220+$H$220+$I$220))/+$AH662)*X662)*(VLOOKUP('1. SUMMARY'!$C$20,rate,Sheet1!AA$21,0))))))))</f>
        <v>0</v>
      </c>
      <c r="Y663" s="417">
        <f>IF(Y662=0,0,(IF(($B$220+$C$220+$D$220+$E$220+$F$220+$G$220+$H$220+$I$220+$J$220)&lt;=25000,(($J$220/+$AH662)*Y662)*VLOOKUP('1. SUMMARY'!$C$20,rate,Sheet1!AB$21,0),((IF(($F$220+$B$220+$C$220+$D$220+$E$220+$G$220+$H$220+$I$220)&gt;=25000,0,(((25000-($B$220+$C$220+$D$220+$E$220+$F$220+$G$220+$H$220+$I$220))/+$AH662)*Y662)*(VLOOKUP('1. SUMMARY'!$C$20,rate,Sheet1!AB$21,0))))))))</f>
        <v>0</v>
      </c>
      <c r="Z663" s="417">
        <f>IF(Z662=0,0,(IF(($B$220+$C$220+$D$220+$E$220+$F$220+$G$220+$H$220+$I$220+$J$220)&lt;=25000,(($J$220/+$AH662)*Z662)*VLOOKUP('1. SUMMARY'!$C$20,rate,Sheet1!AC$21,0),((IF(($F$220+$B$220+$C$220+$D$220+$E$220+$G$220+$H$220+$I$220)&gt;=25000,0,(((25000-($B$220+$C$220+$D$220+$E$220+$F$220+$G$220+$H$220+$I$220))/+$AH662)*Z662)*(VLOOKUP('1. SUMMARY'!$C$20,rate,Sheet1!AC$21,0))))))))</f>
        <v>0</v>
      </c>
      <c r="AA663" s="417">
        <f>IF(AA662=0,0,(IF(($B$220+$C$220+$D$220+$E$220+$F$220+$G$220+$H$220+$I$220+$J$220)&lt;=25000,(($J$220/+$AH662)*AA662)*VLOOKUP('1. SUMMARY'!$C$20,rate,Sheet1!AD$21,0),((IF(($F$220+$B$220+$C$220+$D$220+$E$220+$G$220+$H$220+$I$220)&gt;=25000,0,(((25000-($B$220+$C$220+$D$220+$E$220+$F$220+$G$220+$H$220+$I$220))/+$AH662)*AA662)*(VLOOKUP('1. SUMMARY'!$C$20,rate,Sheet1!AD$21,0))))))))</f>
        <v>0</v>
      </c>
      <c r="AB663" s="417">
        <f>IF(AB662=0,0,(IF(($B$220+$C$220+$D$220+$E$220+$F$220+$G$220+$H$220+$I$220+$J$220)&lt;=25000,(($J$220/+$AH662)*AB662)*VLOOKUP('1. SUMMARY'!$C$20,rate,Sheet1!AE$21,0),((IF(($F$220+$B$220+$C$220+$D$220+$E$220+$G$220+$H$220+$I$220)&gt;=25000,0,(((25000-($B$220+$C$220+$D$220+$E$220+$F$220+$G$220+$H$220+$I$220))/+$AH662)*AB662)*(VLOOKUP('1. SUMMARY'!$C$20,rate,Sheet1!AE$21,0))))))))</f>
        <v>0</v>
      </c>
      <c r="AC663" s="417">
        <f>IF(AC662=0,0,(IF(($B$220+$C$220+$D$220+$E$220+$F$220+$G$220+$H$220+$I$220+$J$220)&lt;=25000,(($J$220/+$AH662)*AC662)*VLOOKUP('1. SUMMARY'!$C$20,rate,Sheet1!AF$21,0),((IF(($F$220+$B$220+$C$220+$D$220+$E$220+$G$220+$H$220+$I$220)&gt;=25000,0,(((25000-($B$220+$C$220+$D$220+$E$220+$F$220+$G$220+$H$220+$I$220))/+$AH662)*AC662)*(VLOOKUP('1. SUMMARY'!$C$20,rate,Sheet1!AF$21,0))))))))</f>
        <v>0</v>
      </c>
      <c r="AD663" s="417">
        <f>IF(AD662=0,0,(IF(($B$220+$C$220+$D$220+$E$220+$F$220+$G$220+$H$220+$I$220+$J$220)&lt;=25000,(($J$220/+$AH662)*AD662)*VLOOKUP('1. SUMMARY'!$C$20,rate,Sheet1!AG$21,0),((IF(($F$220+$B$220+$C$220+$D$220+$E$220+$G$220+$H$220+$I$220)&gt;=25000,0,(((25000-($B$220+$C$220+$D$220+$E$220+$F$220+$G$220+$H$220+$I$220))/+$AH662)*AD662)*(VLOOKUP('1. SUMMARY'!$C$20,rate,Sheet1!AG$21,0))))))))</f>
        <v>0</v>
      </c>
      <c r="AE663" s="417">
        <f>IF(AE662=0,0,(IF(($B$220+$C$220+$D$220+$E$220+$F$220+$G$220+$H$220+$I$220+$J$220)&lt;=25000,(($J$220/+$AH662)*AE662)*VLOOKUP('1. SUMMARY'!$C$20,rate,Sheet1!AH$21,0),((IF(($F$220+$B$220+$C$220+$D$220+$E$220+$G$220+$H$220+$I$220)&gt;=25000,0,(((25000-($B$220+$C$220+$D$220+$E$220+$F$220+$G$220+$H$220+$I$220))/+$AH662)*AE662)*(VLOOKUP('1. SUMMARY'!$C$20,rate,Sheet1!AH$21,0))))))))</f>
        <v>0</v>
      </c>
      <c r="AF663" s="417">
        <f>IF(AF662=0,0,(IF(($B$220+$C$220+$D$220+$E$220+$F$220+$G$220+$H$220+$I$220+$J$220)&lt;=25000,(($J$220/+$AH662)*AF662)*VLOOKUP('1. SUMMARY'!$C$20,rate,Sheet1!AI$21,0),((IF(($F$220+$B$220+$C$220+$D$220+$E$220+$G$220+$H$220+$I$220)&gt;=25000,0,(((25000-($B$220+$C$220+$D$220+$E$220+$F$220+$G$220+$H$220+$I$220))/+$AH662)*AF662)*(VLOOKUP('1. SUMMARY'!$C$20,rate,Sheet1!AI$21,0))))))))</f>
        <v>0</v>
      </c>
      <c r="AG663" s="417">
        <f>IF(AG662=0,0,(IF(($B$220+$C$220+$D$220+$E$220+$F$220+$G$220+$H$220+$I$220+$J$220)&lt;=25000,(($J$220/+$AH662)*AG662)*VLOOKUP('1. SUMMARY'!$C$20,rate,Sheet1!AJ$21,0),((IF(($F$220+$B$220+$C$220+$D$220+$E$220+$G$220+$H$220+$I$220)&gt;=25000,0,(((25000-($B$220+$C$220+$D$220+$E$220+$F$220+$G$220+$H$220+$I$220))/+$AH662)*AG662)*(VLOOKUP('1. SUMMARY'!$C$20,rate,Sheet1!AJ$21,0))))))))</f>
        <v>0</v>
      </c>
      <c r="AH663" s="219">
        <f>SUM(Q663:AG663)</f>
        <v>0</v>
      </c>
      <c r="AI663" s="417">
        <f>IF(AI662=0,0,((+$J220/$AZ662)*AI662)*VLOOKUP('1. SUMMARY'!$C$20,rate,Sheet1!T$21,0))</f>
        <v>0</v>
      </c>
      <c r="AJ663" s="417">
        <f>IF(AJ662=0,0,((+$J220/$AZ662)*AJ662)*VLOOKUP('1. SUMMARY'!$C$20,rate,Sheet1!U$21,0))</f>
        <v>0</v>
      </c>
      <c r="AK663" s="417">
        <f>IF(AK662=0,0,((+$J220/$AZ662)*AK662)*VLOOKUP('1. SUMMARY'!$C$20,rate,Sheet1!V$21,0))</f>
        <v>0</v>
      </c>
      <c r="AL663" s="417">
        <f>IF(AL662=0,0,((+$J220/$AZ662)*AL662)*VLOOKUP('1. SUMMARY'!$C$20,rate,Sheet1!W$21,0))</f>
        <v>0</v>
      </c>
      <c r="AM663" s="417">
        <f>IF(AM662=0,0,((+$J220/$AZ662)*AM662)*VLOOKUP('1. SUMMARY'!$C$20,rate,Sheet1!X$21,0))</f>
        <v>0</v>
      </c>
      <c r="AN663" s="417">
        <f>IF(AN662=0,0,((+$J220/$AZ662)*AN662)*VLOOKUP('1. SUMMARY'!$C$20,rate,Sheet1!Y$21,0))</f>
        <v>0</v>
      </c>
      <c r="AO663" s="417">
        <f>IF(AO662=0,0,((+$J220/$AZ662)*AO662)*VLOOKUP('1. SUMMARY'!$C$20,rate,Sheet1!Z$21,0))</f>
        <v>0</v>
      </c>
      <c r="AP663" s="417">
        <f>IF(AP662=0,0,((+$J220/$AZ662)*AP662)*VLOOKUP('1. SUMMARY'!$C$20,rate,Sheet1!AA$21,0))</f>
        <v>0</v>
      </c>
      <c r="AQ663" s="417">
        <f>IF(AQ662=0,0,((+$J220/$AZ662)*AQ662)*VLOOKUP('1. SUMMARY'!$C$20,rate,Sheet1!AB$21,0))</f>
        <v>0</v>
      </c>
      <c r="AR663" s="417">
        <f>IF(AR662=0,0,((+$J220/$AZ662)*AR662)*VLOOKUP('1. SUMMARY'!$C$20,rate,Sheet1!AC$21,0))</f>
        <v>0</v>
      </c>
      <c r="AS663" s="417">
        <f>IF(AS662=0,0,((+$J220/$AZ662)*AS662)*VLOOKUP('1. SUMMARY'!$C$20,rate,Sheet1!AD$21,0))</f>
        <v>0</v>
      </c>
      <c r="AT663" s="417">
        <f>IF(AT662=0,0,((+$J220/$AZ662)*AT662)*VLOOKUP('1. SUMMARY'!$C$20,rate,Sheet1!AE$21,0))</f>
        <v>0</v>
      </c>
      <c r="AU663" s="417">
        <f>IF(AU662=0,0,((+$J220/$AZ662)*AU662)*VLOOKUP('1. SUMMARY'!$C$20,rate,Sheet1!AF$21,0))</f>
        <v>0</v>
      </c>
      <c r="AV663" s="417">
        <f>IF(AV662=0,0,((+$J220/$AZ662)*AV662)*VLOOKUP('1. SUMMARY'!$C$20,rate,Sheet1!AG$21,0))</f>
        <v>0</v>
      </c>
      <c r="AW663" s="417">
        <f>IF(AW662=0,0,((+$J220/$AZ662)*AW662)*VLOOKUP('1. SUMMARY'!$C$20,rate,Sheet1!AH$21,0))</f>
        <v>0</v>
      </c>
      <c r="AX663" s="417">
        <f>IF(AX662=0,0,((+$J220/$AZ662)*AX662)*VLOOKUP('1. SUMMARY'!$C$20,rate,Sheet1!AI$21,0))</f>
        <v>0</v>
      </c>
      <c r="AY663" s="417">
        <f>IF(AY662=0,0,((+$J220/$AZ662)*AY662)*VLOOKUP('1. SUMMARY'!$C$20,rate,Sheet1!AJ$21,0))</f>
        <v>0</v>
      </c>
      <c r="AZ663" s="417">
        <f>SUM(AI663:AY663)</f>
        <v>0</v>
      </c>
    </row>
    <row r="664" spans="17:52" hidden="1">
      <c r="Q664" s="417">
        <f>+Q663/VLOOKUP('1. SUMMARY'!$C$20,rate,Sheet1!T$21,0)</f>
        <v>0</v>
      </c>
      <c r="R664" s="417">
        <f>+R663/VLOOKUP('1. SUMMARY'!$C$20,rate,Sheet1!U$21,0)</f>
        <v>0</v>
      </c>
      <c r="S664" s="417">
        <f>+S663/VLOOKUP('1. SUMMARY'!$C$20,rate,Sheet1!V$21,0)</f>
        <v>0</v>
      </c>
      <c r="T664" s="417">
        <f>+T663/VLOOKUP('1. SUMMARY'!$C$20,rate,Sheet1!W$21,0)</f>
        <v>0</v>
      </c>
      <c r="U664" s="417">
        <f>+U663/VLOOKUP('1. SUMMARY'!$C$20,rate,Sheet1!X$21,0)</f>
        <v>0</v>
      </c>
      <c r="V664" s="417">
        <f>+V663/VLOOKUP('1. SUMMARY'!$C$20,rate,Sheet1!Y$21,0)</f>
        <v>0</v>
      </c>
      <c r="W664" s="417">
        <f>+W663/VLOOKUP('1. SUMMARY'!$C$20,rate,Sheet1!Z$21,0)</f>
        <v>0</v>
      </c>
      <c r="X664" s="417">
        <f>+X663/VLOOKUP('1. SUMMARY'!$C$20,rate,Sheet1!AA$21,0)</f>
        <v>0</v>
      </c>
      <c r="Y664" s="417">
        <f>+Y663/VLOOKUP('1. SUMMARY'!$C$20,rate,Sheet1!AB$21,0)</f>
        <v>0</v>
      </c>
      <c r="Z664" s="417">
        <f>+Z663/VLOOKUP('1. SUMMARY'!$C$20,rate,Sheet1!AC$21,0)</f>
        <v>0</v>
      </c>
      <c r="AA664" s="417">
        <f>+AA663/VLOOKUP('1. SUMMARY'!$C$20,rate,Sheet1!AD$21,0)</f>
        <v>0</v>
      </c>
      <c r="AB664" s="417">
        <f>+AB663/VLOOKUP('1. SUMMARY'!$C$20,rate,Sheet1!AE$21,0)</f>
        <v>0</v>
      </c>
      <c r="AC664" s="417">
        <f>+AC663/VLOOKUP('1. SUMMARY'!$C$20,rate,Sheet1!AF$21,0)</f>
        <v>0</v>
      </c>
      <c r="AD664" s="417">
        <f>+AD663/VLOOKUP('1. SUMMARY'!$C$20,rate,Sheet1!AG$21,0)</f>
        <v>0</v>
      </c>
      <c r="AE664" s="417">
        <f>+AE663/VLOOKUP('1. SUMMARY'!$C$20,rate,Sheet1!AH$21,0)</f>
        <v>0</v>
      </c>
      <c r="AF664" s="417">
        <f>+AF663/VLOOKUP('1. SUMMARY'!$C$20,rate,Sheet1!AI$21,0)</f>
        <v>0</v>
      </c>
      <c r="AG664" s="417">
        <f>+AG663/VLOOKUP('1. SUMMARY'!$C$20,rate,Sheet1!AJ$21,0)</f>
        <v>0</v>
      </c>
      <c r="AH664" s="219"/>
      <c r="AI664" s="417"/>
      <c r="AJ664" s="417"/>
      <c r="AK664" s="417"/>
      <c r="AL664" s="417"/>
      <c r="AM664" s="417"/>
      <c r="AN664" s="417"/>
      <c r="AO664" s="417"/>
      <c r="AP664" s="417"/>
      <c r="AQ664" s="417"/>
      <c r="AR664" s="417"/>
      <c r="AS664" s="417"/>
      <c r="AT664" s="417"/>
      <c r="AU664" s="417"/>
      <c r="AV664" s="417"/>
      <c r="AW664" s="417"/>
      <c r="AX664" s="417"/>
      <c r="AY664" s="417"/>
      <c r="AZ664" s="417"/>
    </row>
    <row r="665" spans="17:52" hidden="1">
      <c r="Q665" s="420">
        <f>Sheet1!$T$8</f>
        <v>44105</v>
      </c>
      <c r="R665" s="420">
        <f>Sheet1!$U$8</f>
        <v>44470</v>
      </c>
      <c r="S665" s="420">
        <f>Sheet1!$V$8</f>
        <v>44835</v>
      </c>
      <c r="T665" s="420">
        <f>Sheet1!$W$8</f>
        <v>45200</v>
      </c>
      <c r="U665" s="420">
        <f>Sheet1!$X$8</f>
        <v>45566</v>
      </c>
      <c r="V665" s="420">
        <f>Sheet1!$Y$8</f>
        <v>45931</v>
      </c>
      <c r="W665" s="420">
        <f>Sheet1!$Z$8</f>
        <v>46296</v>
      </c>
      <c r="X665" s="420">
        <f>Sheet1!$AA$8</f>
        <v>46661</v>
      </c>
      <c r="Y665" s="420">
        <f>Sheet1!$AB$8</f>
        <v>47027</v>
      </c>
      <c r="Z665" s="420">
        <f>Sheet1!$AC$8</f>
        <v>47392</v>
      </c>
      <c r="AA665" s="420">
        <f>$AA$5</f>
        <v>47757</v>
      </c>
      <c r="AB665" s="420">
        <f>$AB$5</f>
        <v>48122</v>
      </c>
      <c r="AC665" s="420">
        <f>$AC$5</f>
        <v>48488</v>
      </c>
      <c r="AD665" s="420">
        <f>$AD$5</f>
        <v>48853</v>
      </c>
      <c r="AE665" s="420">
        <f>$AE$5</f>
        <v>49218</v>
      </c>
      <c r="AF665" s="420">
        <f>$AF$5</f>
        <v>49583</v>
      </c>
      <c r="AG665" s="420">
        <f>$AG$5</f>
        <v>49949</v>
      </c>
      <c r="AH665" s="219"/>
      <c r="AI665" s="420">
        <f t="shared" ref="AI665:AR667" si="296">+Q665</f>
        <v>44105</v>
      </c>
      <c r="AJ665" s="420">
        <f t="shared" si="296"/>
        <v>44470</v>
      </c>
      <c r="AK665" s="420">
        <f t="shared" si="296"/>
        <v>44835</v>
      </c>
      <c r="AL665" s="420">
        <f t="shared" si="296"/>
        <v>45200</v>
      </c>
      <c r="AM665" s="420">
        <f t="shared" si="296"/>
        <v>45566</v>
      </c>
      <c r="AN665" s="420">
        <f t="shared" si="296"/>
        <v>45931</v>
      </c>
      <c r="AO665" s="420">
        <f t="shared" si="296"/>
        <v>46296</v>
      </c>
      <c r="AP665" s="420">
        <f t="shared" si="296"/>
        <v>46661</v>
      </c>
      <c r="AQ665" s="420">
        <f t="shared" si="296"/>
        <v>47027</v>
      </c>
      <c r="AR665" s="420">
        <f t="shared" si="296"/>
        <v>47392</v>
      </c>
      <c r="AS665" s="420">
        <f t="shared" ref="AS665:AY667" si="297">+AA665</f>
        <v>47757</v>
      </c>
      <c r="AT665" s="420">
        <f t="shared" si="297"/>
        <v>48122</v>
      </c>
      <c r="AU665" s="420">
        <f t="shared" si="297"/>
        <v>48488</v>
      </c>
      <c r="AV665" s="420">
        <f t="shared" si="297"/>
        <v>48853</v>
      </c>
      <c r="AW665" s="420">
        <f t="shared" si="297"/>
        <v>49218</v>
      </c>
      <c r="AX665" s="420">
        <f t="shared" si="297"/>
        <v>49583</v>
      </c>
      <c r="AY665" s="420">
        <f t="shared" si="297"/>
        <v>49949</v>
      </c>
      <c r="AZ665" s="420"/>
    </row>
    <row r="666" spans="17:52" hidden="1">
      <c r="Q666" s="420">
        <f>Sheet1!$T$9</f>
        <v>44469</v>
      </c>
      <c r="R666" s="420">
        <f>Sheet1!$U$9</f>
        <v>44834</v>
      </c>
      <c r="S666" s="420">
        <f>Sheet1!$V$9</f>
        <v>45199</v>
      </c>
      <c r="T666" s="420">
        <f>Sheet1!$W$9</f>
        <v>45565</v>
      </c>
      <c r="U666" s="420">
        <f>Sheet1!$X$9</f>
        <v>45930</v>
      </c>
      <c r="V666" s="420">
        <f>Sheet1!$Y$9</f>
        <v>46295</v>
      </c>
      <c r="W666" s="420">
        <f>Sheet1!$Z$9</f>
        <v>46660</v>
      </c>
      <c r="X666" s="420">
        <f>Sheet1!$AA$9</f>
        <v>47026</v>
      </c>
      <c r="Y666" s="420">
        <f>Sheet1!$AB$9</f>
        <v>47391</v>
      </c>
      <c r="Z666" s="420">
        <f>Sheet1!$AC$9</f>
        <v>47756</v>
      </c>
      <c r="AA666" s="420">
        <f>$AA$6</f>
        <v>48121</v>
      </c>
      <c r="AB666" s="420">
        <f>$AB$6</f>
        <v>48487</v>
      </c>
      <c r="AC666" s="420">
        <f>$AC$6</f>
        <v>48852</v>
      </c>
      <c r="AD666" s="420">
        <f>$AD$6</f>
        <v>49217</v>
      </c>
      <c r="AE666" s="420">
        <f>$AE$6</f>
        <v>49582</v>
      </c>
      <c r="AF666" s="420">
        <f>$AF$6</f>
        <v>49948</v>
      </c>
      <c r="AG666" s="420">
        <f>$AG$6</f>
        <v>50313</v>
      </c>
      <c r="AH666" s="219"/>
      <c r="AI666" s="420">
        <f t="shared" si="296"/>
        <v>44469</v>
      </c>
      <c r="AJ666" s="420">
        <f t="shared" si="296"/>
        <v>44834</v>
      </c>
      <c r="AK666" s="420">
        <f t="shared" si="296"/>
        <v>45199</v>
      </c>
      <c r="AL666" s="420">
        <f t="shared" si="296"/>
        <v>45565</v>
      </c>
      <c r="AM666" s="420">
        <f t="shared" si="296"/>
        <v>45930</v>
      </c>
      <c r="AN666" s="420">
        <f t="shared" si="296"/>
        <v>46295</v>
      </c>
      <c r="AO666" s="420">
        <f t="shared" si="296"/>
        <v>46660</v>
      </c>
      <c r="AP666" s="420">
        <f t="shared" si="296"/>
        <v>47026</v>
      </c>
      <c r="AQ666" s="420">
        <f t="shared" si="296"/>
        <v>47391</v>
      </c>
      <c r="AR666" s="420">
        <f t="shared" si="296"/>
        <v>47756</v>
      </c>
      <c r="AS666" s="420">
        <f t="shared" si="297"/>
        <v>48121</v>
      </c>
      <c r="AT666" s="420">
        <f t="shared" si="297"/>
        <v>48487</v>
      </c>
      <c r="AU666" s="420">
        <f t="shared" si="297"/>
        <v>48852</v>
      </c>
      <c r="AV666" s="420">
        <f t="shared" si="297"/>
        <v>49217</v>
      </c>
      <c r="AW666" s="420">
        <f t="shared" si="297"/>
        <v>49582</v>
      </c>
      <c r="AX666" s="420">
        <f t="shared" si="297"/>
        <v>49948</v>
      </c>
      <c r="AY666" s="420">
        <f t="shared" si="297"/>
        <v>50313</v>
      </c>
      <c r="AZ666" s="420"/>
    </row>
    <row r="667" spans="17:52" hidden="1">
      <c r="Q667" s="421">
        <f>IF(IF(Q666&lt;$K$27,0,DATEDIF($K$27,Q666+1,"m"))&lt;0,0,IF(Q666&lt;$K$27,0,DATEDIF($K$27,Q666+1,"m")))</f>
        <v>0</v>
      </c>
      <c r="R667" s="421">
        <f>IF(IF(Q667=12,0,IF(R666&gt;$K$28,12-DATEDIF($K$28,R666+1,"m"),IF(R666&lt;$K$27,0,DATEDIF($K$27,R666+1,"m"))))&lt;0,0,IF(Q667=12,0,IF(R666&gt;$K$28,12-DATEDIF($K$28,R666+1,"m"),IF(R666&lt;$K$27,0,DATEDIF($K$27,R666+1,"m")))))</f>
        <v>0</v>
      </c>
      <c r="S667" s="421">
        <f>IF(IF(Q667+R667=12,0,IF(S666&gt;$K$28,12-DATEDIF($K$28,S666+1,"m"),IF(S666&lt;$K$27,0,DATEDIF($K$27,S666+1,"m"))))&lt;0,0,IF(Q667+R667=12,0,IF(S666&gt;$K$28,12-DATEDIF($K$28,S666+1,"m"),IF(S666&lt;$K$27,0,DATEDIF($K$27,S666+1,"m")))))</f>
        <v>0</v>
      </c>
      <c r="T667" s="421">
        <f>IF(IF(R667+S667+Q667=12,0,IF(T666&gt;$K$28,12-DATEDIF($K$28,T666+1,"m"),IF(T666&lt;$K$27,0,DATEDIF($K$27,T666+1,"m"))))&lt;0,0,IF(R667+S667+Q667=12,0,IF(T666&gt;$K$28,12-DATEDIF($K$28,T666+1,"m"),IF(T666&lt;$K$27,0,DATEDIF($K$27,T666+1,"m")))))</f>
        <v>0</v>
      </c>
      <c r="U667" s="421">
        <f>IF(IF(S667+T667+R667+Q667=12,0,IF(U666&gt;$K$28,12-DATEDIF($K$28,U666+1,"m"),IF(U666&lt;$K$27,0,DATEDIF($K$27,U666+1,"m"))))&lt;0,0,IF(S667+T667+R667+Q667=12,0,IF(U666&gt;$K$28,12-DATEDIF($K$28,U666+1,"m"),IF(U666&lt;$K$27,0,DATEDIF($K$27,U666+1,"m")))))</f>
        <v>0</v>
      </c>
      <c r="V667" s="421">
        <f>IF(IF(T667+U667+S667+R667+Q667=12,0,IF(V666&gt;$K$28,12-DATEDIF($K$28,V666+1,"m"),IF(V666&lt;$K$27,0,DATEDIF($K$27,V666+1,"m"))))&lt;0,0,IF(T667+U667+S667+R667+Q667=12,0,IF(V666&gt;$K$28,12-DATEDIF($K$28,V666+1,"m"),IF(V666&lt;$K$27,0,DATEDIF($K$27,V666+1,"m")))))</f>
        <v>0</v>
      </c>
      <c r="W667" s="421">
        <f>IF(IF(U667+V667+T667+S667+R667+Q667=12,0,IF(W666&gt;$K$28,12-DATEDIF($K$28,W666+1,"m"),IF(W666&lt;$K$27,0,DATEDIF($K$27,W666+1,"m"))))&lt;0,0,IF(U667+V667+T667+S667+R667+Q667=12,0,IF(W666&gt;$K$28,12-DATEDIF($K$28,W666+1,"m"),IF(W666&lt;$K$27,0,DATEDIF($K$27,W666+1,"m")))))</f>
        <v>0</v>
      </c>
      <c r="X667" s="421">
        <f>IF(IF(V667+W667+U667+T667+S667+R667+Q667=12,0,IF(X666&gt;$K$28,12-DATEDIF($K$28,X666+1,"m"),IF(X666&lt;$K$27,0,DATEDIF($K$27,X666+1,"m"))))&lt;0,0,IF(V667+W667+U667+T667+S667+R667+Q667=12,0,IF(X666&gt;$K$28,12-DATEDIF($K$28,X666+1,"m"),IF(X666&lt;$K$27,0,DATEDIF($K$27,X666+1,"m")))))</f>
        <v>0</v>
      </c>
      <c r="Y667" s="421">
        <f>IF(IF(W667+X667+V667+U667+T667+S667+R667+Q667=12,0,IF(Y666&gt;$K$28,12-DATEDIF($K$28,Y666+1,"m"),IF(Y666&lt;$K$27,0,DATEDIF($K$27,Y666+1,"m"))))&lt;0,0,IF(W667+X667+V667+U667+T667+S667+R667+Q667=12,0,IF(Y666&gt;$K$28,12-DATEDIF($K$28,Y666+1,"m"),IF(Y666&lt;$K$27,0,DATEDIF($K$27,Y666+1,"m")))))</f>
        <v>0</v>
      </c>
      <c r="Z667" s="421">
        <f>IF(IF(X667+Y667+W667+V667+U667+T667+S667+R667+Q667=12,0,IF(Z666&gt;$K$28,12-DATEDIF($K$28,Z666+1,"m"),IF(Z666&lt;$K$27,0,DATEDIF($K$27,Z666+1,"m"))))&lt;0,0,IF(X667+Y667+W667+V667+U667+T667+S667+R667+Q667=12,0,IF(Z666&gt;$K$28,12-DATEDIF($K$28,Z666+1,"m"),IF(Z666&lt;$K$27,0,DATEDIF($K$27,Z666+1,"m")))))</f>
        <v>0</v>
      </c>
      <c r="AA667" s="421">
        <f>IF(IF(Q667+R667+S667+Y667+Z667+X667+W667+V667+U667+T667=12,0,IF(AA666&gt;$K$28,12-DATEDIF($K$28,AA666+1,"m"),IF(AA666&lt;$K$27,0,DATEDIF($K$27,AA666+1,"m"))))&lt;0,0,IF(Q667+R667+S667+Y667+Z667+X667+W667+V667+U667+T667=12,0,IF(AA666&gt;$K$28,12-DATEDIF($K$28,AA666+1,"m"),IF(AA666&lt;$K$27,0,DATEDIF($K$27,AA666+1,"m")))))</f>
        <v>0</v>
      </c>
      <c r="AB667" s="421">
        <f>IF(IF(Q667+R667+S667+T667+Z667+AA667+Y667+X667+W667+V667+U667=12,0,IF(AB666&gt;$K$28,12-DATEDIF($K$28,AB666+1,"m"),IF(AB666&lt;$K$27,0,DATEDIF($K$27,AB666+1,"m"))))&lt;0,0,IF(Q667+R667+S667+T667+Z667+AA667+Y667+X667+W667+V667+U667=12,0,IF(AB666&gt;$K$28,12-DATEDIF($K$28,AB666+1,"m"),IF(AB666&lt;$K$27,0,DATEDIF($K$27,AB666+1,"m")))))</f>
        <v>0</v>
      </c>
      <c r="AC667" s="421">
        <f>IF(IF(Q667+R667+S667+T667+U667+AA667+AB667+Z667+Y667+X667+W667+V667=12,0,IF(AC666&gt;$K$28,12-DATEDIF($K$28,AC666+1,"m"),IF(AC666&lt;$K$27,0,DATEDIF($K$27,AC666+1,"m"))))&lt;0,0,IF(Q667+R667+S667+T667+U667+AA667+AB667+Z667+Y667+X667+W667+V667=12,0,IF(AC666&gt;$K$28,12-DATEDIF($K$28,AC666+1,"m"),IF(AC666&lt;$K$27,0,DATEDIF($K$27,AC666+1,"m")))))</f>
        <v>0</v>
      </c>
      <c r="AD667" s="421">
        <f>IF(IF(Q667+R667+S667+T667+U667+V667+AB667+AC667+AA667+Z667+Y667+X667+W667=12,0,IF(AD666&gt;$K$28,12-DATEDIF($K$28,AD666+1,"m"),IF(AD666&lt;$K$27,0,DATEDIF($K$27,AD666+1,"m"))))&lt;0,0,IF(Q667+R667+S667+T667+U667+V667+AB667+AC667+AA667+Z667+Y667+X667+W667=12,0,IF(AD666&gt;$K$28,12-DATEDIF($K$28,AD666+1,"m"),IF(AD666&lt;$K$27,0,DATEDIF($K$27,AD666+1,"m")))))</f>
        <v>0</v>
      </c>
      <c r="AE667" s="421">
        <f>IF(IF(Q667+R667+S667+T667+U667+V667+W667+AC667+AD667+AB667+AA667+Z667+Y667+X667=12,0,IF(AE666&gt;$K$28,12-DATEDIF($K$28,AE666+1,"m"),IF(AE666&lt;$K$27,0,DATEDIF($K$27,AE666+1,"m"))))&lt;0,0,IF(Q667+R667+S667+T667+U667+V667+W667+AC667+AD667+AB667+AA667+Z667+Y667+X667=12,0,IF(AE666&gt;$K$28,12-DATEDIF($K$28,AE666+1,"m"),IF(AE666&lt;$K$27,0,DATEDIF($K$27,AE666+1,"m")))))</f>
        <v>0</v>
      </c>
      <c r="AF667" s="421">
        <f>IF(IF(Q667+R667+S667+T667+U667+V667+W667+X667+AD667+AE667+AC667+AB667+AA667+Z667+Y667=12,0,IF(AF666&gt;$K$28,12-DATEDIF($K$28,AF666+1,"m"),IF(AF666&lt;$K$27,0,DATEDIF($K$27,AF666+1,"m"))))&lt;0,0,IF(Q667+R667+S667+T667+U667+V667+W667+X667+AD667+AE667+AC667+AB667+AA667+Z667+Y667=12,0,IF(AF666&gt;$K$28,12-DATEDIF($K$28,AF666+1,"m"),IF(AF666&lt;$K$27,0,DATEDIF($K$27,AF666+1,"m")))))</f>
        <v>0</v>
      </c>
      <c r="AG667" s="421">
        <f>IF(IF(Q667+R667+S667+T667+U667+V667+W667+X667+Y667+AE667+AF667+AD667+AC667+AB667+AA667+Z667=12,0,IF(AG666&gt;$K$28,12-DATEDIF($K$28,AG666+1,"m"),IF(AG666&lt;$K$27,0,DATEDIF($K$27,AG666+1,"m"))))&lt;0,0,IF(Q667+R667+S667+T667+U667+V667+W667+X667+Y667+AE667+AF667+AD667+AC667+AB667+AA667+Z667=12,0,IF(AG666&gt;$K$28,12-DATEDIF($K$28,AG666+1,"m"),IF(AG666&lt;$K$27,0,DATEDIF($K$27,AG666+1,"m")))))</f>
        <v>0</v>
      </c>
      <c r="AH667" s="423">
        <f>SUM(Q667:AG667)</f>
        <v>0</v>
      </c>
      <c r="AI667" s="428">
        <f t="shared" si="296"/>
        <v>0</v>
      </c>
      <c r="AJ667" s="428">
        <f t="shared" si="296"/>
        <v>0</v>
      </c>
      <c r="AK667" s="428">
        <f t="shared" si="296"/>
        <v>0</v>
      </c>
      <c r="AL667" s="428">
        <f t="shared" si="296"/>
        <v>0</v>
      </c>
      <c r="AM667" s="428">
        <f t="shared" si="296"/>
        <v>0</v>
      </c>
      <c r="AN667" s="428">
        <f t="shared" si="296"/>
        <v>0</v>
      </c>
      <c r="AO667" s="428">
        <f t="shared" si="296"/>
        <v>0</v>
      </c>
      <c r="AP667" s="428">
        <f t="shared" si="296"/>
        <v>0</v>
      </c>
      <c r="AQ667" s="428">
        <f t="shared" si="296"/>
        <v>0</v>
      </c>
      <c r="AR667" s="428">
        <f t="shared" si="296"/>
        <v>0</v>
      </c>
      <c r="AS667" s="428">
        <f t="shared" si="297"/>
        <v>0</v>
      </c>
      <c r="AT667" s="428">
        <f t="shared" si="297"/>
        <v>0</v>
      </c>
      <c r="AU667" s="428">
        <f t="shared" si="297"/>
        <v>0</v>
      </c>
      <c r="AV667" s="428">
        <f t="shared" si="297"/>
        <v>0</v>
      </c>
      <c r="AW667" s="428">
        <f t="shared" si="297"/>
        <v>0</v>
      </c>
      <c r="AX667" s="428">
        <f t="shared" si="297"/>
        <v>0</v>
      </c>
      <c r="AY667" s="428">
        <f t="shared" si="297"/>
        <v>0</v>
      </c>
      <c r="AZ667" s="428">
        <f>SUM(AI667:AY667)</f>
        <v>0</v>
      </c>
    </row>
    <row r="668" spans="17:52" hidden="1">
      <c r="Q668" s="421">
        <f>IF(Q667=0,0,(IF(($B$220+$C$220+$D$220+$E$220+$F$220+$G$220+$H$220+$I$220+$J$220+$K$220)&lt;=25000,(($K$220/+$AH667)*Q667)*VLOOKUP('1. SUMMARY'!$C$20,rate,Sheet1!T$21,0),((IF(($F$220+$B$220+$C$220+$D$220+$E$220+$G$220+$H$220+$I$220+$J$220)&gt;=25000,0,(((25000-($B$220+$C$220+$D$220+$E$220+$F$220+$G$220+$H$220+$I$220+$J$220))/+$AH667)*Q667)*(VLOOKUP('1. SUMMARY'!$C$20,rate,Sheet1!T$21,0))))))))</f>
        <v>0</v>
      </c>
      <c r="R668" s="421">
        <f>IF(R667=0,0,(IF(($B$220+$C$220+$D$220+$E$220+$F$220+$G$220+$H$220+$I$220+$J$220+$K$220)&lt;=25000,(($K$220/+$AH667)*R667)*VLOOKUP('1. SUMMARY'!$C$20,rate,Sheet1!U$21,0),((IF(($F$220+$B$220+$C$220+$D$220+$E$220+$G$220+$H$220+$I$220+$J$220)&gt;=25000,0,(((25000-($B$220+$C$220+$D$220+$E$220+$F$220+$G$220+$H$220+$I$220+$J$220))/+$AH667)*R667)*(VLOOKUP('1. SUMMARY'!$C$20,rate,Sheet1!U$21,0))))))))</f>
        <v>0</v>
      </c>
      <c r="S668" s="421">
        <f>IF(S667=0,0,(IF(($B$220+$C$220+$D$220+$E$220+$F$220+$G$220+$H$220+$I$220+$J$220+$K$220)&lt;=25000,(($K$220/+$AH667)*S667)*VLOOKUP('1. SUMMARY'!$C$20,rate,Sheet1!V$21,0),((IF(($F$220+$B$220+$C$220+$D$220+$E$220+$G$220+$H$220+$I$220+$J$220)&gt;=25000,0,(((25000-($B$220+$C$220+$D$220+$E$220+$F$220+$G$220+$H$220+$I$220+$J$220))/+$AH667)*S667)*(VLOOKUP('1. SUMMARY'!$C$20,rate,Sheet1!V$21,0))))))))</f>
        <v>0</v>
      </c>
      <c r="T668" s="421">
        <f>IF(T667=0,0,(IF(($B$220+$C$220+$D$220+$E$220+$F$220+$G$220+$H$220+$I$220+$J$220+$K$220)&lt;=25000,(($K$220/+$AH667)*T667)*VLOOKUP('1. SUMMARY'!$C$20,rate,Sheet1!W$21,0),((IF(($F$220+$B$220+$C$220+$D$220+$E$220+$G$220+$H$220+$I$220+$J$220)&gt;=25000,0,(((25000-($B$220+$C$220+$D$220+$E$220+$F$220+$G$220+$H$220+$I$220+$J$220))/+$AH667)*T667)*(VLOOKUP('1. SUMMARY'!$C$20,rate,Sheet1!W$21,0))))))))</f>
        <v>0</v>
      </c>
      <c r="U668" s="421">
        <f>IF(U667=0,0,(IF(($B$220+$C$220+$D$220+$E$220+$F$220+$G$220+$H$220+$I$220+$J$220+$K$220)&lt;=25000,(($K$220/+$AH667)*U667)*VLOOKUP('1. SUMMARY'!$C$20,rate,Sheet1!X$21,0),((IF(($F$220+$B$220+$C$220+$D$220+$E$220+$G$220+$H$220+$I$220+$J$220)&gt;=25000,0,(((25000-($B$220+$C$220+$D$220+$E$220+$F$220+$G$220+$H$220+$I$220+$J$220))/+$AH667)*U667)*(VLOOKUP('1. SUMMARY'!$C$20,rate,Sheet1!X$21,0))))))))</f>
        <v>0</v>
      </c>
      <c r="V668" s="421">
        <f>IF(V667=0,0,(IF(($B$220+$C$220+$D$220+$E$220+$F$220+$G$220+$H$220+$I$220+$J$220+$K$220)&lt;=25000,(($K$220/+$AH667)*V667)*VLOOKUP('1. SUMMARY'!$C$20,rate,Sheet1!Y$21,0),((IF(($F$220+$B$220+$C$220+$D$220+$E$220+$G$220+$H$220+$I$220+$J$220)&gt;=25000,0,(((25000-($B$220+$C$220+$D$220+$E$220+$F$220+$G$220+$H$220+$I$220+$J$220))/+$AH667)*V667)*(VLOOKUP('1. SUMMARY'!$C$20,rate,Sheet1!Y$21,0))))))))</f>
        <v>0</v>
      </c>
      <c r="W668" s="421">
        <f>IF(W667=0,0,(IF(($B$220+$C$220+$D$220+$E$220+$F$220+$G$220+$H$220+$I$220+$J$220+$K$220)&lt;=25000,(($K$220/+$AH667)*W667)*VLOOKUP('1. SUMMARY'!$C$20,rate,Sheet1!Z$21,0),((IF(($F$220+$B$220+$C$220+$D$220+$E$220+$G$220+$H$220+$I$220+$J$220)&gt;=25000,0,(((25000-($B$220+$C$220+$D$220+$E$220+$F$220+$G$220+$H$220+$I$220+$J$220))/+$AH667)*W667)*(VLOOKUP('1. SUMMARY'!$C$20,rate,Sheet1!Z$21,0))))))))</f>
        <v>0</v>
      </c>
      <c r="X668" s="421">
        <f>IF(X667=0,0,(IF(($B$220+$C$220+$D$220+$E$220+$F$220+$G$220+$H$220+$I$220+$J$220+$K$220)&lt;=25000,(($K$220/+$AH667)*X667)*VLOOKUP('1. SUMMARY'!$C$20,rate,Sheet1!AA$21,0),((IF(($F$220+$B$220+$C$220+$D$220+$E$220+$G$220+$H$220+$I$220+$J$220)&gt;=25000,0,(((25000-($B$220+$C$220+$D$220+$E$220+$F$220+$G$220+$H$220+$I$220+$J$220))/+$AH667)*X667)*(VLOOKUP('1. SUMMARY'!$C$20,rate,Sheet1!AA$21,0))))))))</f>
        <v>0</v>
      </c>
      <c r="Y668" s="421">
        <f>IF(Y667=0,0,(IF(($B$220+$C$220+$D$220+$E$220+$F$220+$G$220+$H$220+$I$220+$J$220+$K$220)&lt;=25000,(($K$220/+$AH667)*Y667)*VLOOKUP('1. SUMMARY'!$C$20,rate,Sheet1!AB$21,0),((IF(($F$220+$B$220+$C$220+$D$220+$E$220+$G$220+$H$220+$I$220+$J$220)&gt;=25000,0,(((25000-($B$220+$C$220+$D$220+$E$220+$F$220+$G$220+$H$220+$I$220+$J$220))/+$AH667)*Y667)*(VLOOKUP('1. SUMMARY'!$C$20,rate,Sheet1!AB$21,0))))))))</f>
        <v>0</v>
      </c>
      <c r="Z668" s="421">
        <f>IF(Z667=0,0,(IF(($B$220+$C$220+$D$220+$E$220+$F$220+$G$220+$H$220+$I$220+$J$220+$K$220)&lt;=25000,(($K$220/+$AH667)*Z667)*VLOOKUP('1. SUMMARY'!$C$20,rate,Sheet1!AC$21,0),((IF(($F$220+$B$220+$C$220+$D$220+$E$220+$G$220+$H$220+$I$220+$J$220)&gt;=25000,0,(((25000-($B$220+$C$220+$D$220+$E$220+$F$220+$G$220+$H$220+$I$220+$J$220))/+$AH667)*Z667)*(VLOOKUP('1. SUMMARY'!$C$20,rate,Sheet1!AC$21,0))))))))</f>
        <v>0</v>
      </c>
      <c r="AA668" s="421">
        <f>IF(AA667=0,0,(IF(($B$220+$C$220+$D$220+$E$220+$F$220+$G$220+$H$220+$I$220+$J$220+$K$220)&lt;=25000,(($K$220/+$AH667)*AA667)*VLOOKUP('1. SUMMARY'!$C$20,rate,Sheet1!AD$21,0),((IF(($F$220+$B$220+$C$220+$D$220+$E$220+$G$220+$H$220+$I$220+$J$220)&gt;=25000,0,(((25000-($B$220+$C$220+$D$220+$E$220+$F$220+$G$220+$H$220+$I$220+$J$220))/+$AH667)*AA667)*(VLOOKUP('1. SUMMARY'!$C$20,rate,Sheet1!AD$21,0))))))))</f>
        <v>0</v>
      </c>
      <c r="AB668" s="421">
        <f>IF(AB667=0,0,(IF(($B$220+$C$220+$D$220+$E$220+$F$220+$G$220+$H$220+$I$220+$J$220+$K$220)&lt;=25000,(($K$220/+$AH667)*AB667)*VLOOKUP('1. SUMMARY'!$C$20,rate,Sheet1!AE$21,0),((IF(($F$220+$B$220+$C$220+$D$220+$E$220+$G$220+$H$220+$I$220+$J$220)&gt;=25000,0,(((25000-($B$220+$C$220+$D$220+$E$220+$F$220+$G$220+$H$220+$I$220+$J$220))/+$AH667)*AB667)*(VLOOKUP('1. SUMMARY'!$C$20,rate,Sheet1!AE$21,0))))))))</f>
        <v>0</v>
      </c>
      <c r="AC668" s="421">
        <f>IF(AC667=0,0,(IF(($B$220+$C$220+$D$220+$E$220+$F$220+$G$220+$H$220+$I$220+$J$220+$K$220)&lt;=25000,(($K$220/+$AH667)*AC667)*VLOOKUP('1. SUMMARY'!$C$20,rate,Sheet1!AF$21,0),((IF(($F$220+$B$220+$C$220+$D$220+$E$220+$G$220+$H$220+$I$220+$J$220)&gt;=25000,0,(((25000-($B$220+$C$220+$D$220+$E$220+$F$220+$G$220+$H$220+$I$220+$J$220))/+$AH667)*AC667)*(VLOOKUP('1. SUMMARY'!$C$20,rate,Sheet1!AF$21,0))))))))</f>
        <v>0</v>
      </c>
      <c r="AD668" s="421">
        <f>IF(AD667=0,0,(IF(($B$220+$C$220+$D$220+$E$220+$F$220+$G$220+$H$220+$I$220+$J$220+$K$220)&lt;=25000,(($K$220/+$AH667)*AD667)*VLOOKUP('1. SUMMARY'!$C$20,rate,Sheet1!AG$21,0),((IF(($F$220+$B$220+$C$220+$D$220+$E$220+$G$220+$H$220+$I$220+$J$220)&gt;=25000,0,(((25000-($B$220+$C$220+$D$220+$E$220+$F$220+$G$220+$H$220+$I$220+$J$220))/+$AH667)*AD667)*(VLOOKUP('1. SUMMARY'!$C$20,rate,Sheet1!AG$21,0))))))))</f>
        <v>0</v>
      </c>
      <c r="AE668" s="421">
        <f>IF(AE667=0,0,(IF(($B$220+$C$220+$D$220+$E$220+$F$220+$G$220+$H$220+$I$220+$J$220+$K$220)&lt;=25000,(($K$220/+$AH667)*AE667)*VLOOKUP('1. SUMMARY'!$C$20,rate,Sheet1!AH$21,0),((IF(($F$220+$B$220+$C$220+$D$220+$E$220+$G$220+$H$220+$I$220+$J$220)&gt;=25000,0,(((25000-($B$220+$C$220+$D$220+$E$220+$F$220+$G$220+$H$220+$I$220+$J$220))/+$AH667)*AE667)*(VLOOKUP('1. SUMMARY'!$C$20,rate,Sheet1!AH$21,0))))))))</f>
        <v>0</v>
      </c>
      <c r="AF668" s="421">
        <f>IF(AF667=0,0,(IF(($B$220+$C$220+$D$220+$E$220+$F$220+$G$220+$H$220+$I$220+$J$220+$K$220)&lt;=25000,(($K$220/+$AH667)*AF667)*VLOOKUP('1. SUMMARY'!$C$20,rate,Sheet1!AI$21,0),((IF(($F$220+$B$220+$C$220+$D$220+$E$220+$G$220+$H$220+$I$220+$J$220)&gt;=25000,0,(((25000-($B$220+$C$220+$D$220+$E$220+$F$220+$G$220+$H$220+$I$220+$J$220))/+$AH667)*AF667)*(VLOOKUP('1. SUMMARY'!$C$20,rate,Sheet1!AI$21,0))))))))</f>
        <v>0</v>
      </c>
      <c r="AG668" s="421">
        <f>IF(AG667=0,0,(IF(($B$220+$C$220+$D$220+$E$220+$F$220+$G$220+$H$220+$I$220+$J$220+$K$220)&lt;=25000,(($K$220/+$AH667)*AG667)*VLOOKUP('1. SUMMARY'!$C$20,rate,Sheet1!AJ$21,0),((IF(($F$220+$B$220+$C$220+$D$220+$E$220+$G$220+$H$220+$I$220+$J$220)&gt;=25000,0,(((25000-($B$220+$C$220+$D$220+$E$220+$F$220+$G$220+$H$220+$I$220+$J$220))/+$AH667)*AG667)*(VLOOKUP('1. SUMMARY'!$C$20,rate,Sheet1!AJ$21,0))))))))</f>
        <v>0</v>
      </c>
      <c r="AH668" s="219">
        <f>SUM(Q668:AG668)</f>
        <v>0</v>
      </c>
      <c r="AI668" s="421">
        <f>IF(AI667=0,0,((+$K220/$AZ667)*AI667)*VLOOKUP('1. SUMMARY'!$C$20,rate,Sheet1!T$21,0))</f>
        <v>0</v>
      </c>
      <c r="AJ668" s="421">
        <f>IF(AJ667=0,0,((+$K220/$AZ667)*AJ667)*VLOOKUP('1. SUMMARY'!$C$20,rate,Sheet1!U$21,0))</f>
        <v>0</v>
      </c>
      <c r="AK668" s="421">
        <f>IF(AK667=0,0,((+$K220/$AZ667)*AK667)*VLOOKUP('1. SUMMARY'!$C$20,rate,Sheet1!V$21,0))</f>
        <v>0</v>
      </c>
      <c r="AL668" s="421">
        <f>IF(AL667=0,0,((+$K220/$AZ667)*AL667)*VLOOKUP('1. SUMMARY'!$C$20,rate,Sheet1!W$21,0))</f>
        <v>0</v>
      </c>
      <c r="AM668" s="421">
        <f>IF(AM667=0,0,((+$K220/$AZ667)*AM667)*VLOOKUP('1. SUMMARY'!$C$20,rate,Sheet1!X$21,0))</f>
        <v>0</v>
      </c>
      <c r="AN668" s="421">
        <f>IF(AN667=0,0,((+$K220/$AZ667)*AN667)*VLOOKUP('1. SUMMARY'!$C$20,rate,Sheet1!Y$21,0))</f>
        <v>0</v>
      </c>
      <c r="AO668" s="421">
        <f>IF(AO667=0,0,((+$K220/$AZ667)*AO667)*VLOOKUP('1. SUMMARY'!$C$20,rate,Sheet1!Z$21,0))</f>
        <v>0</v>
      </c>
      <c r="AP668" s="421">
        <f>IF(AP667=0,0,((+$K220/$AZ667)*AP667)*VLOOKUP('1. SUMMARY'!$C$20,rate,Sheet1!AA$21,0))</f>
        <v>0</v>
      </c>
      <c r="AQ668" s="421">
        <f>IF(AQ667=0,0,((+$K220/$AZ667)*AQ667)*VLOOKUP('1. SUMMARY'!$C$20,rate,Sheet1!AB$21,0))</f>
        <v>0</v>
      </c>
      <c r="AR668" s="421">
        <f>IF(AR667=0,0,((+$K220/$AZ667)*AR667)*VLOOKUP('1. SUMMARY'!$C$20,rate,Sheet1!AC$21,0))</f>
        <v>0</v>
      </c>
      <c r="AS668" s="421">
        <f>IF(AS667=0,0,((+$K220/$AZ667)*AS667)*VLOOKUP('1. SUMMARY'!$C$20,rate,Sheet1!AD$21,0))</f>
        <v>0</v>
      </c>
      <c r="AT668" s="421">
        <f>IF(AT667=0,0,((+$K220/$AZ667)*AT667)*VLOOKUP('1. SUMMARY'!$C$20,rate,Sheet1!AE$21,0))</f>
        <v>0</v>
      </c>
      <c r="AU668" s="421">
        <f>IF(AU667=0,0,((+$K220/$AZ667)*AU667)*VLOOKUP('1. SUMMARY'!$C$20,rate,Sheet1!AF$21,0))</f>
        <v>0</v>
      </c>
      <c r="AV668" s="421">
        <f>IF(AV667=0,0,((+$K220/$AZ667)*AV667)*VLOOKUP('1. SUMMARY'!$C$20,rate,Sheet1!AG$21,0))</f>
        <v>0</v>
      </c>
      <c r="AW668" s="421">
        <f>IF(AW667=0,0,((+$K220/$AZ667)*AW667)*VLOOKUP('1. SUMMARY'!$C$20,rate,Sheet1!AH$21,0))</f>
        <v>0</v>
      </c>
      <c r="AX668" s="421">
        <f>IF(AX667=0,0,((+$K220/$AZ667)*AX667)*VLOOKUP('1. SUMMARY'!$C$20,rate,Sheet1!AI$21,0))</f>
        <v>0</v>
      </c>
      <c r="AY668" s="421">
        <f>IF(AY667=0,0,((+$K220/$AZ667)*AY667)*VLOOKUP('1. SUMMARY'!$C$20,rate,Sheet1!AJ$21,0))</f>
        <v>0</v>
      </c>
      <c r="AZ668" s="421">
        <f>SUM(AI668:AY668)</f>
        <v>0</v>
      </c>
    </row>
    <row r="669" spans="17:52" hidden="1">
      <c r="Q669" s="421">
        <f>+Q668/VLOOKUP('1. SUMMARY'!$C$20,rate,Sheet1!T$21,0)</f>
        <v>0</v>
      </c>
      <c r="R669" s="421">
        <f>+R668/VLOOKUP('1. SUMMARY'!$C$20,rate,Sheet1!U$21,0)</f>
        <v>0</v>
      </c>
      <c r="S669" s="421">
        <f>+S668/VLOOKUP('1. SUMMARY'!$C$20,rate,Sheet1!V$21,0)</f>
        <v>0</v>
      </c>
      <c r="T669" s="421">
        <f>+T668/VLOOKUP('1. SUMMARY'!$C$20,rate,Sheet1!W$21,0)</f>
        <v>0</v>
      </c>
      <c r="U669" s="421">
        <f>+U668/VLOOKUP('1. SUMMARY'!$C$20,rate,Sheet1!X$21,0)</f>
        <v>0</v>
      </c>
      <c r="V669" s="421">
        <f>+V668/VLOOKUP('1. SUMMARY'!$C$20,rate,Sheet1!Y$21,0)</f>
        <v>0</v>
      </c>
      <c r="W669" s="421">
        <f>+W668/VLOOKUP('1. SUMMARY'!$C$20,rate,Sheet1!Z$21,0)</f>
        <v>0</v>
      </c>
      <c r="X669" s="421">
        <f>+X668/VLOOKUP('1. SUMMARY'!$C$20,rate,Sheet1!AA$21,0)</f>
        <v>0</v>
      </c>
      <c r="Y669" s="421">
        <f>+Y668/VLOOKUP('1. SUMMARY'!$C$20,rate,Sheet1!AB$21,0)</f>
        <v>0</v>
      </c>
      <c r="Z669" s="421">
        <f>+Z668/VLOOKUP('1. SUMMARY'!$C$20,rate,Sheet1!AC$21,0)</f>
        <v>0</v>
      </c>
      <c r="AA669" s="421">
        <f>+AA668/VLOOKUP('1. SUMMARY'!$C$20,rate,Sheet1!AD$21,0)</f>
        <v>0</v>
      </c>
      <c r="AB669" s="421">
        <f>+AB668/VLOOKUP('1. SUMMARY'!$C$20,rate,Sheet1!AE$21,0)</f>
        <v>0</v>
      </c>
      <c r="AC669" s="421">
        <f>+AC668/VLOOKUP('1. SUMMARY'!$C$20,rate,Sheet1!AF$21,0)</f>
        <v>0</v>
      </c>
      <c r="AD669" s="421">
        <f>+AD668/VLOOKUP('1. SUMMARY'!$C$20,rate,Sheet1!AG$21,0)</f>
        <v>0</v>
      </c>
      <c r="AE669" s="421">
        <f>+AE668/VLOOKUP('1. SUMMARY'!$C$20,rate,Sheet1!AH$21,0)</f>
        <v>0</v>
      </c>
      <c r="AF669" s="421">
        <f>+AF668/VLOOKUP('1. SUMMARY'!$C$20,rate,Sheet1!AI$21,0)</f>
        <v>0</v>
      </c>
      <c r="AG669" s="421">
        <f>+AG668/VLOOKUP('1. SUMMARY'!$C$20,rate,Sheet1!AJ$21,0)</f>
        <v>0</v>
      </c>
      <c r="AH669" s="219"/>
      <c r="AI669" s="421"/>
      <c r="AJ669" s="421"/>
      <c r="AK669" s="421"/>
      <c r="AL669" s="421"/>
      <c r="AM669" s="421"/>
      <c r="AN669" s="421"/>
      <c r="AO669" s="421"/>
      <c r="AP669" s="421"/>
      <c r="AQ669" s="421"/>
      <c r="AR669" s="421"/>
      <c r="AS669" s="421"/>
      <c r="AT669" s="421"/>
      <c r="AU669" s="421"/>
      <c r="AV669" s="421"/>
      <c r="AW669" s="421"/>
      <c r="AX669" s="421"/>
      <c r="AY669" s="421"/>
      <c r="AZ669" s="421"/>
    </row>
    <row r="670" spans="17:52" hidden="1">
      <c r="Q670" s="396">
        <f>Sheet1!$T$8</f>
        <v>44105</v>
      </c>
      <c r="R670" s="396">
        <f>Sheet1!$U$8</f>
        <v>44470</v>
      </c>
      <c r="S670" s="396">
        <f>Sheet1!$V$8</f>
        <v>44835</v>
      </c>
      <c r="T670" s="396">
        <f>Sheet1!$W$8</f>
        <v>45200</v>
      </c>
      <c r="U670" s="396">
        <f>Sheet1!$X$8</f>
        <v>45566</v>
      </c>
      <c r="V670" s="396">
        <f>Sheet1!$Y$8</f>
        <v>45931</v>
      </c>
      <c r="W670" s="396">
        <f>Sheet1!$Z$8</f>
        <v>46296</v>
      </c>
      <c r="X670" s="396">
        <f>Sheet1!$AA$8</f>
        <v>46661</v>
      </c>
      <c r="Y670" s="396">
        <f>Sheet1!$AB$8</f>
        <v>47027</v>
      </c>
      <c r="Z670" s="396">
        <f>Sheet1!$AC$8</f>
        <v>47392</v>
      </c>
      <c r="AA670" s="396">
        <f>$AA$5</f>
        <v>47757</v>
      </c>
      <c r="AB670" s="396">
        <f>$AB$5</f>
        <v>48122</v>
      </c>
      <c r="AC670" s="396">
        <f>$AC$5</f>
        <v>48488</v>
      </c>
      <c r="AD670" s="396">
        <f>$AD$5</f>
        <v>48853</v>
      </c>
      <c r="AE670" s="396">
        <f>$AE$5</f>
        <v>49218</v>
      </c>
      <c r="AF670" s="396">
        <f>$AF$5</f>
        <v>49583</v>
      </c>
      <c r="AG670" s="396">
        <f>$AG$5</f>
        <v>49949</v>
      </c>
      <c r="AH670" s="211"/>
      <c r="AI670" s="396">
        <f t="shared" ref="AI670:AR672" si="298">+Q670</f>
        <v>44105</v>
      </c>
      <c r="AJ670" s="396">
        <f t="shared" si="298"/>
        <v>44470</v>
      </c>
      <c r="AK670" s="396">
        <f t="shared" si="298"/>
        <v>44835</v>
      </c>
      <c r="AL670" s="396">
        <f t="shared" si="298"/>
        <v>45200</v>
      </c>
      <c r="AM670" s="396">
        <f t="shared" si="298"/>
        <v>45566</v>
      </c>
      <c r="AN670" s="396">
        <f t="shared" si="298"/>
        <v>45931</v>
      </c>
      <c r="AO670" s="396">
        <f t="shared" si="298"/>
        <v>46296</v>
      </c>
      <c r="AP670" s="396">
        <f t="shared" si="298"/>
        <v>46661</v>
      </c>
      <c r="AQ670" s="396">
        <f t="shared" si="298"/>
        <v>47027</v>
      </c>
      <c r="AR670" s="396">
        <f t="shared" si="298"/>
        <v>47392</v>
      </c>
      <c r="AS670" s="396">
        <f t="shared" ref="AS670:AY672" si="299">+AA670</f>
        <v>47757</v>
      </c>
      <c r="AT670" s="396">
        <f t="shared" si="299"/>
        <v>48122</v>
      </c>
      <c r="AU670" s="396">
        <f t="shared" si="299"/>
        <v>48488</v>
      </c>
      <c r="AV670" s="396">
        <f t="shared" si="299"/>
        <v>48853</v>
      </c>
      <c r="AW670" s="396">
        <f t="shared" si="299"/>
        <v>49218</v>
      </c>
      <c r="AX670" s="396">
        <f t="shared" si="299"/>
        <v>49583</v>
      </c>
      <c r="AY670" s="396">
        <f t="shared" si="299"/>
        <v>49949</v>
      </c>
      <c r="AZ670" s="396"/>
    </row>
    <row r="671" spans="17:52" hidden="1">
      <c r="Q671" s="396">
        <f>Sheet1!$T$9</f>
        <v>44469</v>
      </c>
      <c r="R671" s="396">
        <f>Sheet1!$U$9</f>
        <v>44834</v>
      </c>
      <c r="S671" s="396">
        <f>Sheet1!$V$9</f>
        <v>45199</v>
      </c>
      <c r="T671" s="396">
        <f>Sheet1!$W$9</f>
        <v>45565</v>
      </c>
      <c r="U671" s="396">
        <f>Sheet1!$X$9</f>
        <v>45930</v>
      </c>
      <c r="V671" s="396">
        <f>Sheet1!$Y$9</f>
        <v>46295</v>
      </c>
      <c r="W671" s="396">
        <f>Sheet1!$Z$9</f>
        <v>46660</v>
      </c>
      <c r="X671" s="396">
        <f>Sheet1!$AA$9</f>
        <v>47026</v>
      </c>
      <c r="Y671" s="396">
        <f>Sheet1!$AB$9</f>
        <v>47391</v>
      </c>
      <c r="Z671" s="396">
        <f>Sheet1!$AC$9</f>
        <v>47756</v>
      </c>
      <c r="AA671" s="396">
        <f>$AA$6</f>
        <v>48121</v>
      </c>
      <c r="AB671" s="396">
        <f>$AB$6</f>
        <v>48487</v>
      </c>
      <c r="AC671" s="396">
        <f>$AC$6</f>
        <v>48852</v>
      </c>
      <c r="AD671" s="396">
        <f>$AD$6</f>
        <v>49217</v>
      </c>
      <c r="AE671" s="396">
        <f>$AE$6</f>
        <v>49582</v>
      </c>
      <c r="AF671" s="396">
        <f>$AF$6</f>
        <v>49948</v>
      </c>
      <c r="AG671" s="396">
        <f>$AG$6</f>
        <v>50313</v>
      </c>
      <c r="AH671" s="211"/>
      <c r="AI671" s="396">
        <f t="shared" si="298"/>
        <v>44469</v>
      </c>
      <c r="AJ671" s="396">
        <f t="shared" si="298"/>
        <v>44834</v>
      </c>
      <c r="AK671" s="396">
        <f t="shared" si="298"/>
        <v>45199</v>
      </c>
      <c r="AL671" s="396">
        <f t="shared" si="298"/>
        <v>45565</v>
      </c>
      <c r="AM671" s="396">
        <f t="shared" si="298"/>
        <v>45930</v>
      </c>
      <c r="AN671" s="396">
        <f t="shared" si="298"/>
        <v>46295</v>
      </c>
      <c r="AO671" s="396">
        <f t="shared" si="298"/>
        <v>46660</v>
      </c>
      <c r="AP671" s="396">
        <f t="shared" si="298"/>
        <v>47026</v>
      </c>
      <c r="AQ671" s="396">
        <f t="shared" si="298"/>
        <v>47391</v>
      </c>
      <c r="AR671" s="396">
        <f t="shared" si="298"/>
        <v>47756</v>
      </c>
      <c r="AS671" s="396">
        <f t="shared" si="299"/>
        <v>48121</v>
      </c>
      <c r="AT671" s="396">
        <f t="shared" si="299"/>
        <v>48487</v>
      </c>
      <c r="AU671" s="396">
        <f t="shared" si="299"/>
        <v>48852</v>
      </c>
      <c r="AV671" s="396">
        <f t="shared" si="299"/>
        <v>49217</v>
      </c>
      <c r="AW671" s="396">
        <f t="shared" si="299"/>
        <v>49582</v>
      </c>
      <c r="AX671" s="396">
        <f t="shared" si="299"/>
        <v>49948</v>
      </c>
      <c r="AY671" s="396">
        <f t="shared" si="299"/>
        <v>50313</v>
      </c>
      <c r="AZ671" s="396"/>
    </row>
    <row r="672" spans="17:52" hidden="1">
      <c r="Q672" s="397">
        <f>IF(IF(Q671&lt;$B$27,0,DATEDIF($B$27,Q671+1,"m"))&lt;0,0,IF(Q671&lt;$B$27,0,DATEDIF($B$27,Q671+1,"m")))</f>
        <v>1461</v>
      </c>
      <c r="R672" s="397">
        <f>IF(IF(Q672=12,0,IF(R671&gt;$B$28,12-DATEDIF($B$28,R671+1,"m"),IF(R671&lt;$B$27,0,DATEDIF($B$27,R671+1,"m"))))&lt;0,0,IF(Q672=12,0,IF(R671&gt;$B$28,12-DATEDIF($B$28,R671+1,"m"),IF(R671&lt;$B$27,0,DATEDIF($B$27,R671+1,"m")))))</f>
        <v>0</v>
      </c>
      <c r="S672" s="397">
        <f>IF(IF(Q672+R672=12,0,IF(S671&gt;$B$28,12-DATEDIF($B$28,S671+1,"m"),IF(S671&lt;$B$27,0,DATEDIF($B$27,S671+1,"m"))))&lt;0,0,IF(Q672+R672=12,0,IF(S671&gt;$B$28,12-DATEDIF($B$28,S671+1,"m"),IF(S671&lt;$B$27,0,DATEDIF($B$27,S671+1,"m")))))</f>
        <v>0</v>
      </c>
      <c r="T672" s="397">
        <f>IF(IF(R672+S672+Q672=12,0,IF(T671&gt;$B$28,12-DATEDIF($B$28,T671+1,"m"),IF(T671&lt;$B$27,0,DATEDIF($B$27,T671+1,"m"))))&lt;0,0,IF(R672+S672+Q672=12,0,IF(T671&gt;$B$28,12-DATEDIF($B$28,T671+1,"m"),IF(T671&lt;$B$27,0,DATEDIF($B$27,T671+1,"m")))))</f>
        <v>0</v>
      </c>
      <c r="U672" s="397">
        <f>IF(IF(S672+T672+R672+Q672=12,0,IF(U671&gt;$B$28,12-DATEDIF($B$28,U671+1,"m"),IF(U671&lt;$B$27,0,DATEDIF($B$27,U671+1,"m"))))&lt;0,0,IF(S672+T672+R672+Q672=12,0,IF(U671&gt;$B$28,12-DATEDIF($B$28,U671+1,"m"),IF(U671&lt;$B$27,0,DATEDIF($B$27,U671+1,"m")))))</f>
        <v>0</v>
      </c>
      <c r="V672" s="397">
        <f>IF(IF(T672+U672+S672+R672+Q672=12,0,IF(V671&gt;$B$28,12-DATEDIF($B$28,V671+1,"m"),IF(V671&lt;$B$27,0,DATEDIF($B$27,V671+1,"m"))))&lt;0,0,IF(T672+U672+S672+R672+Q672=12,0,IF(V671&gt;$B$28,12-DATEDIF($B$28,V671+1,"m"),IF(V671&lt;$B$27,0,DATEDIF($B$27,V671+1,"m")))))</f>
        <v>0</v>
      </c>
      <c r="W672" s="397">
        <f>IF(IF(U672+V672+T672+S672+R672+Q672=12,0,IF(W671&gt;$B$28,12-DATEDIF($B$28,W671+1,"m"),IF(W671&lt;$B$27,0,DATEDIF($B$27,W671+1,"m"))))&lt;0,0,IF(U672+V672+T672+S672+R672+Q672=12,0,IF(W671&gt;$B$28,12-DATEDIF($B$28,W671+1,"m"),IF(W671&lt;$B$27,0,DATEDIF($B$27,W671+1,"m")))))</f>
        <v>0</v>
      </c>
      <c r="X672" s="397">
        <f>IF(IF(V672+W672+U672+T672+S672+R672+Q672=12,0,IF(X671&gt;$B$28,12-DATEDIF($B$28,X671+1,"m"),IF(X671&lt;$B$27,0,DATEDIF($B$27,X671+1,"m"))))&lt;0,0,IF(V672+W672+U672+T672+S672+R672+Q672=12,0,IF(X671&gt;$B$28,12-DATEDIF($B$28,X671+1,"m"),IF(X671&lt;$B$27,0,DATEDIF($B$27,X671+1,"m")))))</f>
        <v>0</v>
      </c>
      <c r="Y672" s="397">
        <f>IF(IF(W672+X672+V672+U672+T672+S672+R672=12,0,IF(Y671&gt;$B$28,12-DATEDIF($B$28,Y671+1,"m"),IF(Y671&lt;$B$27,0,DATEDIF($B$27,Y671+1,"m"))))&lt;0,0,IF(W672+X672+V672+U672+T672+S672+R672=12,0,IF(Y671&gt;$B$28,12-DATEDIF($B$28,Y671+1,"m"),IF(Y671&lt;$B$27,0,DATEDIF($B$27,Y671+1,"m")))))</f>
        <v>0</v>
      </c>
      <c r="Z672" s="397">
        <f>IF(IF(X672+Y672+W672+V672+U672+T672+S672=12,0,IF(Z671&gt;$B$28,12-DATEDIF($B$28,Z671+1,"m"),IF(Z671&lt;$B$27,0,DATEDIF($B$27,Z671+1,"m"))))&lt;0,0,IF(X672+Y672+W672+V672+U672+T672+S672=12,0,IF(Z671&gt;$B$28,12-DATEDIF($B$28,Z671+1,"m"),IF(Z671&lt;$B$27,0,DATEDIF($B$27,Z671+1,"m")))))</f>
        <v>0</v>
      </c>
      <c r="AA672" s="397"/>
      <c r="AB672" s="397"/>
      <c r="AC672" s="397"/>
      <c r="AD672" s="397"/>
      <c r="AE672" s="397"/>
      <c r="AF672" s="397"/>
      <c r="AG672" s="397"/>
      <c r="AH672" s="423">
        <f>SUM(Q672:AG672)</f>
        <v>1461</v>
      </c>
      <c r="AI672" s="397">
        <f t="shared" si="298"/>
        <v>1461</v>
      </c>
      <c r="AJ672" s="397">
        <f t="shared" si="298"/>
        <v>0</v>
      </c>
      <c r="AK672" s="397">
        <f t="shared" si="298"/>
        <v>0</v>
      </c>
      <c r="AL672" s="397">
        <f t="shared" si="298"/>
        <v>0</v>
      </c>
      <c r="AM672" s="397">
        <f t="shared" si="298"/>
        <v>0</v>
      </c>
      <c r="AN672" s="397">
        <f t="shared" si="298"/>
        <v>0</v>
      </c>
      <c r="AO672" s="397">
        <f t="shared" si="298"/>
        <v>0</v>
      </c>
      <c r="AP672" s="397">
        <f t="shared" si="298"/>
        <v>0</v>
      </c>
      <c r="AQ672" s="397">
        <f t="shared" si="298"/>
        <v>0</v>
      </c>
      <c r="AR672" s="397">
        <f t="shared" si="298"/>
        <v>0</v>
      </c>
      <c r="AS672" s="397">
        <f t="shared" si="299"/>
        <v>0</v>
      </c>
      <c r="AT672" s="397">
        <f t="shared" si="299"/>
        <v>0</v>
      </c>
      <c r="AU672" s="397">
        <f t="shared" si="299"/>
        <v>0</v>
      </c>
      <c r="AV672" s="397">
        <f t="shared" si="299"/>
        <v>0</v>
      </c>
      <c r="AW672" s="397">
        <f t="shared" si="299"/>
        <v>0</v>
      </c>
      <c r="AX672" s="397">
        <f t="shared" si="299"/>
        <v>0</v>
      </c>
      <c r="AY672" s="397">
        <f t="shared" si="299"/>
        <v>0</v>
      </c>
      <c r="AZ672" s="397">
        <f>SUM(AI672:AY672)</f>
        <v>1461</v>
      </c>
    </row>
    <row r="673" spans="17:52" hidden="1">
      <c r="Q673" s="398">
        <f>IF(Q672=0,0,(IF($B$237&gt;25000,((25000/+$AH672)*Q672)*VLOOKUP('1. SUMMARY'!$C$20,rate,Sheet1!T$21,0),(($B$237/+$AH672)*Q672)*VLOOKUP('1. SUMMARY'!$C$20,rate,Sheet1!T$21,0))))</f>
        <v>0</v>
      </c>
      <c r="R673" s="398">
        <f>IF(R672=0,0,(IF($B$237&gt;25000,((25000/+$AH672)*R672)*VLOOKUP('1. SUMMARY'!$C$20,rate,Sheet1!U$21,0),(($B$237/+$AH672)*R672)*VLOOKUP('1. SUMMARY'!$C$20,rate,Sheet1!U$21,0))))</f>
        <v>0</v>
      </c>
      <c r="S673" s="398">
        <f>IF(S672=0,0,(IF($B$237&gt;25000,((25000/+$AH672)*S672)*VLOOKUP('1. SUMMARY'!$C$20,rate,Sheet1!V$21,0),(($B$237/+$AH672)*S672)*VLOOKUP('1. SUMMARY'!$C$20,rate,Sheet1!V$21,0))))</f>
        <v>0</v>
      </c>
      <c r="T673" s="398">
        <f>IF(T672=0,0,(IF($B$237&gt;25000,((25000/+$AH672)*T672)*VLOOKUP('1. SUMMARY'!$C$20,rate,Sheet1!W$21,0),(($B$237/+$AH672)*T672)*VLOOKUP('1. SUMMARY'!$C$20,rate,Sheet1!W$21,0))))</f>
        <v>0</v>
      </c>
      <c r="U673" s="398">
        <f>IF(U672=0,0,(IF($B$237&gt;25000,((25000/+$AH672)*U672)*VLOOKUP('1. SUMMARY'!$C$20,rate,Sheet1!X$21,0),(($B$237/+$AH672)*U672)*VLOOKUP('1. SUMMARY'!$C$20,rate,Sheet1!X$21,0))))</f>
        <v>0</v>
      </c>
      <c r="V673" s="398">
        <f>IF(V672=0,0,(IF($B$237&gt;25000,((25000/+$AH672)*V672)*VLOOKUP('1. SUMMARY'!$C$20,rate,Sheet1!Y$21,0),(($B$237/+$AH672)*V672)*VLOOKUP('1. SUMMARY'!$C$20,rate,Sheet1!Y$21,0))))</f>
        <v>0</v>
      </c>
      <c r="W673" s="398">
        <f>IF(W672=0,0,(IF($B$237&gt;25000,((25000/+$AH672)*W672)*VLOOKUP('1. SUMMARY'!$C$20,rate,Sheet1!Z$21,0),(($B$237/+$AH672)*W672)*VLOOKUP('1. SUMMARY'!$C$20,rate,Sheet1!Z$21,0))))</f>
        <v>0</v>
      </c>
      <c r="X673" s="398">
        <f>IF(X672=0,0,(IF($B$237&gt;25000,((25000/+$AH672)*X672)*VLOOKUP('1. SUMMARY'!$C$20,rate,Sheet1!AA$21,0),(($B$237/+$AH672)*X672)*VLOOKUP('1. SUMMARY'!$C$20,rate,Sheet1!AA$21,0))))</f>
        <v>0</v>
      </c>
      <c r="Y673" s="398">
        <f>IF(Y672=0,0,(IF($B$237&gt;25000,((25000/+$AH672)*Y672)*VLOOKUP('1. SUMMARY'!$C$20,rate,Sheet1!AB$21,0),(($B$237/+$AH672)*Y672)*VLOOKUP('1. SUMMARY'!$C$20,rate,Sheet1!AB$21,0))))</f>
        <v>0</v>
      </c>
      <c r="Z673" s="398">
        <f>IF(Z672=0,0,(IF($B$237&gt;25000,((25000/+$AH672)*Z672)*VLOOKUP('1. SUMMARY'!$C$20,rate,Sheet1!AC$21,0),(($B$237/+$AH672)*Z672)*VLOOKUP('1. SUMMARY'!$C$20,rate,Sheet1!AC$21,0))))</f>
        <v>0</v>
      </c>
      <c r="AA673" s="398">
        <f>IF(AA672=0,0,(IF($B$237&gt;25000,((25000/+$AH672)*AA672)*VLOOKUP('1. SUMMARY'!$C$20,rate,Sheet1!AD$21,0),(($B$237/+$AH672)*AA672)*VLOOKUP('1. SUMMARY'!$C$20,rate,Sheet1!AD$21,0))))</f>
        <v>0</v>
      </c>
      <c r="AB673" s="398">
        <f>IF(AB672=0,0,(IF($B$237&gt;25000,((25000/+$AH672)*AB672)*VLOOKUP('1. SUMMARY'!$C$20,rate,Sheet1!AE$21,0),(($B$237/+$AH672)*AB672)*VLOOKUP('1. SUMMARY'!$C$20,rate,Sheet1!AE$21,0))))</f>
        <v>0</v>
      </c>
      <c r="AC673" s="398">
        <f>IF(AC672=0,0,(IF($B$237&gt;25000,((25000/+$AH672)*AC672)*VLOOKUP('1. SUMMARY'!$C$20,rate,Sheet1!AF$21,0),(($B$237/+$AH672)*AC672)*VLOOKUP('1. SUMMARY'!$C$20,rate,Sheet1!AF$21,0))))</f>
        <v>0</v>
      </c>
      <c r="AD673" s="398">
        <f>IF(AD672=0,0,(IF($B$237&gt;25000,((25000/+$AH672)*AD672)*VLOOKUP('1. SUMMARY'!$C$20,rate,Sheet1!AG$21,0),(($B$237/+$AH672)*AD672)*VLOOKUP('1. SUMMARY'!$C$20,rate,Sheet1!AG$21,0))))</f>
        <v>0</v>
      </c>
      <c r="AE673" s="398">
        <f>IF(AE672=0,0,(IF($B$237&gt;25000,((25000/+$AH672)*AE672)*VLOOKUP('1. SUMMARY'!$C$20,rate,Sheet1!AH$21,0),(($B$237/+$AH672)*AE672)*VLOOKUP('1. SUMMARY'!$C$20,rate,Sheet1!AH$21,0))))</f>
        <v>0</v>
      </c>
      <c r="AF673" s="398">
        <f>IF(AF672=0,0,(IF($B$237&gt;25000,((25000/+$AH672)*AF672)*VLOOKUP('1. SUMMARY'!$C$20,rate,Sheet1!AI$21,0),(($B$237/+$AH672)*AF672)*VLOOKUP('1. SUMMARY'!$C$20,rate,Sheet1!AI$21,0))))</f>
        <v>0</v>
      </c>
      <c r="AG673" s="398">
        <f>IF(AG672=0,0,(IF($B$237&gt;25000,((25000/+$AH672)*AG672)*VLOOKUP('1. SUMMARY'!$C$20,rate,Sheet1!AJ$21,0),(($B$237/+$AH672)*AG672)*VLOOKUP('1. SUMMARY'!$C$20,rate,Sheet1!AJ$21,0))))</f>
        <v>0</v>
      </c>
      <c r="AH673" s="219">
        <f>SUM(Q673:AG673)</f>
        <v>0</v>
      </c>
      <c r="AI673" s="398">
        <f>IF(Q672=0,0,((+$B237/$AZ672)*AI672)*VLOOKUP('1. SUMMARY'!$C$20,rate,Sheet1!T$21,0))</f>
        <v>0</v>
      </c>
      <c r="AJ673" s="398">
        <f>IF(R672=0,0,((+$B237/$AZ672)*AJ672)*VLOOKUP('1. SUMMARY'!$C$20,rate,Sheet1!U$21,0))</f>
        <v>0</v>
      </c>
      <c r="AK673" s="398">
        <f>IF(S672=0,0,((+$B237/$AZ672)*AK672)*VLOOKUP('1. SUMMARY'!$C$20,rate,Sheet1!V$21,0))</f>
        <v>0</v>
      </c>
      <c r="AL673" s="398">
        <f>IF(T672=0,0,((+$B237/$AZ672)*AL672)*VLOOKUP('1. SUMMARY'!$C$20,rate,Sheet1!W$21,0))</f>
        <v>0</v>
      </c>
      <c r="AM673" s="398">
        <f>IF(U672=0,0,((+$B237/$AZ672)*AM672)*VLOOKUP('1. SUMMARY'!$C$20,rate,Sheet1!X$21,0))</f>
        <v>0</v>
      </c>
      <c r="AN673" s="398">
        <f>IF(V672=0,0,((+$B237/$AZ672)*AN672)*VLOOKUP('1. SUMMARY'!$C$20,rate,Sheet1!Y$21,0))</f>
        <v>0</v>
      </c>
      <c r="AO673" s="398">
        <f>IF(W672=0,0,((+$B237/$AZ672)*AO672)*VLOOKUP('1. SUMMARY'!$C$20,rate,Sheet1!Z$21,0))</f>
        <v>0</v>
      </c>
      <c r="AP673" s="398">
        <f>IF(X672=0,0,((+$B237/$AZ672)*AP672)*VLOOKUP('1. SUMMARY'!$C$20,rate,Sheet1!AA$21,0))</f>
        <v>0</v>
      </c>
      <c r="AQ673" s="398">
        <f>IF(Y672=0,0,((+$B237/$AZ672)*AQ672)*VLOOKUP('1. SUMMARY'!$C$20,rate,Sheet1!AB$21,0))</f>
        <v>0</v>
      </c>
      <c r="AR673" s="398">
        <f>IF(Z672=0,0,((+$B237/$AZ672)*AR672)*VLOOKUP('1. SUMMARY'!$C$20,rate,Sheet1!AC$21,0))</f>
        <v>0</v>
      </c>
      <c r="AS673" s="398">
        <f>IF(AA672=0,0,((+$B237/$AZ672)*AS672)*VLOOKUP('1. SUMMARY'!$C$20,rate,Sheet1!AD$21,0))</f>
        <v>0</v>
      </c>
      <c r="AT673" s="398">
        <f>IF(AB672=0,0,((+$B237/$AZ672)*AT672)*VLOOKUP('1. SUMMARY'!$C$20,rate,Sheet1!AE$21,0))</f>
        <v>0</v>
      </c>
      <c r="AU673" s="398">
        <f>IF(AC672=0,0,((+$B237/$AZ672)*AU672)*VLOOKUP('1. SUMMARY'!$C$20,rate,Sheet1!AF$21,0))</f>
        <v>0</v>
      </c>
      <c r="AV673" s="398">
        <f>IF(AD672=0,0,((+$B237/$AZ672)*AV672)*VLOOKUP('1. SUMMARY'!$C$20,rate,Sheet1!AG$21,0))</f>
        <v>0</v>
      </c>
      <c r="AW673" s="398">
        <f>IF(AE672=0,0,((+$B237/$AZ672)*AW672)*VLOOKUP('1. SUMMARY'!$C$20,rate,Sheet1!AH$21,0))</f>
        <v>0</v>
      </c>
      <c r="AX673" s="398">
        <f>IF(AF672=0,0,((+$B237/$AZ672)*AX672)*VLOOKUP('1. SUMMARY'!$C$20,rate,Sheet1!AI$21,0))</f>
        <v>0</v>
      </c>
      <c r="AY673" s="398">
        <f>IF(AG672=0,0,((+$B237/$AZ672)*AY672)*VLOOKUP('1. SUMMARY'!$C$20,rate,Sheet1!AJ$21,0))</f>
        <v>0</v>
      </c>
      <c r="AZ673" s="398">
        <f>SUM(AI673:AY673)</f>
        <v>0</v>
      </c>
    </row>
    <row r="674" spans="17:52" ht="15" hidden="1" customHeight="1">
      <c r="Q674" s="398">
        <f>+Q673/VLOOKUP('1. SUMMARY'!$C$20,rate,Sheet1!T$21,0)</f>
        <v>0</v>
      </c>
      <c r="R674" s="398">
        <f>+R673/VLOOKUP('1. SUMMARY'!$C$20,rate,Sheet1!U$21,0)</f>
        <v>0</v>
      </c>
      <c r="S674" s="398">
        <f>+S673/VLOOKUP('1. SUMMARY'!$C$20,rate,Sheet1!V$21,0)</f>
        <v>0</v>
      </c>
      <c r="T674" s="398">
        <f>+T673/VLOOKUP('1. SUMMARY'!$C$20,rate,Sheet1!W$21,0)</f>
        <v>0</v>
      </c>
      <c r="U674" s="398">
        <f>+U673/VLOOKUP('1. SUMMARY'!$C$20,rate,Sheet1!X$21,0)</f>
        <v>0</v>
      </c>
      <c r="V674" s="398">
        <f>+V673/VLOOKUP('1. SUMMARY'!$C$20,rate,Sheet1!Y$21,0)</f>
        <v>0</v>
      </c>
      <c r="W674" s="398">
        <f>+W673/VLOOKUP('1. SUMMARY'!$C$20,rate,Sheet1!Z$21,0)</f>
        <v>0</v>
      </c>
      <c r="X674" s="398">
        <f>+X673/VLOOKUP('1. SUMMARY'!$C$20,rate,Sheet1!AA$21,0)</f>
        <v>0</v>
      </c>
      <c r="Y674" s="398">
        <f>+Y673/VLOOKUP('1. SUMMARY'!$C$20,rate,Sheet1!AB$21,0)</f>
        <v>0</v>
      </c>
      <c r="Z674" s="398">
        <f>+Z673/VLOOKUP('1. SUMMARY'!$C$20,rate,Sheet1!AC$21,0)</f>
        <v>0</v>
      </c>
      <c r="AA674" s="398">
        <f>+AA673/VLOOKUP('1. SUMMARY'!$C$20,rate,Sheet1!AD$21,0)</f>
        <v>0</v>
      </c>
      <c r="AB674" s="398">
        <f>+AB673/VLOOKUP('1. SUMMARY'!$C$20,rate,Sheet1!AE$21,0)</f>
        <v>0</v>
      </c>
      <c r="AC674" s="398">
        <f>+AC673/VLOOKUP('1. SUMMARY'!$C$20,rate,Sheet1!AF$21,0)</f>
        <v>0</v>
      </c>
      <c r="AD674" s="398">
        <f>+AD673/VLOOKUP('1. SUMMARY'!$C$20,rate,Sheet1!AG$21,0)</f>
        <v>0</v>
      </c>
      <c r="AE674" s="398">
        <f>+AE673/VLOOKUP('1. SUMMARY'!$C$20,rate,Sheet1!AH$21,0)</f>
        <v>0</v>
      </c>
      <c r="AF674" s="398">
        <f>+AF673/VLOOKUP('1. SUMMARY'!$C$20,rate,Sheet1!AI$21,0)</f>
        <v>0</v>
      </c>
      <c r="AG674" s="398">
        <f>+AG673/VLOOKUP('1. SUMMARY'!$C$20,rate,Sheet1!AJ$21,0)</f>
        <v>0</v>
      </c>
      <c r="AH674" s="219"/>
      <c r="AI674" s="398">
        <v>0</v>
      </c>
      <c r="AJ674" s="398">
        <v>0</v>
      </c>
      <c r="AK674" s="398">
        <v>0</v>
      </c>
      <c r="AL674" s="398">
        <v>0</v>
      </c>
      <c r="AM674" s="398">
        <v>0</v>
      </c>
      <c r="AN674" s="398">
        <v>0</v>
      </c>
      <c r="AO674" s="398">
        <v>0</v>
      </c>
      <c r="AP674" s="398">
        <v>0</v>
      </c>
      <c r="AQ674" s="398"/>
      <c r="AR674" s="398"/>
      <c r="AS674" s="398"/>
      <c r="AT674" s="398"/>
      <c r="AU674" s="398"/>
      <c r="AV674" s="398"/>
      <c r="AW674" s="398"/>
      <c r="AX674" s="398"/>
      <c r="AY674" s="398"/>
      <c r="AZ674" s="398"/>
    </row>
    <row r="675" spans="17:52" ht="15" hidden="1" customHeight="1">
      <c r="Q675" s="402">
        <f>Sheet1!$T$8</f>
        <v>44105</v>
      </c>
      <c r="R675" s="402">
        <f>Sheet1!$U$8</f>
        <v>44470</v>
      </c>
      <c r="S675" s="402">
        <f>Sheet1!$V$8</f>
        <v>44835</v>
      </c>
      <c r="T675" s="402">
        <f>Sheet1!$W$8</f>
        <v>45200</v>
      </c>
      <c r="U675" s="402">
        <f>Sheet1!$X$8</f>
        <v>45566</v>
      </c>
      <c r="V675" s="402">
        <f>Sheet1!$Y$8</f>
        <v>45931</v>
      </c>
      <c r="W675" s="402">
        <f>Sheet1!$Z$8</f>
        <v>46296</v>
      </c>
      <c r="X675" s="402">
        <f>Sheet1!$AA$8</f>
        <v>46661</v>
      </c>
      <c r="Y675" s="402">
        <f>Sheet1!$AB$8</f>
        <v>47027</v>
      </c>
      <c r="Z675" s="402">
        <f>Sheet1!$AC$8</f>
        <v>47392</v>
      </c>
      <c r="AA675" s="402">
        <f>$AA$5</f>
        <v>47757</v>
      </c>
      <c r="AB675" s="402">
        <f>$AB$5</f>
        <v>48122</v>
      </c>
      <c r="AC675" s="402">
        <f>$AC$5</f>
        <v>48488</v>
      </c>
      <c r="AD675" s="402">
        <f>$AD$5</f>
        <v>48853</v>
      </c>
      <c r="AE675" s="402">
        <f>$AE$5</f>
        <v>49218</v>
      </c>
      <c r="AF675" s="402">
        <f>$AF$5</f>
        <v>49583</v>
      </c>
      <c r="AG675" s="402">
        <f>$AG$5</f>
        <v>49949</v>
      </c>
      <c r="AH675" s="211"/>
      <c r="AI675" s="402">
        <f t="shared" ref="AI675:AR677" si="300">+Q675</f>
        <v>44105</v>
      </c>
      <c r="AJ675" s="402">
        <f t="shared" si="300"/>
        <v>44470</v>
      </c>
      <c r="AK675" s="402">
        <f t="shared" si="300"/>
        <v>44835</v>
      </c>
      <c r="AL675" s="402">
        <f t="shared" si="300"/>
        <v>45200</v>
      </c>
      <c r="AM675" s="402">
        <f t="shared" si="300"/>
        <v>45566</v>
      </c>
      <c r="AN675" s="402">
        <f t="shared" si="300"/>
        <v>45931</v>
      </c>
      <c r="AO675" s="402">
        <f t="shared" si="300"/>
        <v>46296</v>
      </c>
      <c r="AP675" s="402">
        <f t="shared" si="300"/>
        <v>46661</v>
      </c>
      <c r="AQ675" s="402">
        <f t="shared" si="300"/>
        <v>47027</v>
      </c>
      <c r="AR675" s="402">
        <f t="shared" si="300"/>
        <v>47392</v>
      </c>
      <c r="AS675" s="402">
        <f t="shared" ref="AS675:AY677" si="301">+AA675</f>
        <v>47757</v>
      </c>
      <c r="AT675" s="402">
        <f t="shared" si="301"/>
        <v>48122</v>
      </c>
      <c r="AU675" s="402">
        <f t="shared" si="301"/>
        <v>48488</v>
      </c>
      <c r="AV675" s="402">
        <f t="shared" si="301"/>
        <v>48853</v>
      </c>
      <c r="AW675" s="402">
        <f t="shared" si="301"/>
        <v>49218</v>
      </c>
      <c r="AX675" s="402">
        <f t="shared" si="301"/>
        <v>49583</v>
      </c>
      <c r="AY675" s="402">
        <f t="shared" si="301"/>
        <v>49949</v>
      </c>
      <c r="AZ675" s="402"/>
    </row>
    <row r="676" spans="17:52" ht="15" hidden="1" customHeight="1">
      <c r="Q676" s="402">
        <f>Sheet1!$T$9</f>
        <v>44469</v>
      </c>
      <c r="R676" s="402">
        <f>Sheet1!$U$9</f>
        <v>44834</v>
      </c>
      <c r="S676" s="402">
        <f>Sheet1!$V$9</f>
        <v>45199</v>
      </c>
      <c r="T676" s="402">
        <f>Sheet1!$W$9</f>
        <v>45565</v>
      </c>
      <c r="U676" s="402">
        <f>Sheet1!$X$9</f>
        <v>45930</v>
      </c>
      <c r="V676" s="402">
        <f>Sheet1!$Y$9</f>
        <v>46295</v>
      </c>
      <c r="W676" s="402">
        <f>Sheet1!$Z$9</f>
        <v>46660</v>
      </c>
      <c r="X676" s="402">
        <f>Sheet1!$AA$9</f>
        <v>47026</v>
      </c>
      <c r="Y676" s="402">
        <f>Sheet1!$AB$9</f>
        <v>47391</v>
      </c>
      <c r="Z676" s="402">
        <f>Sheet1!$AC$9</f>
        <v>47756</v>
      </c>
      <c r="AA676" s="402">
        <f>$AA$6</f>
        <v>48121</v>
      </c>
      <c r="AB676" s="402">
        <f>$AB$6</f>
        <v>48487</v>
      </c>
      <c r="AC676" s="402">
        <f>$AC$6</f>
        <v>48852</v>
      </c>
      <c r="AD676" s="402">
        <f>$AD$6</f>
        <v>49217</v>
      </c>
      <c r="AE676" s="402">
        <f>$AE$6</f>
        <v>49582</v>
      </c>
      <c r="AF676" s="402">
        <f>$AF$6</f>
        <v>49948</v>
      </c>
      <c r="AG676" s="402">
        <f>$AG$6</f>
        <v>50313</v>
      </c>
      <c r="AH676" s="211"/>
      <c r="AI676" s="402">
        <f t="shared" si="300"/>
        <v>44469</v>
      </c>
      <c r="AJ676" s="402">
        <f t="shared" si="300"/>
        <v>44834</v>
      </c>
      <c r="AK676" s="402">
        <f t="shared" si="300"/>
        <v>45199</v>
      </c>
      <c r="AL676" s="402">
        <f t="shared" si="300"/>
        <v>45565</v>
      </c>
      <c r="AM676" s="402">
        <f t="shared" si="300"/>
        <v>45930</v>
      </c>
      <c r="AN676" s="402">
        <f t="shared" si="300"/>
        <v>46295</v>
      </c>
      <c r="AO676" s="402">
        <f t="shared" si="300"/>
        <v>46660</v>
      </c>
      <c r="AP676" s="402">
        <f t="shared" si="300"/>
        <v>47026</v>
      </c>
      <c r="AQ676" s="402">
        <f t="shared" si="300"/>
        <v>47391</v>
      </c>
      <c r="AR676" s="402">
        <f t="shared" si="300"/>
        <v>47756</v>
      </c>
      <c r="AS676" s="402">
        <f t="shared" si="301"/>
        <v>48121</v>
      </c>
      <c r="AT676" s="402">
        <f t="shared" si="301"/>
        <v>48487</v>
      </c>
      <c r="AU676" s="402">
        <f t="shared" si="301"/>
        <v>48852</v>
      </c>
      <c r="AV676" s="402">
        <f t="shared" si="301"/>
        <v>49217</v>
      </c>
      <c r="AW676" s="402">
        <f t="shared" si="301"/>
        <v>49582</v>
      </c>
      <c r="AX676" s="402">
        <f t="shared" si="301"/>
        <v>49948</v>
      </c>
      <c r="AY676" s="402">
        <f t="shared" si="301"/>
        <v>50313</v>
      </c>
      <c r="AZ676" s="402"/>
    </row>
    <row r="677" spans="17:52" ht="15" hidden="1" customHeight="1">
      <c r="Q677" s="403">
        <f>IF(IF(Q676&lt;$C$27,0,DATEDIF($C$27,Q676+1,"m"))&lt;0,0,IF(Q676&lt;$C$27,0,DATEDIF($C$27,Q676+1,"m")))</f>
        <v>0</v>
      </c>
      <c r="R677" s="403">
        <f>IF(IF(Q677=12,0,IF(R676&gt;$C$28,12-DATEDIF($C$28,R676+1,"m"),IF(R676&lt;$C$27,0,DATEDIF($C$27,R676+1,"m"))))&lt;0,0,IF(Q677=12,0,IF(R676&gt;$C$28,12-DATEDIF($C$28,R676+1,"m"),IF(R676&lt;$C$27,0,DATEDIF($C$27,R676+1,"m")))))</f>
        <v>0</v>
      </c>
      <c r="S677" s="403">
        <f>IF(IF(Q677+R677=12,0,IF(S676&gt;$C$28,12-DATEDIF($C$28,S676+1,"m"),IF(S676&lt;$C$27,0,DATEDIF($C$27,S676+1,"m"))))&lt;0,0,IF(Q677+R677=12,0,IF(S676&gt;$C$28,12-DATEDIF($C$28,S676+1,"m"),IF(S676&lt;$C$27,0,DATEDIF($C$27,S676+1,"m")))))</f>
        <v>0</v>
      </c>
      <c r="T677" s="403">
        <f>IF(IF(R677+S677+Q677=12,0,IF(T676&gt;$C$28,12-DATEDIF($C$28,T676+1,"m"),IF(T676&lt;$C$27,0,DATEDIF($C$27,T676+1,"m"))))&lt;0,0,IF(R677+S677+Q677=12,0,IF(T676&gt;$C$28,12-DATEDIF($C$28,T676+1,"m"),IF(T676&lt;$C$27,0,DATEDIF($C$27,T676+1,"m")))))</f>
        <v>0</v>
      </c>
      <c r="U677" s="403">
        <f>IF(IF(S677+T677+R677+Q677=12,0,IF(U676&gt;$C$28,12-DATEDIF($C$28,U676+1,"m"),IF(U676&lt;$C$27,0,DATEDIF($C$27,U676+1,"m"))))&lt;0,0,IF(S677+T677+R677+Q677=12,0,IF(U676&gt;$C$28,12-DATEDIF($C$28,U676+1,"m"),IF(U676&lt;$C$27,0,DATEDIF($C$27,U676+1,"m")))))</f>
        <v>0</v>
      </c>
      <c r="V677" s="403">
        <f>IF(IF(T677+U677+S677+R677+Q677=12,0,IF(V676&gt;$C$28,12-DATEDIF($C$28,V676+1,"m"),IF(V676&lt;$C$27,0,DATEDIF($C$27,V676+1,"m"))))&lt;0,0,IF(T677+U677+S677+R677+Q677=12,0,IF(V676&gt;$C$28,12-DATEDIF($C$28,V676+1,"m"),IF(V676&lt;$C$27,0,DATEDIF($C$27,V676+1,"m")))))</f>
        <v>0</v>
      </c>
      <c r="W677" s="403">
        <f>IF(IF(U677+V677+T677+S677+R677+Q677=12,0,IF(W676&gt;$C$28,12-DATEDIF($C$28,W676+1,"m"),IF(W676&lt;$C$27,0,DATEDIF($C$27,W676+1,"m"))))&lt;0,0,IF(U677+V677+T677+S677+R677+Q677=12,0,IF(W676&gt;$C$28,12-DATEDIF($C$28,W676+1,"m"),IF(W676&lt;$C$27,0,DATEDIF($C$27,W676+1,"m")))))</f>
        <v>0</v>
      </c>
      <c r="X677" s="403">
        <f>IF(IF(V677+W677+U677+T677+S677+R677+Q677=12,0,IF(X676&gt;$C$28,12-DATEDIF($C$28,X676+1,"m"),IF(X676&lt;$C$27,0,DATEDIF($C$27,X676+1,"m"))))&lt;0,0,IF(V677+W677+U677+T677+S677+R677+Q677=12,0,IF(X676&gt;$C$28,12-DATEDIF($C$28,X676+1,"m"),IF(X676&lt;$C$27,0,DATEDIF($C$27,X676+1,"m")))))</f>
        <v>0</v>
      </c>
      <c r="Y677" s="403">
        <f>IF(IF(Q677+W677+X677+V677+U677+T677+S677+R677=12,0,IF(Y676&gt;$C$28,12-DATEDIF($C$28,Y676+1,"m"),IF(Y676&lt;$C$27,0,DATEDIF($C$27,Y676+1,"m"))))&lt;0,0,IF(Q677+W677+X677+V677+U677+T677+S677+R677=12,0,IF(Y676&gt;$C$28,12-DATEDIF($C$28,Y676+1,"m"),IF(Y676&lt;$C$27,0,DATEDIF($C$27,Y676+1,"m")))))</f>
        <v>0</v>
      </c>
      <c r="Z677" s="403">
        <f>IF(IF(Q677+R677+X677+Y677+W677+V677+U677+T677+S677=12,0,IF(Z676&gt;$C$28,12-DATEDIF($C$28,Z676+1,"m"),IF(Z676&lt;$C$27,0,DATEDIF($C$27,Z676+1,"m"))))&lt;0,0,IF(+Q677+R677+X677+Y677+W677+V677+U677+T677+S677=12,0,IF(Z676&gt;$C$28,12-DATEDIF($C$28,Z676+1,"m"),IF(Z676&lt;$C$27,0,DATEDIF($C$27,Z676+1,"m")))))</f>
        <v>0</v>
      </c>
      <c r="AA677" s="403"/>
      <c r="AB677" s="403"/>
      <c r="AC677" s="403"/>
      <c r="AD677" s="403"/>
      <c r="AE677" s="403"/>
      <c r="AF677" s="403"/>
      <c r="AG677" s="403"/>
      <c r="AH677" s="423">
        <f>SUM(Q677:AG677)</f>
        <v>0</v>
      </c>
      <c r="AI677" s="403">
        <f t="shared" si="300"/>
        <v>0</v>
      </c>
      <c r="AJ677" s="403">
        <f t="shared" si="300"/>
        <v>0</v>
      </c>
      <c r="AK677" s="403">
        <f t="shared" si="300"/>
        <v>0</v>
      </c>
      <c r="AL677" s="403">
        <f t="shared" si="300"/>
        <v>0</v>
      </c>
      <c r="AM677" s="403">
        <f t="shared" si="300"/>
        <v>0</v>
      </c>
      <c r="AN677" s="403">
        <f t="shared" si="300"/>
        <v>0</v>
      </c>
      <c r="AO677" s="403">
        <f t="shared" si="300"/>
        <v>0</v>
      </c>
      <c r="AP677" s="403">
        <f t="shared" si="300"/>
        <v>0</v>
      </c>
      <c r="AQ677" s="403">
        <f t="shared" si="300"/>
        <v>0</v>
      </c>
      <c r="AR677" s="403">
        <f t="shared" si="300"/>
        <v>0</v>
      </c>
      <c r="AS677" s="403">
        <f t="shared" si="301"/>
        <v>0</v>
      </c>
      <c r="AT677" s="403">
        <f t="shared" si="301"/>
        <v>0</v>
      </c>
      <c r="AU677" s="403">
        <f t="shared" si="301"/>
        <v>0</v>
      </c>
      <c r="AV677" s="403">
        <f t="shared" si="301"/>
        <v>0</v>
      </c>
      <c r="AW677" s="403">
        <f t="shared" si="301"/>
        <v>0</v>
      </c>
      <c r="AX677" s="403">
        <f t="shared" si="301"/>
        <v>0</v>
      </c>
      <c r="AY677" s="403">
        <f t="shared" si="301"/>
        <v>0</v>
      </c>
      <c r="AZ677" s="403">
        <f>SUM(AI677:AY677)</f>
        <v>0</v>
      </c>
    </row>
    <row r="678" spans="17:52" ht="15" hidden="1" customHeight="1">
      <c r="Q678" s="404">
        <f>IF(Q677=0,0,(IF(($C$237+$B$237)&lt;=25000,(($C$237/+$AH677)*Q677)*VLOOKUP('1. SUMMARY'!$C$20,rate,Sheet1!T$21,0),((IF($B$237&gt;=25000,0,((25000-$B$237)/+$AH677)*Q677)*VLOOKUP('1. SUMMARY'!$C$20,rate,Sheet1!T$21,0))))))</f>
        <v>0</v>
      </c>
      <c r="R678" s="404">
        <f>IF(R677=0,0,(IF(($C$237+$B$237)&lt;=25000,(($C$237/+$AH677)*R677)*VLOOKUP('1. SUMMARY'!$C$20,rate,Sheet1!U$21,0),((IF($B$237&gt;=25000,0,((25000-$B$237)/+$AH677)*R677)*VLOOKUP('1. SUMMARY'!$C$20,rate,Sheet1!U$21,0))))))</f>
        <v>0</v>
      </c>
      <c r="S678" s="404">
        <f>IF(S677=0,0,(IF(($C$237+$B$237)&lt;=25000,(($C$237/+$AH677)*S677)*VLOOKUP('1. SUMMARY'!$C$20,rate,Sheet1!V$21,0),((IF($B$237&gt;=25000,0,((25000-$B$237)/+$AH677)*S677)*VLOOKUP('1. SUMMARY'!$C$20,rate,Sheet1!V$21,0))))))</f>
        <v>0</v>
      </c>
      <c r="T678" s="404">
        <f>IF(T677=0,0,(IF(($C$237+$B$237)&lt;=25000,(($C$237/+$AH677)*T677)*VLOOKUP('1. SUMMARY'!$C$20,rate,Sheet1!W$21,0),((IF($B$237&gt;=25000,0,((25000-$B$237)/+$AH677)*T677)*VLOOKUP('1. SUMMARY'!$C$20,rate,Sheet1!W$21,0))))))</f>
        <v>0</v>
      </c>
      <c r="U678" s="404">
        <f>IF(U677=0,0,(IF(($C$237+$B$237)&lt;=25000,(($C$237/+$AH677)*U677)*VLOOKUP('1. SUMMARY'!$C$20,rate,Sheet1!X$21,0),((IF($B$237&gt;=25000,0,((25000-$B$237)/+$AH677)*U677)*VLOOKUP('1. SUMMARY'!$C$20,rate,Sheet1!X$21,0))))))</f>
        <v>0</v>
      </c>
      <c r="V678" s="404">
        <f>IF(V677=0,0,(IF(($C$237+$B$237)&lt;=25000,(($C$237/+$AH677)*V677)*VLOOKUP('1. SUMMARY'!$C$20,rate,Sheet1!Y$21,0),((IF($B$237&gt;=25000,0,((25000-$B$237)/+$AH677)*V677)*VLOOKUP('1. SUMMARY'!$C$20,rate,Sheet1!Y$21,0))))))</f>
        <v>0</v>
      </c>
      <c r="W678" s="404">
        <f>IF(W677=0,0,(IF(($C$237+$B$237)&lt;=25000,(($C$237/+$AH677)*W677)*VLOOKUP('1. SUMMARY'!$C$20,rate,Sheet1!Z$21,0),((IF($B$237&gt;=25000,0,((25000-$B$237)/+$AH677)*W677)*VLOOKUP('1. SUMMARY'!$C$20,rate,Sheet1!Z$21,0))))))</f>
        <v>0</v>
      </c>
      <c r="X678" s="404">
        <f>IF(X677=0,0,(IF(($C$237+$B$237)&lt;=25000,(($C$237/+$AH677)*X677)*VLOOKUP('1. SUMMARY'!$C$20,rate,Sheet1!AA$21,0),((IF($B$237&gt;=25000,0,((25000-$B$237)/+$AH677)*X677)*VLOOKUP('1. SUMMARY'!$C$20,rate,Sheet1!AA$21,0))))))</f>
        <v>0</v>
      </c>
      <c r="Y678" s="404">
        <f>IF(Y677=0,0,(IF(($C$237+$B$237)&lt;=25000,(($C$237/+$AH677)*Y677)*VLOOKUP('1. SUMMARY'!$C$20,rate,Sheet1!AB$21,0),((IF($B$237&gt;=25000,0,((25000-$B$237)/+$AH677)*Y677)*VLOOKUP('1. SUMMARY'!$C$20,rate,Sheet1!AB$21,0))))))</f>
        <v>0</v>
      </c>
      <c r="Z678" s="404">
        <f>IF(Z677=0,0,(IF(($C$237+$B$237)&lt;=25000,(($C$237/+$AH677)*Z677)*VLOOKUP('1. SUMMARY'!$C$20,rate,Sheet1!AC$21,0),((IF($B$237&gt;=25000,0,((25000-$B$237)/+$AH677)*Z677)*VLOOKUP('1. SUMMARY'!$C$20,rate,Sheet1!AC$21,0))))))</f>
        <v>0</v>
      </c>
      <c r="AA678" s="404">
        <f>IF(AA677=0,0,(IF(($C$237+$B$237)&lt;=25000,(($C$237/+$AH677)*AA677)*VLOOKUP('1. SUMMARY'!$C$20,rate,Sheet1!AD$21,0),((IF($B$237&gt;=25000,0,((25000-$B$237)/+$AH677)*AA677)*VLOOKUP('1. SUMMARY'!$C$20,rate,Sheet1!AD$21,0))))))</f>
        <v>0</v>
      </c>
      <c r="AB678" s="404">
        <f>IF(AB677=0,0,(IF(($C$237+$B$237)&lt;=25000,(($C$237/+$AH677)*AB677)*VLOOKUP('1. SUMMARY'!$C$20,rate,Sheet1!AE$21,0),((IF($B$237&gt;=25000,0,((25000-$B$237)/+$AH677)*AB677)*VLOOKUP('1. SUMMARY'!$C$20,rate,Sheet1!AE$21,0))))))</f>
        <v>0</v>
      </c>
      <c r="AC678" s="404">
        <f>IF(AC677=0,0,(IF(($C$237+$B$237)&lt;=25000,(($C$237/+$AH677)*AC677)*VLOOKUP('1. SUMMARY'!$C$20,rate,Sheet1!AF$21,0),((IF($B$237&gt;=25000,0,((25000-$B$237)/+$AH677)*AC677)*VLOOKUP('1. SUMMARY'!$C$20,rate,Sheet1!AF$21,0))))))</f>
        <v>0</v>
      </c>
      <c r="AD678" s="404">
        <f>IF(AD677=0,0,(IF(($C$237+$B$237)&lt;=25000,(($C$237/+$AH677)*AD677)*VLOOKUP('1. SUMMARY'!$C$20,rate,Sheet1!AG$21,0),((IF($B$237&gt;=25000,0,((25000-$B$237)/+$AH677)*AD677)*VLOOKUP('1. SUMMARY'!$C$20,rate,Sheet1!AG$21,0))))))</f>
        <v>0</v>
      </c>
      <c r="AE678" s="404">
        <f>IF(AE677=0,0,(IF(($C$237+$B$237)&lt;=25000,(($C$237/+$AH677)*AE677)*VLOOKUP('1. SUMMARY'!$C$20,rate,Sheet1!AH$21,0),((IF($B$237&gt;=25000,0,((25000-$B$237)/+$AH677)*AE677)*VLOOKUP('1. SUMMARY'!$C$20,rate,Sheet1!AH$21,0))))))</f>
        <v>0</v>
      </c>
      <c r="AF678" s="404">
        <f>IF(AF677=0,0,(IF(($C$237+$B$237)&lt;=25000,(($C$237/+$AH677)*AF677)*VLOOKUP('1. SUMMARY'!$C$20,rate,Sheet1!AI$21,0),((IF($B$237&gt;=25000,0,((25000-$B$237)/+$AH677)*AF677)*VLOOKUP('1. SUMMARY'!$C$20,rate,Sheet1!AI$21,0))))))</f>
        <v>0</v>
      </c>
      <c r="AG678" s="404">
        <f>IF(AG677=0,0,(IF(($C$237+$B$237)&lt;=25000,(($C$237/+$AH677)*AG677)*VLOOKUP('1. SUMMARY'!$C$20,rate,Sheet1!AJ$21,0),((IF($B$237&gt;=25000,0,((25000-$B$237)/+$AH677)*AG677)*VLOOKUP('1. SUMMARY'!$C$20,rate,Sheet1!AJ$21,0))))))</f>
        <v>0</v>
      </c>
      <c r="AH678" s="219">
        <f>SUM(Q678:AG678)</f>
        <v>0</v>
      </c>
      <c r="AI678" s="404">
        <f>IF(AI677=0,0,((+$C237/$AZ677)*AI677)*VLOOKUP('1. SUMMARY'!$C$20,rate,Sheet1!T$21,0))</f>
        <v>0</v>
      </c>
      <c r="AJ678" s="404">
        <f>IF(AJ677=0,0,((+$C237/$AZ677)*AJ677)*VLOOKUP('1. SUMMARY'!$C$20,rate,Sheet1!U$21,0))</f>
        <v>0</v>
      </c>
      <c r="AK678" s="404">
        <f>IF(AK677=0,0,((+$C237/$AZ677)*AK677)*VLOOKUP('1. SUMMARY'!$C$20,rate,Sheet1!V$21,0))</f>
        <v>0</v>
      </c>
      <c r="AL678" s="404">
        <f>IF(AL677=0,0,((+$C237/$AZ677)*AL677)*VLOOKUP('1. SUMMARY'!$C$20,rate,Sheet1!W$21,0))</f>
        <v>0</v>
      </c>
      <c r="AM678" s="404">
        <f>IF(AM677=0,0,((+$C237/$AZ677)*AM677)*VLOOKUP('1. SUMMARY'!$C$20,rate,Sheet1!X$21,0))</f>
        <v>0</v>
      </c>
      <c r="AN678" s="404">
        <f>IF(AN677=0,0,((+$C237/$AZ677)*AN677)*VLOOKUP('1. SUMMARY'!$C$20,rate,Sheet1!Y$21,0))</f>
        <v>0</v>
      </c>
      <c r="AO678" s="404">
        <f>IF(AO677=0,0,((+$C237/$AZ677)*AO677)*VLOOKUP('1. SUMMARY'!$C$20,rate,Sheet1!Z$21,0))</f>
        <v>0</v>
      </c>
      <c r="AP678" s="404">
        <f>IF(AP677=0,0,((+$C237/$AZ677)*AP677)*VLOOKUP('1. SUMMARY'!$C$20,rate,Sheet1!AA$21,0))</f>
        <v>0</v>
      </c>
      <c r="AQ678" s="404">
        <f>IF(AQ677=0,0,((+$C237/$AZ677)*AQ677)*VLOOKUP('1. SUMMARY'!$C$20,rate,Sheet1!AB$21,0))</f>
        <v>0</v>
      </c>
      <c r="AR678" s="404">
        <f>IF(AR677=0,0,((+$C237/$AZ677)*AR677)*VLOOKUP('1. SUMMARY'!$C$20,rate,Sheet1!AC$21,0))</f>
        <v>0</v>
      </c>
      <c r="AS678" s="404">
        <f>IF(AS677=0,0,((+$C237/$AZ677)*AS677)*VLOOKUP('1. SUMMARY'!$C$20,rate,Sheet1!AD$21,0))</f>
        <v>0</v>
      </c>
      <c r="AT678" s="404">
        <f>IF(AT677=0,0,((+$C237/$AZ677)*AT677)*VLOOKUP('1. SUMMARY'!$C$20,rate,Sheet1!AE$21,0))</f>
        <v>0</v>
      </c>
      <c r="AU678" s="404">
        <f>IF(AU677=0,0,((+$C237/$AZ677)*AU677)*VLOOKUP('1. SUMMARY'!$C$20,rate,Sheet1!AF$21,0))</f>
        <v>0</v>
      </c>
      <c r="AV678" s="404">
        <f>IF(AV677=0,0,((+$C237/$AZ677)*AV677)*VLOOKUP('1. SUMMARY'!$C$20,rate,Sheet1!AG$21,0))</f>
        <v>0</v>
      </c>
      <c r="AW678" s="404">
        <f>IF(AW677=0,0,((+$C237/$AZ677)*AW677)*VLOOKUP('1. SUMMARY'!$C$20,rate,Sheet1!AH$21,0))</f>
        <v>0</v>
      </c>
      <c r="AX678" s="404">
        <f>IF(AX677=0,0,((+$C237/$AZ677)*AX677)*VLOOKUP('1. SUMMARY'!$C$20,rate,Sheet1!AI$21,0))</f>
        <v>0</v>
      </c>
      <c r="AY678" s="404">
        <f>IF(AY677=0,0,((+$C237/$AZ677)*AY677)*VLOOKUP('1. SUMMARY'!$C$20,rate,Sheet1!AJ$21,0))</f>
        <v>0</v>
      </c>
      <c r="AZ678" s="404">
        <f>SUM(AI678:AY678)</f>
        <v>0</v>
      </c>
    </row>
    <row r="679" spans="17:52" ht="15" hidden="1" customHeight="1">
      <c r="Q679" s="404">
        <f>+Q678/VLOOKUP('1. SUMMARY'!$C$20,rate,Sheet1!T$21,0)</f>
        <v>0</v>
      </c>
      <c r="R679" s="404">
        <f>+R678/VLOOKUP('1. SUMMARY'!$C$20,rate,Sheet1!U$21,0)</f>
        <v>0</v>
      </c>
      <c r="S679" s="404">
        <f>+S678/VLOOKUP('1. SUMMARY'!$C$20,rate,Sheet1!V$21,0)</f>
        <v>0</v>
      </c>
      <c r="T679" s="404">
        <f>+T678/VLOOKUP('1. SUMMARY'!$C$20,rate,Sheet1!W$21,0)</f>
        <v>0</v>
      </c>
      <c r="U679" s="404">
        <f>+U678/VLOOKUP('1. SUMMARY'!$C$20,rate,Sheet1!X$21,0)</f>
        <v>0</v>
      </c>
      <c r="V679" s="404">
        <f>+V678/VLOOKUP('1. SUMMARY'!$C$20,rate,Sheet1!Y$21,0)</f>
        <v>0</v>
      </c>
      <c r="W679" s="404">
        <f>+W678/VLOOKUP('1. SUMMARY'!$C$20,rate,Sheet1!Z$21,0)</f>
        <v>0</v>
      </c>
      <c r="X679" s="404">
        <f>+X678/VLOOKUP('1. SUMMARY'!$C$20,rate,Sheet1!AA$21,0)</f>
        <v>0</v>
      </c>
      <c r="Y679" s="404">
        <f>+Y678/VLOOKUP('1. SUMMARY'!$C$20,rate,Sheet1!AB$21,0)</f>
        <v>0</v>
      </c>
      <c r="Z679" s="404">
        <f>+Z678/VLOOKUP('1. SUMMARY'!$C$20,rate,Sheet1!AC$21,0)</f>
        <v>0</v>
      </c>
      <c r="AA679" s="404">
        <f>+AA678/VLOOKUP('1. SUMMARY'!$C$20,rate,Sheet1!AD$21,0)</f>
        <v>0</v>
      </c>
      <c r="AB679" s="404">
        <f>+AB678/VLOOKUP('1. SUMMARY'!$C$20,rate,Sheet1!AE$21,0)</f>
        <v>0</v>
      </c>
      <c r="AC679" s="404">
        <f>+AC678/VLOOKUP('1. SUMMARY'!$C$20,rate,Sheet1!AF$21,0)</f>
        <v>0</v>
      </c>
      <c r="AD679" s="404">
        <f>+AD678/VLOOKUP('1. SUMMARY'!$C$20,rate,Sheet1!AG$21,0)</f>
        <v>0</v>
      </c>
      <c r="AE679" s="404">
        <f>+AE678/VLOOKUP('1. SUMMARY'!$C$20,rate,Sheet1!AH$21,0)</f>
        <v>0</v>
      </c>
      <c r="AF679" s="404">
        <f>+AF678/VLOOKUP('1. SUMMARY'!$C$20,rate,Sheet1!AI$21,0)</f>
        <v>0</v>
      </c>
      <c r="AG679" s="404">
        <f>+AG678/VLOOKUP('1. SUMMARY'!$C$20,rate,Sheet1!AJ$21,0)</f>
        <v>0</v>
      </c>
      <c r="AH679" s="219"/>
      <c r="AI679" s="404">
        <v>0</v>
      </c>
      <c r="AJ679" s="404">
        <v>0</v>
      </c>
      <c r="AK679" s="404">
        <v>0</v>
      </c>
      <c r="AL679" s="404">
        <v>0</v>
      </c>
      <c r="AM679" s="404">
        <v>0</v>
      </c>
      <c r="AN679" s="404">
        <v>0</v>
      </c>
      <c r="AO679" s="404">
        <v>0</v>
      </c>
      <c r="AP679" s="404">
        <v>0</v>
      </c>
      <c r="AQ679" s="404"/>
      <c r="AR679" s="404"/>
      <c r="AS679" s="404"/>
      <c r="AT679" s="404"/>
      <c r="AU679" s="404"/>
      <c r="AV679" s="404"/>
      <c r="AW679" s="404"/>
      <c r="AX679" s="404"/>
      <c r="AY679" s="404"/>
      <c r="AZ679" s="404"/>
    </row>
    <row r="680" spans="17:52" ht="15" hidden="1" customHeight="1">
      <c r="Q680" s="399">
        <f>Sheet1!$T$8</f>
        <v>44105</v>
      </c>
      <c r="R680" s="399">
        <f>Sheet1!$U$8</f>
        <v>44470</v>
      </c>
      <c r="S680" s="399">
        <f>Sheet1!$V$8</f>
        <v>44835</v>
      </c>
      <c r="T680" s="399">
        <f>Sheet1!$W$8</f>
        <v>45200</v>
      </c>
      <c r="U680" s="399">
        <f>Sheet1!$X$8</f>
        <v>45566</v>
      </c>
      <c r="V680" s="399">
        <f>Sheet1!$Y$8</f>
        <v>45931</v>
      </c>
      <c r="W680" s="399">
        <f>Sheet1!$Z$8</f>
        <v>46296</v>
      </c>
      <c r="X680" s="399">
        <f>Sheet1!$AA$8</f>
        <v>46661</v>
      </c>
      <c r="Y680" s="399">
        <f>Sheet1!$AB$8</f>
        <v>47027</v>
      </c>
      <c r="Z680" s="399">
        <f>Sheet1!$AC$8</f>
        <v>47392</v>
      </c>
      <c r="AA680" s="399">
        <f>$AA$5</f>
        <v>47757</v>
      </c>
      <c r="AB680" s="399">
        <f>$AB$5</f>
        <v>48122</v>
      </c>
      <c r="AC680" s="399">
        <f>$AC$5</f>
        <v>48488</v>
      </c>
      <c r="AD680" s="399">
        <f>$AD$5</f>
        <v>48853</v>
      </c>
      <c r="AE680" s="399">
        <f>$AE$5</f>
        <v>49218</v>
      </c>
      <c r="AF680" s="399">
        <f>$AF$5</f>
        <v>49583</v>
      </c>
      <c r="AG680" s="399">
        <f>$AG$5</f>
        <v>49949</v>
      </c>
      <c r="AH680" s="211"/>
      <c r="AI680" s="399">
        <f t="shared" ref="AI680:AR682" si="302">+Q680</f>
        <v>44105</v>
      </c>
      <c r="AJ680" s="399">
        <f t="shared" si="302"/>
        <v>44470</v>
      </c>
      <c r="AK680" s="399">
        <f t="shared" si="302"/>
        <v>44835</v>
      </c>
      <c r="AL680" s="399">
        <f t="shared" si="302"/>
        <v>45200</v>
      </c>
      <c r="AM680" s="399">
        <f t="shared" si="302"/>
        <v>45566</v>
      </c>
      <c r="AN680" s="399">
        <f t="shared" si="302"/>
        <v>45931</v>
      </c>
      <c r="AO680" s="399">
        <f t="shared" si="302"/>
        <v>46296</v>
      </c>
      <c r="AP680" s="399">
        <f t="shared" si="302"/>
        <v>46661</v>
      </c>
      <c r="AQ680" s="399">
        <f t="shared" si="302"/>
        <v>47027</v>
      </c>
      <c r="AR680" s="399">
        <f t="shared" si="302"/>
        <v>47392</v>
      </c>
      <c r="AS680" s="399">
        <f t="shared" ref="AS680:AY682" si="303">+AA680</f>
        <v>47757</v>
      </c>
      <c r="AT680" s="399">
        <f t="shared" si="303"/>
        <v>48122</v>
      </c>
      <c r="AU680" s="399">
        <f t="shared" si="303"/>
        <v>48488</v>
      </c>
      <c r="AV680" s="399">
        <f t="shared" si="303"/>
        <v>48853</v>
      </c>
      <c r="AW680" s="399">
        <f t="shared" si="303"/>
        <v>49218</v>
      </c>
      <c r="AX680" s="399">
        <f t="shared" si="303"/>
        <v>49583</v>
      </c>
      <c r="AY680" s="399">
        <f t="shared" si="303"/>
        <v>49949</v>
      </c>
      <c r="AZ680" s="399"/>
    </row>
    <row r="681" spans="17:52" ht="15" hidden="1" customHeight="1">
      <c r="Q681" s="399">
        <f>Sheet1!$T$9</f>
        <v>44469</v>
      </c>
      <c r="R681" s="399">
        <f>Sheet1!$U$9</f>
        <v>44834</v>
      </c>
      <c r="S681" s="399">
        <f>Sheet1!$V$9</f>
        <v>45199</v>
      </c>
      <c r="T681" s="399">
        <f>Sheet1!$W$9</f>
        <v>45565</v>
      </c>
      <c r="U681" s="399">
        <f>Sheet1!$X$9</f>
        <v>45930</v>
      </c>
      <c r="V681" s="399">
        <f>Sheet1!$Y$9</f>
        <v>46295</v>
      </c>
      <c r="W681" s="399">
        <f>Sheet1!$Z$9</f>
        <v>46660</v>
      </c>
      <c r="X681" s="399">
        <f>Sheet1!$AA$9</f>
        <v>47026</v>
      </c>
      <c r="Y681" s="399">
        <f>Sheet1!$AB$9</f>
        <v>47391</v>
      </c>
      <c r="Z681" s="399">
        <f>Sheet1!$AC$9</f>
        <v>47756</v>
      </c>
      <c r="AA681" s="399">
        <f>$AA$6</f>
        <v>48121</v>
      </c>
      <c r="AB681" s="399">
        <f>$AB$6</f>
        <v>48487</v>
      </c>
      <c r="AC681" s="399">
        <f>$AC$6</f>
        <v>48852</v>
      </c>
      <c r="AD681" s="399">
        <f>$AD$6</f>
        <v>49217</v>
      </c>
      <c r="AE681" s="399">
        <f>$AE$6</f>
        <v>49582</v>
      </c>
      <c r="AF681" s="399">
        <f>$AF$6</f>
        <v>49948</v>
      </c>
      <c r="AG681" s="399">
        <f>$AG$6</f>
        <v>50313</v>
      </c>
      <c r="AH681" s="211"/>
      <c r="AI681" s="399">
        <f t="shared" si="302"/>
        <v>44469</v>
      </c>
      <c r="AJ681" s="399">
        <f t="shared" si="302"/>
        <v>44834</v>
      </c>
      <c r="AK681" s="399">
        <f t="shared" si="302"/>
        <v>45199</v>
      </c>
      <c r="AL681" s="399">
        <f t="shared" si="302"/>
        <v>45565</v>
      </c>
      <c r="AM681" s="399">
        <f t="shared" si="302"/>
        <v>45930</v>
      </c>
      <c r="AN681" s="399">
        <f t="shared" si="302"/>
        <v>46295</v>
      </c>
      <c r="AO681" s="399">
        <f t="shared" si="302"/>
        <v>46660</v>
      </c>
      <c r="AP681" s="399">
        <f t="shared" si="302"/>
        <v>47026</v>
      </c>
      <c r="AQ681" s="399">
        <f t="shared" si="302"/>
        <v>47391</v>
      </c>
      <c r="AR681" s="399">
        <f t="shared" si="302"/>
        <v>47756</v>
      </c>
      <c r="AS681" s="399">
        <f t="shared" si="303"/>
        <v>48121</v>
      </c>
      <c r="AT681" s="399">
        <f t="shared" si="303"/>
        <v>48487</v>
      </c>
      <c r="AU681" s="399">
        <f t="shared" si="303"/>
        <v>48852</v>
      </c>
      <c r="AV681" s="399">
        <f t="shared" si="303"/>
        <v>49217</v>
      </c>
      <c r="AW681" s="399">
        <f t="shared" si="303"/>
        <v>49582</v>
      </c>
      <c r="AX681" s="399">
        <f t="shared" si="303"/>
        <v>49948</v>
      </c>
      <c r="AY681" s="399">
        <f t="shared" si="303"/>
        <v>50313</v>
      </c>
      <c r="AZ681" s="399"/>
    </row>
    <row r="682" spans="17:52" ht="15" hidden="1" customHeight="1">
      <c r="Q682" s="400">
        <f>IF(IF(Q681&lt;$D$27,0,DATEDIF($D$27,Q681+1,"m"))&lt;0,0,IF(Q681&lt;$D$27,0,DATEDIF($D$27,Q681+1,"m")))</f>
        <v>0</v>
      </c>
      <c r="R682" s="400">
        <f>IF(IF(Q682=12,0,IF(R681&gt;$D$28,12-DATEDIF($D$28,R681+1,"m"),IF(R681&lt;$D$27,0,DATEDIF($D$27,R681+1,"m"))))&lt;0,0,IF(Q682=12,0,IF(R681&gt;$D$28,12-DATEDIF($D$28,R681+1,"m"),IF(R681&lt;$D$27,0,DATEDIF($D$27,R681+1,"m")))))</f>
        <v>0</v>
      </c>
      <c r="S682" s="400">
        <f>IF(IF(Q682+R682=12,0,IF(S681&gt;$D$28,12-DATEDIF($D$28,S681+1,"m"),IF(S681&lt;$D$27,0,DATEDIF($D$27,S681+1,"m"))))&lt;0,0,IF(Q682+R682=12,0,IF(S681&gt;$D$28,12-DATEDIF($D$28,S681+1,"m"),IF(S681&lt;$D$27,0,DATEDIF($D$27,S681+1,"m")))))</f>
        <v>0</v>
      </c>
      <c r="T682" s="400">
        <f>IF(IF(R682+S682+Q682=12,0,IF(T681&gt;$D$28,12-DATEDIF($D$28,T681+1,"m"),IF(T681&lt;$D$27,0,DATEDIF($D$27,T681+1,"m"))))&lt;0,0,IF(R682+S682+Q682=12,0,IF(T681&gt;$D$28,12-DATEDIF($D$28,T681+1,"m"),IF(T681&lt;$D$27,0,DATEDIF($D$27,T681+1,"m")))))</f>
        <v>0</v>
      </c>
      <c r="U682" s="400">
        <f>IF(IF(S682+T682+R682+Q682=12,0,IF(U681&gt;$D$28,12-DATEDIF($D$28,U681+1,"m"),IF(U681&lt;$D$27,0,DATEDIF($D$27,U681+1,"m"))))&lt;0,0,IF(S682+T682+R682+Q682=12,0,IF(U681&gt;$D$28,12-DATEDIF($D$28,U681+1,"m"),IF(U681&lt;$D$27,0,DATEDIF($D$27,U681+1,"m")))))</f>
        <v>0</v>
      </c>
      <c r="V682" s="400">
        <f>IF(IF(T682+U682+S682+R682+Q682=12,0,IF(V681&gt;$D$28,12-DATEDIF($D$28,V681+1,"m"),IF(V681&lt;$D$27,0,DATEDIF($D$27,V681+1,"m"))))&lt;0,0,IF(T682+U682+S682+R682+Q682=12,0,IF(V681&gt;$D$28,12-DATEDIF($D$28,V681+1,"m"),IF(V681&lt;$D$27,0,DATEDIF($D$27,V681+1,"m")))))</f>
        <v>0</v>
      </c>
      <c r="W682" s="400">
        <f>IF(IF(U682+V682+T682+S682+R682+Q682=12,0,IF(W681&gt;$D$28,12-DATEDIF($D$28,W681+1,"m"),IF(W681&lt;$D$27,0,DATEDIF($D$27,W681+1,"m"))))&lt;0,0,IF(U682+V682+T682+S682+R682+Q682=12,0,IF(W681&gt;$D$28,12-DATEDIF($D$28,W681+1,"m"),IF(W681&lt;$D$27,0,DATEDIF($D$27,W681+1,"m")))))</f>
        <v>0</v>
      </c>
      <c r="X682" s="400">
        <f>IF(IF(V682+W682+U682+T682+S682+R682+Q682=12,0,IF(X681&gt;$D$28,12-DATEDIF($D$28,X681+1,"m"),IF(X681&lt;$D$27,0,DATEDIF($D$27,X681+1,"m"))))&lt;0,0,IF(V682+W682+U682+T682+S682+R682+Q682=12,0,IF(X681&gt;$D$28,1-DATEDIF($D$28,X681+1,"m"),IF(X681&lt;$D$27,0,DATEDIF($D$27,X681+1,"m")))))</f>
        <v>0</v>
      </c>
      <c r="Y682" s="400">
        <f>IF(IF(Q682+W682+X682+V682+U682+T682+S682+R682=12,0,IF(Y681&gt;E506,12-DATEDIF(E506,Y681+1,"m"),IF(Y681&lt;E505,0,DATEDIF(E505,Y681+1,"m"))))&lt;0,0,IF(Q682+W682+X682+V682+U682+T682+S682+R682=12,0,IF(Y681&gt;E506,12-DATEDIF(E506,Y681+1,"m"),IF(Y681&lt;E505,0,DATEDIF(E505,Y681+1,"m")))))</f>
        <v>0</v>
      </c>
      <c r="Z682" s="400">
        <f>IF(IF(Q682+R682+X682+Y682+W682+V682+U682+T682+S682=12,0,IF(Z681&gt;F506,12-DATEDIF(F506,Z681+1,"m"),IF(Z681&lt;F505,0,DATEDIF(F505,Z681+1,"m"))))&lt;0,0,IF(Q682+R682+X682+Y682+W682+V682+U682+T682+S682=12,0,IF(Z681&gt;F506,12-DATEDIF(F506,Z681+1,"m"),IF(Z681&lt;F505,0,DATEDIF(F505,Z681+1,"m")))))</f>
        <v>0</v>
      </c>
      <c r="AA682" s="400"/>
      <c r="AB682" s="400"/>
      <c r="AC682" s="400"/>
      <c r="AD682" s="400"/>
      <c r="AE682" s="400"/>
      <c r="AF682" s="400"/>
      <c r="AG682" s="400"/>
      <c r="AH682" s="423">
        <f>SUM(Q682:AG682)</f>
        <v>0</v>
      </c>
      <c r="AI682" s="400">
        <f t="shared" si="302"/>
        <v>0</v>
      </c>
      <c r="AJ682" s="400">
        <f t="shared" si="302"/>
        <v>0</v>
      </c>
      <c r="AK682" s="400">
        <f t="shared" si="302"/>
        <v>0</v>
      </c>
      <c r="AL682" s="400">
        <f t="shared" si="302"/>
        <v>0</v>
      </c>
      <c r="AM682" s="400">
        <f t="shared" si="302"/>
        <v>0</v>
      </c>
      <c r="AN682" s="400">
        <f t="shared" si="302"/>
        <v>0</v>
      </c>
      <c r="AO682" s="400">
        <f t="shared" si="302"/>
        <v>0</v>
      </c>
      <c r="AP682" s="400">
        <f t="shared" si="302"/>
        <v>0</v>
      </c>
      <c r="AQ682" s="400">
        <f t="shared" si="302"/>
        <v>0</v>
      </c>
      <c r="AR682" s="400">
        <f t="shared" si="302"/>
        <v>0</v>
      </c>
      <c r="AS682" s="400">
        <f t="shared" si="303"/>
        <v>0</v>
      </c>
      <c r="AT682" s="400">
        <f t="shared" si="303"/>
        <v>0</v>
      </c>
      <c r="AU682" s="400">
        <f t="shared" si="303"/>
        <v>0</v>
      </c>
      <c r="AV682" s="400">
        <f t="shared" si="303"/>
        <v>0</v>
      </c>
      <c r="AW682" s="400">
        <f t="shared" si="303"/>
        <v>0</v>
      </c>
      <c r="AX682" s="400">
        <f t="shared" si="303"/>
        <v>0</v>
      </c>
      <c r="AY682" s="400">
        <f t="shared" si="303"/>
        <v>0</v>
      </c>
      <c r="AZ682" s="400">
        <f>SUM(AI682:AY682)</f>
        <v>0</v>
      </c>
    </row>
    <row r="683" spans="17:52" ht="15" hidden="1" customHeight="1">
      <c r="Q683" s="401">
        <f>IF(Q682=0,0,(IF(($C$237+$B$237+$D$237)&lt;=25000,(($D$237/+$AH682)*Q682)*VLOOKUP('1. SUMMARY'!$C$20,rate,Sheet1!T$21,0),((IF(($B$237+$C$237)&gt;=25000,0,(((25000-($B$237+$C$237))/+$AH682)*Q682)*VLOOKUP('1. SUMMARY'!$C$20,rate,Sheet1!T$21,0)))))))</f>
        <v>0</v>
      </c>
      <c r="R683" s="401">
        <f>IF(R682=0,0,(IF(($C$237+$B$237+$D$237)&lt;=25000,(($D$237/+$AH682)*R682)*VLOOKUP('1. SUMMARY'!$C$20,rate,Sheet1!U$21,0),((IF(($B$237+$C$237)&gt;=25000,0,(((25000-($B$237+$C$237))/+$AH682)*R682)*VLOOKUP('1. SUMMARY'!$C$20,rate,Sheet1!U$21,0)))))))</f>
        <v>0</v>
      </c>
      <c r="S683" s="401">
        <f>IF(S682=0,0,(IF(($C$237+$B$237+$D$237)&lt;=25000,(($D$237/+$AH682)*S682)*VLOOKUP('1. SUMMARY'!$C$20,rate,Sheet1!V$21,0),((IF(($B$237+$C$237)&gt;=25000,0,(((25000-($B$237+$C$237))/+$AH682)*S682)*VLOOKUP('1. SUMMARY'!$C$20,rate,Sheet1!V$21,0)))))))</f>
        <v>0</v>
      </c>
      <c r="T683" s="401">
        <f>IF(T682=0,0,(IF(($C$237+$B$237+$D$237)&lt;=25000,(($D$237/+$AH682)*T682)*VLOOKUP('1. SUMMARY'!$C$20,rate,Sheet1!W$21,0),((IF(($B$237+$C$237)&gt;=25000,0,(((25000-($B$237+$C$237))/+$AH682)*T682)*VLOOKUP('1. SUMMARY'!$C$20,rate,Sheet1!W$21,0)))))))</f>
        <v>0</v>
      </c>
      <c r="U683" s="401">
        <f>IF(U682=0,0,(IF(($C$237+$B$237+$D$237)&lt;=25000,(($D$237/+$AH682)*U682)*VLOOKUP('1. SUMMARY'!$C$20,rate,Sheet1!X$21,0),((IF(($B$237+$C$237)&gt;=25000,0,(((25000-($B$237+$C$237))/+$AH682)*U682)*VLOOKUP('1. SUMMARY'!$C$20,rate,Sheet1!X$21,0)))))))</f>
        <v>0</v>
      </c>
      <c r="V683" s="401">
        <f>IF(V682=0,0,(IF(($C$237+$B$237+$D$237)&lt;=25000,(($D$237/+$AH682)*V682)*VLOOKUP('1. SUMMARY'!$C$20,rate,Sheet1!Y$21,0),((IF(($B$237+$C$237)&gt;=25000,0,(((25000-($B$237+$C$237))/+$AH682)*V682)*VLOOKUP('1. SUMMARY'!$C$20,rate,Sheet1!Y$21,0)))))))</f>
        <v>0</v>
      </c>
      <c r="W683" s="401">
        <f>IF(W682=0,0,(IF(($C$237+$B$237+$D$237)&lt;=25000,(($D$237/+$AH682)*W682)*VLOOKUP('1. SUMMARY'!$C$20,rate,Sheet1!Z$21,0),((IF(($B$237+$C$237)&gt;=25000,0,(((25000-($B$237+$C$237))/+$AH682)*W682)*VLOOKUP('1. SUMMARY'!$C$20,rate,Sheet1!Z$21,0)))))))</f>
        <v>0</v>
      </c>
      <c r="X683" s="401">
        <f>IF(X682=0,0,(IF(($C$237+$B$237+$D$237)&lt;=25000,(($D$237/+$AH682)*X682)*VLOOKUP('1. SUMMARY'!$C$20,rate,Sheet1!AA$21,0),((IF(($B$237+$C$237)&gt;=25000,0,(((25000-($B$237+$C$237))/+$AH682)*X682)*VLOOKUP('1. SUMMARY'!$C$20,rate,Sheet1!AA$21,0)))))))</f>
        <v>0</v>
      </c>
      <c r="Y683" s="401">
        <f>IF(Y682=0,0,(IF(($C$237+$B$237+$D$237)&lt;=25000,(($D$237/+$AH682)*Y682)*VLOOKUP('1. SUMMARY'!$C$20,rate,Sheet1!AB$21,0),((IF(($B$237+$C$237)&gt;=25000,0,(((25000-($B$237+$C$237))/+$AH682)*Y682)*VLOOKUP('1. SUMMARY'!$C$20,rate,Sheet1!AB$21,0)))))))</f>
        <v>0</v>
      </c>
      <c r="Z683" s="401">
        <f>IF(Z682=0,0,(IF(($C$237+$B$237+$D$237)&lt;=25000,(($D$237/+$AH682)*Z682)*VLOOKUP('1. SUMMARY'!$C$20,rate,Sheet1!AC$21,0),((IF(($B$237+$C$237)&gt;=25000,0,(((25000-($B$237+$C$237))/+$AH682)*Z682)*VLOOKUP('1. SUMMARY'!$C$20,rate,Sheet1!AC$21,0)))))))</f>
        <v>0</v>
      </c>
      <c r="AA683" s="401">
        <f>IF(AA682=0,0,(IF(($C$237+$B$237+$D$237)&lt;=25000,(($D$237/+$AH682)*AA682)*VLOOKUP('1. SUMMARY'!$C$20,rate,Sheet1!AD$21,0),((IF(($B$237+$C$237)&gt;=25000,0,(((25000-($B$237+$C$237))/+$AH682)*AA682)*VLOOKUP('1. SUMMARY'!$C$20,rate,Sheet1!AD$21,0)))))))</f>
        <v>0</v>
      </c>
      <c r="AB683" s="401">
        <f>IF(AB682=0,0,(IF(($C$237+$B$237+$D$237)&lt;=25000,(($D$237/+$AH682)*AB682)*VLOOKUP('1. SUMMARY'!$C$20,rate,Sheet1!AE$21,0),((IF(($B$237+$C$237)&gt;=25000,0,(((25000-($B$237+$C$237))/+$AH682)*AB682)*VLOOKUP('1. SUMMARY'!$C$20,rate,Sheet1!AE$21,0)))))))</f>
        <v>0</v>
      </c>
      <c r="AC683" s="401">
        <f>IF(AC682=0,0,(IF(($C$237+$B$237+$D$237)&lt;=25000,(($D$237/+$AH682)*AC682)*VLOOKUP('1. SUMMARY'!$C$20,rate,Sheet1!AF$21,0),((IF(($B$237+$C$237)&gt;=25000,0,(((25000-($B$237+$C$237))/+$AH682)*AC682)*VLOOKUP('1. SUMMARY'!$C$20,rate,Sheet1!AF$21,0)))))))</f>
        <v>0</v>
      </c>
      <c r="AD683" s="401">
        <f>IF(AD682=0,0,(IF(($C$237+$B$237+$D$237)&lt;=25000,(($D$237/+$AH682)*AD682)*VLOOKUP('1. SUMMARY'!$C$20,rate,Sheet1!AG$21,0),((IF(($B$237+$C$237)&gt;=25000,0,(((25000-($B$237+$C$237))/+$AH682)*AD682)*VLOOKUP('1. SUMMARY'!$C$20,rate,Sheet1!AG$21,0)))))))</f>
        <v>0</v>
      </c>
      <c r="AE683" s="401">
        <f>IF(AE682=0,0,(IF(($C$237+$B$237+$D$237)&lt;=25000,(($D$237/+$AH682)*AE682)*VLOOKUP('1. SUMMARY'!$C$20,rate,Sheet1!AH$21,0),((IF(($B$237+$C$237)&gt;=25000,0,(((25000-($B$237+$C$237))/+$AH682)*AE682)*VLOOKUP('1. SUMMARY'!$C$20,rate,Sheet1!AH$21,0)))))))</f>
        <v>0</v>
      </c>
      <c r="AF683" s="401">
        <f>IF(AF682=0,0,(IF(($C$237+$B$237+$D$237)&lt;=25000,(($D$237/+$AH682)*AF682)*VLOOKUP('1. SUMMARY'!$C$20,rate,Sheet1!AI$21,0),((IF(($B$237+$C$237)&gt;=25000,0,(((25000-($B$237+$C$237))/+$AH682)*AF682)*VLOOKUP('1. SUMMARY'!$C$20,rate,Sheet1!AI$21,0)))))))</f>
        <v>0</v>
      </c>
      <c r="AG683" s="401">
        <f>IF(AG682=0,0,(IF(($C$237+$B$237+$D$237)&lt;=25000,(($D$237/+$AH682)*AG682)*VLOOKUP('1. SUMMARY'!$C$20,rate,Sheet1!AJ$21,0),((IF(($B$237+$C$237)&gt;=25000,0,(((25000-($B$237+$C$237))/+$AH682)*AG682)*VLOOKUP('1. SUMMARY'!$C$20,rate,Sheet1!AJ$21,0)))))))</f>
        <v>0</v>
      </c>
      <c r="AH683" s="219">
        <f>SUM(Q683:AG683)</f>
        <v>0</v>
      </c>
      <c r="AI683" s="401">
        <f>IF(Q682=0,0,((+$D237/$AZ$17)*AI682)*VLOOKUP('1. SUMMARY'!$C$20,rate,Sheet1!T$21,0))</f>
        <v>0</v>
      </c>
      <c r="AJ683" s="401">
        <f>IF(R682=0,0,((+$D237/$AZ$17)*AJ682)*VLOOKUP('1. SUMMARY'!$C$20,rate,Sheet1!U$21,0))</f>
        <v>0</v>
      </c>
      <c r="AK683" s="401">
        <f>IF(S682=0,0,((+$D237/$AZ$17)*AK682)*VLOOKUP('1. SUMMARY'!$C$20,rate,Sheet1!V$21,0))</f>
        <v>0</v>
      </c>
      <c r="AL683" s="401">
        <f>IF(T682=0,0,((+$D237/$AZ$17)*AL682)*VLOOKUP('1. SUMMARY'!$C$20,rate,Sheet1!W$21,0))</f>
        <v>0</v>
      </c>
      <c r="AM683" s="401">
        <f>IF(U682=0,0,((+$D237/$AZ$17)*AM682)*VLOOKUP('1. SUMMARY'!$C$20,rate,Sheet1!X$21,0))</f>
        <v>0</v>
      </c>
      <c r="AN683" s="401">
        <f>IF(V682=0,0,((+$D237/$AZ$17)*AN682)*VLOOKUP('1. SUMMARY'!$C$20,rate,Sheet1!Y$21,0))</f>
        <v>0</v>
      </c>
      <c r="AO683" s="401">
        <f>IF(W682=0,0,((+$D237/$AZ$17)*AO682)*VLOOKUP('1. SUMMARY'!$C$20,rate,Sheet1!Z$21,0))</f>
        <v>0</v>
      </c>
      <c r="AP683" s="401">
        <f>IF(X682=0,0,((+$D237/$AZ$17)*AP682)*VLOOKUP('1. SUMMARY'!$C$20,rate,Sheet1!AA$21,0))</f>
        <v>0</v>
      </c>
      <c r="AQ683" s="401">
        <f>IF(Y682=0,0,((+$D237/$AZ$17)*AQ682)*VLOOKUP('1. SUMMARY'!$C$20,rate,Sheet1!AB$21,0))</f>
        <v>0</v>
      </c>
      <c r="AR683" s="401">
        <f>IF(Z682=0,0,((+$D237/$AZ$17)*AR682)*VLOOKUP('1. SUMMARY'!$C$20,rate,Sheet1!AC$21,0))</f>
        <v>0</v>
      </c>
      <c r="AS683" s="401">
        <f>IF(AA682=0,0,((+$D237/$AZ$17)*AS682)*VLOOKUP('1. SUMMARY'!$C$20,rate,Sheet1!AD$21,0))</f>
        <v>0</v>
      </c>
      <c r="AT683" s="401">
        <f>IF(AB682=0,0,((+$D237/$AZ$17)*AT682)*VLOOKUP('1. SUMMARY'!$C$20,rate,Sheet1!AE$21,0))</f>
        <v>0</v>
      </c>
      <c r="AU683" s="401">
        <f>IF(AC682=0,0,((+$D237/$AZ$17)*AU682)*VLOOKUP('1. SUMMARY'!$C$20,rate,Sheet1!AF$21,0))</f>
        <v>0</v>
      </c>
      <c r="AV683" s="401">
        <f>IF(AD682=0,0,((+$D237/$AZ$17)*AV682)*VLOOKUP('1. SUMMARY'!$C$20,rate,Sheet1!AG$21,0))</f>
        <v>0</v>
      </c>
      <c r="AW683" s="401">
        <f>IF(AE682=0,0,((+$D237/$AZ$17)*AW682)*VLOOKUP('1. SUMMARY'!$C$20,rate,Sheet1!AH$21,0))</f>
        <v>0</v>
      </c>
      <c r="AX683" s="401">
        <f>IF(AF682=0,0,((+$D237/$AZ$17)*AX682)*VLOOKUP('1. SUMMARY'!$C$20,rate,Sheet1!AI$21,0))</f>
        <v>0</v>
      </c>
      <c r="AY683" s="401">
        <f>IF(AG682=0,0,((+$D237/$AZ$17)*AY682)*VLOOKUP('1. SUMMARY'!$C$20,rate,Sheet1!AJ$21,0))</f>
        <v>0</v>
      </c>
      <c r="AZ683" s="401">
        <f>SUM(AI683:AY683)</f>
        <v>0</v>
      </c>
    </row>
    <row r="684" spans="17:52" ht="15" hidden="1" customHeight="1">
      <c r="Q684" s="401">
        <f>+Q683/VLOOKUP('1. SUMMARY'!$C$20,rate,Sheet1!T$21,0)</f>
        <v>0</v>
      </c>
      <c r="R684" s="401">
        <f>+R683/VLOOKUP('1. SUMMARY'!$C$20,rate,Sheet1!U$21,0)</f>
        <v>0</v>
      </c>
      <c r="S684" s="401">
        <f>+S683/VLOOKUP('1. SUMMARY'!$C$20,rate,Sheet1!V$21,0)</f>
        <v>0</v>
      </c>
      <c r="T684" s="401">
        <f>+T683/VLOOKUP('1. SUMMARY'!$C$20,rate,Sheet1!W$21,0)</f>
        <v>0</v>
      </c>
      <c r="U684" s="401">
        <f>+U683/VLOOKUP('1. SUMMARY'!$C$20,rate,Sheet1!X$21,0)</f>
        <v>0</v>
      </c>
      <c r="V684" s="401">
        <f>+V683/VLOOKUP('1. SUMMARY'!$C$20,rate,Sheet1!Y$21,0)</f>
        <v>0</v>
      </c>
      <c r="W684" s="401">
        <f>+W683/VLOOKUP('1. SUMMARY'!$C$20,rate,Sheet1!Z$21,0)</f>
        <v>0</v>
      </c>
      <c r="X684" s="401">
        <f>+X683/VLOOKUP('1. SUMMARY'!$C$20,rate,Sheet1!AA$21,0)</f>
        <v>0</v>
      </c>
      <c r="Y684" s="401">
        <f>+Y683/VLOOKUP('1. SUMMARY'!$C$20,rate,Sheet1!AB$21,0)</f>
        <v>0</v>
      </c>
      <c r="Z684" s="401">
        <f>+Z683/VLOOKUP('1. SUMMARY'!$C$20,rate,Sheet1!AC$21,0)</f>
        <v>0</v>
      </c>
      <c r="AA684" s="401">
        <f>+AA683/VLOOKUP('1. SUMMARY'!$C$20,rate,Sheet1!AD$21,0)</f>
        <v>0</v>
      </c>
      <c r="AB684" s="401">
        <f>+AB683/VLOOKUP('1. SUMMARY'!$C$20,rate,Sheet1!AE$21,0)</f>
        <v>0</v>
      </c>
      <c r="AC684" s="401">
        <f>+AC683/VLOOKUP('1. SUMMARY'!$C$20,rate,Sheet1!AF$21,0)</f>
        <v>0</v>
      </c>
      <c r="AD684" s="401">
        <f>+AD683/VLOOKUP('1. SUMMARY'!$C$20,rate,Sheet1!AG$21,0)</f>
        <v>0</v>
      </c>
      <c r="AE684" s="401">
        <f>+AE683/VLOOKUP('1. SUMMARY'!$C$20,rate,Sheet1!AH$21,0)</f>
        <v>0</v>
      </c>
      <c r="AF684" s="401">
        <f>+AF683/VLOOKUP('1. SUMMARY'!$C$20,rate,Sheet1!AI$21,0)</f>
        <v>0</v>
      </c>
      <c r="AG684" s="401">
        <f>+AG683/VLOOKUP('1. SUMMARY'!$C$20,rate,Sheet1!AJ$21,0)</f>
        <v>0</v>
      </c>
      <c r="AH684" s="219"/>
      <c r="AI684" s="401">
        <v>0</v>
      </c>
      <c r="AJ684" s="401">
        <v>0</v>
      </c>
      <c r="AK684" s="401">
        <v>0</v>
      </c>
      <c r="AL684" s="401">
        <v>0</v>
      </c>
      <c r="AM684" s="401">
        <v>0</v>
      </c>
      <c r="AN684" s="401">
        <v>0</v>
      </c>
      <c r="AO684" s="401">
        <v>0</v>
      </c>
      <c r="AP684" s="401">
        <v>0</v>
      </c>
      <c r="AQ684" s="401"/>
      <c r="AR684" s="401"/>
      <c r="AS684" s="401"/>
      <c r="AT684" s="401"/>
      <c r="AU684" s="401"/>
      <c r="AV684" s="401"/>
      <c r="AW684" s="401"/>
      <c r="AX684" s="401"/>
      <c r="AY684" s="401"/>
      <c r="AZ684" s="401"/>
    </row>
    <row r="685" spans="17:52" ht="15" hidden="1" customHeight="1">
      <c r="Q685" s="405">
        <f>Sheet1!$T$8</f>
        <v>44105</v>
      </c>
      <c r="R685" s="405">
        <f>Sheet1!$U$8</f>
        <v>44470</v>
      </c>
      <c r="S685" s="405">
        <f>Sheet1!$V$8</f>
        <v>44835</v>
      </c>
      <c r="T685" s="405">
        <f>Sheet1!$W$8</f>
        <v>45200</v>
      </c>
      <c r="U685" s="405">
        <f>Sheet1!$X$8</f>
        <v>45566</v>
      </c>
      <c r="V685" s="405">
        <f>Sheet1!$Y$8</f>
        <v>45931</v>
      </c>
      <c r="W685" s="405">
        <f>Sheet1!$Z$8</f>
        <v>46296</v>
      </c>
      <c r="X685" s="405">
        <f>Sheet1!$AA$8</f>
        <v>46661</v>
      </c>
      <c r="Y685" s="405">
        <f>Sheet1!$AB$8</f>
        <v>47027</v>
      </c>
      <c r="Z685" s="405">
        <f>Sheet1!$AC$8</f>
        <v>47392</v>
      </c>
      <c r="AA685" s="405">
        <f>$AA$5</f>
        <v>47757</v>
      </c>
      <c r="AB685" s="405">
        <f>$AB$5</f>
        <v>48122</v>
      </c>
      <c r="AC685" s="405">
        <f>$AC$5</f>
        <v>48488</v>
      </c>
      <c r="AD685" s="405">
        <f>$AD$5</f>
        <v>48853</v>
      </c>
      <c r="AE685" s="405">
        <f>$AE$5</f>
        <v>49218</v>
      </c>
      <c r="AF685" s="405">
        <f>$AF$5</f>
        <v>49583</v>
      </c>
      <c r="AG685" s="405">
        <f>$AG$5</f>
        <v>49949</v>
      </c>
      <c r="AH685" s="211"/>
      <c r="AI685" s="405">
        <f t="shared" ref="AI685:AR687" si="304">+Q685</f>
        <v>44105</v>
      </c>
      <c r="AJ685" s="405">
        <f t="shared" si="304"/>
        <v>44470</v>
      </c>
      <c r="AK685" s="405">
        <f t="shared" si="304"/>
        <v>44835</v>
      </c>
      <c r="AL685" s="405">
        <f t="shared" si="304"/>
        <v>45200</v>
      </c>
      <c r="AM685" s="405">
        <f t="shared" si="304"/>
        <v>45566</v>
      </c>
      <c r="AN685" s="405">
        <f t="shared" si="304"/>
        <v>45931</v>
      </c>
      <c r="AO685" s="405">
        <f t="shared" si="304"/>
        <v>46296</v>
      </c>
      <c r="AP685" s="405">
        <f t="shared" si="304"/>
        <v>46661</v>
      </c>
      <c r="AQ685" s="405">
        <f t="shared" si="304"/>
        <v>47027</v>
      </c>
      <c r="AR685" s="405">
        <f t="shared" si="304"/>
        <v>47392</v>
      </c>
      <c r="AS685" s="405">
        <f t="shared" ref="AS685:AY687" si="305">+AA685</f>
        <v>47757</v>
      </c>
      <c r="AT685" s="405">
        <f t="shared" si="305"/>
        <v>48122</v>
      </c>
      <c r="AU685" s="405">
        <f t="shared" si="305"/>
        <v>48488</v>
      </c>
      <c r="AV685" s="405">
        <f t="shared" si="305"/>
        <v>48853</v>
      </c>
      <c r="AW685" s="405">
        <f t="shared" si="305"/>
        <v>49218</v>
      </c>
      <c r="AX685" s="405">
        <f t="shared" si="305"/>
        <v>49583</v>
      </c>
      <c r="AY685" s="405">
        <f t="shared" si="305"/>
        <v>49949</v>
      </c>
      <c r="AZ685" s="405"/>
    </row>
    <row r="686" spans="17:52" ht="15" hidden="1" customHeight="1">
      <c r="Q686" s="405">
        <f>Sheet1!$T$9</f>
        <v>44469</v>
      </c>
      <c r="R686" s="405">
        <f>Sheet1!$U$9</f>
        <v>44834</v>
      </c>
      <c r="S686" s="405">
        <f>Sheet1!$V$9</f>
        <v>45199</v>
      </c>
      <c r="T686" s="405">
        <f>Sheet1!$W$9</f>
        <v>45565</v>
      </c>
      <c r="U686" s="405">
        <f>Sheet1!$X$9</f>
        <v>45930</v>
      </c>
      <c r="V686" s="405">
        <f>Sheet1!$Y$9</f>
        <v>46295</v>
      </c>
      <c r="W686" s="405">
        <f>Sheet1!$Z$9</f>
        <v>46660</v>
      </c>
      <c r="X686" s="405">
        <f>Sheet1!$AA$9</f>
        <v>47026</v>
      </c>
      <c r="Y686" s="405">
        <f>Sheet1!$AB$9</f>
        <v>47391</v>
      </c>
      <c r="Z686" s="405">
        <f>Sheet1!$AC$9</f>
        <v>47756</v>
      </c>
      <c r="AA686" s="405">
        <f>$AA$6</f>
        <v>48121</v>
      </c>
      <c r="AB686" s="405">
        <f>$AB$6</f>
        <v>48487</v>
      </c>
      <c r="AC686" s="405">
        <f>$AC$6</f>
        <v>48852</v>
      </c>
      <c r="AD686" s="405">
        <f>$AD$6</f>
        <v>49217</v>
      </c>
      <c r="AE686" s="405">
        <f>$AE$6</f>
        <v>49582</v>
      </c>
      <c r="AF686" s="405">
        <f>$AF$6</f>
        <v>49948</v>
      </c>
      <c r="AG686" s="405">
        <f>$AG$6</f>
        <v>50313</v>
      </c>
      <c r="AH686" s="211"/>
      <c r="AI686" s="405">
        <f t="shared" si="304"/>
        <v>44469</v>
      </c>
      <c r="AJ686" s="405">
        <f t="shared" si="304"/>
        <v>44834</v>
      </c>
      <c r="AK686" s="405">
        <f t="shared" si="304"/>
        <v>45199</v>
      </c>
      <c r="AL686" s="405">
        <f t="shared" si="304"/>
        <v>45565</v>
      </c>
      <c r="AM686" s="405">
        <f t="shared" si="304"/>
        <v>45930</v>
      </c>
      <c r="AN686" s="405">
        <f t="shared" si="304"/>
        <v>46295</v>
      </c>
      <c r="AO686" s="405">
        <f t="shared" si="304"/>
        <v>46660</v>
      </c>
      <c r="AP686" s="405">
        <f t="shared" si="304"/>
        <v>47026</v>
      </c>
      <c r="AQ686" s="405">
        <f t="shared" si="304"/>
        <v>47391</v>
      </c>
      <c r="AR686" s="405">
        <f t="shared" si="304"/>
        <v>47756</v>
      </c>
      <c r="AS686" s="405">
        <f t="shared" si="305"/>
        <v>48121</v>
      </c>
      <c r="AT686" s="405">
        <f t="shared" si="305"/>
        <v>48487</v>
      </c>
      <c r="AU686" s="405">
        <f t="shared" si="305"/>
        <v>48852</v>
      </c>
      <c r="AV686" s="405">
        <f t="shared" si="305"/>
        <v>49217</v>
      </c>
      <c r="AW686" s="405">
        <f t="shared" si="305"/>
        <v>49582</v>
      </c>
      <c r="AX686" s="405">
        <f t="shared" si="305"/>
        <v>49948</v>
      </c>
      <c r="AY686" s="405">
        <f t="shared" si="305"/>
        <v>50313</v>
      </c>
      <c r="AZ686" s="405"/>
    </row>
    <row r="687" spans="17:52" ht="15" hidden="1" customHeight="1">
      <c r="Q687" s="406">
        <f>IF(IF(Q686&lt;$E$27,0,DATEDIF($E$27,Q686+1,"m"))&lt;0,0,IF(Q686&lt;$E$27,0,DATEDIF($E$27,Q686+1,"m")))</f>
        <v>0</v>
      </c>
      <c r="R687" s="406">
        <f>IF(IF(Q687=12,0,IF(R686&gt;$E$28,12-DATEDIF($E$28,R686+1,"m"),IF(R686&lt;$E$27,0,DATEDIF($E$27,R686+1,"m"))))&lt;0,0,IF(Q687=12,0,IF(R686&gt;$E$28,12-DATEDIF($E$28,R686+1,"m"),IF(R686&lt;$E$27,0,DATEDIF($E$27,R686+1,"m")))))</f>
        <v>0</v>
      </c>
      <c r="S687" s="406">
        <f>IF(IF(Q687+R687=12,0,IF(S686&gt;$E$28,12-DATEDIF($E$28,S686+1,"m"),IF(S686&lt;$E$27,0,DATEDIF($E$27,S686+1,"m"))))&lt;0,0,IF(Q687+R687=12,0,IF(S686&gt;$E$28,12-DATEDIF($E$28,S686+1,"m"),IF(S686&lt;$E$27,0,DATEDIF($E$27,S686+1,"m")))))</f>
        <v>0</v>
      </c>
      <c r="T687" s="406">
        <f>IF(IF(R687+S687+Q687=12,0,IF(T686&gt;$E$28,12-DATEDIF($E$28,T686+1,"m"),IF(T686&lt;$E$27,0,DATEDIF($E$27,T686+1,"m"))))&lt;0,0,IF(R687+S687+Q687=12,0,IF(T686&gt;$E$28,12-DATEDIF($E$28,T686+1,"m"),IF(T686&lt;$E$27,0,DATEDIF($E$27,T686+1,"m")))))</f>
        <v>0</v>
      </c>
      <c r="U687" s="406">
        <f>IF(IF(S687+T687+R687+Q687=12,0,IF(U686&gt;$E$28,12-DATEDIF($E$28,U686+1,"m"),IF(U686&lt;$E$27,0,DATEDIF($E$27,U686+1,"m"))))&lt;0,0,IF(S687+T687+R687+Q687=12,0,IF(U686&gt;$E$28,12-DATEDIF($E$28,U686+1,"m"),IF(U686&lt;$E$27,0,DATEDIF($E$27,U686+1,"m")))))</f>
        <v>0</v>
      </c>
      <c r="V687" s="406">
        <f>IF(IF(T687+U687+S687+R687+Q687=12,0,IF(V686&gt;$E$28,12-DATEDIF($E$28,V686+1,"m"),IF(V686&lt;$E$27,0,DATEDIF($E$27,V686+1,"m"))))&lt;0,0,IF(T687+U687+S687+R687+Q687=12,0,IF(V686&gt;$E$28,12-DATEDIF($E$28,V686+1,"m"),IF(V686&lt;$E$27,0,DATEDIF($E$27,V686+1,"m")))))</f>
        <v>0</v>
      </c>
      <c r="W687" s="406">
        <f>IF(IF(U687+V687+T687+S687+R687+Q687=12,0,IF(W686&gt;$E$28,12-DATEDIF($E$28,W686+1,"m"),IF(W686&lt;$E$27,0,DATEDIF($E$27,W686+1,"m"))))&lt;0,0,IF(U687+V687+T687+S687+R687+Q687=12,0,IF(W686&gt;$E$28,12-DATEDIF($E$28,W686+1,"m"),IF(W686&lt;$E$27,0,DATEDIF($E$27,W686+1,"m")))))</f>
        <v>0</v>
      </c>
      <c r="X687" s="406">
        <f>IF(IF(V687+W687+U687+T687+S687+R687+Q687=12,0,IF(X686&gt;$E$28,12-DATEDIF($E$28,X686+1,"m"),IF(X686&lt;$E$27,0,DATEDIF($E$27,X686+1,"m"))))&lt;0,0,IF(V687+W687+U687+T687+S687+R687+Q687=12,0,IF(X686&gt;$E$28,12-DATEDIF($E$28,X686+1,"m"),IF(X686&lt;$E$27,0,DATEDIF($E$27,X686+1,"m")))))</f>
        <v>0</v>
      </c>
      <c r="Y687" s="406">
        <f>IF(IF(Q687+W687+X687+V687+U687+T687+S687+R687=12,0,IF(Y686&gt;F506,12-DATEDIF(F506,Y686+1,"m"),IF(Y686&lt;F505,0,DATEDIF(F505,Y686+1,"m"))))&lt;0,0,IF(Q687+W687+X687+V687+U687+T687+S687+R687=12,0,IF(Y686&gt;F506,12-DATEDIF(F506,Y686+1,"m"),IF(Y686&lt;F505,0,DATEDIF(F505,Y686+1,"m")))))</f>
        <v>0</v>
      </c>
      <c r="Z687" s="406">
        <f>IF(IF(Q687+R687+X687+Y687+W687+V687+U687+T687+S687=12,0,IF(Z686&gt;G506,12-DATEDIF(G506,Z686+1,"m"),IF(Z686&lt;G505,0,DATEDIF(G505,Z686+1,"m"))))&lt;0,0,IF(Q687+R687+X687+Y687+W687+V687+U687+T687+S687=12,0,IF(Z686&gt;G506,12-DATEDIF(G506,Z686+1,"m"),IF(Z686&lt;G505,0,DATEDIF(G505,Z686+1,"m")))))</f>
        <v>0</v>
      </c>
      <c r="AA687" s="406"/>
      <c r="AB687" s="406"/>
      <c r="AC687" s="406"/>
      <c r="AD687" s="406"/>
      <c r="AE687" s="406"/>
      <c r="AF687" s="406"/>
      <c r="AG687" s="406"/>
      <c r="AH687" s="423">
        <f>SUM(Q687:AG687)</f>
        <v>0</v>
      </c>
      <c r="AI687" s="406">
        <f t="shared" si="304"/>
        <v>0</v>
      </c>
      <c r="AJ687" s="406">
        <f t="shared" si="304"/>
        <v>0</v>
      </c>
      <c r="AK687" s="406">
        <f t="shared" si="304"/>
        <v>0</v>
      </c>
      <c r="AL687" s="406">
        <f t="shared" si="304"/>
        <v>0</v>
      </c>
      <c r="AM687" s="406">
        <f t="shared" si="304"/>
        <v>0</v>
      </c>
      <c r="AN687" s="406">
        <f t="shared" si="304"/>
        <v>0</v>
      </c>
      <c r="AO687" s="406">
        <f t="shared" si="304"/>
        <v>0</v>
      </c>
      <c r="AP687" s="406">
        <f t="shared" si="304"/>
        <v>0</v>
      </c>
      <c r="AQ687" s="406">
        <f t="shared" si="304"/>
        <v>0</v>
      </c>
      <c r="AR687" s="406">
        <f t="shared" si="304"/>
        <v>0</v>
      </c>
      <c r="AS687" s="406">
        <f t="shared" si="305"/>
        <v>0</v>
      </c>
      <c r="AT687" s="406">
        <f t="shared" si="305"/>
        <v>0</v>
      </c>
      <c r="AU687" s="406">
        <f t="shared" si="305"/>
        <v>0</v>
      </c>
      <c r="AV687" s="406">
        <f t="shared" si="305"/>
        <v>0</v>
      </c>
      <c r="AW687" s="406">
        <f t="shared" si="305"/>
        <v>0</v>
      </c>
      <c r="AX687" s="406">
        <f t="shared" si="305"/>
        <v>0</v>
      </c>
      <c r="AY687" s="406">
        <f t="shared" si="305"/>
        <v>0</v>
      </c>
      <c r="AZ687" s="406">
        <f>SUM(AI687:AY687)</f>
        <v>0</v>
      </c>
    </row>
    <row r="688" spans="17:52" ht="15" hidden="1" customHeight="1">
      <c r="Q688" s="407">
        <f>IF(Q687=0,0,(IF(($C$237+$B$237+$D$237+$E$237)&lt;=25000,(($E$237/+$AH687)*Q687)*VLOOKUP('1. SUMMARY'!$C$20,rate,Sheet1!T$21,0),((IF(($B$237+$C$237+$D$237)&gt;=25000,0,(((25000-($B$237+$C$237+$D$237))/+$AH687)*Q687)*(VLOOKUP('1. SUMMARY'!$C$20,rate,Sheet1!T$21,0))))))))</f>
        <v>0</v>
      </c>
      <c r="R688" s="407">
        <f>IF(R687=0,0,(IF(($C$237+$B$237+$D$237+$E$237)&lt;=25000,(($E$237/+$AH687)*R687)*VLOOKUP('1. SUMMARY'!$C$20,rate,Sheet1!U$21,0),((IF(($B$237+$C$237+$D$237)&gt;=25000,0,(((25000-($B$237+$C$237+$D$237))/+$AH687)*R687)*(VLOOKUP('1. SUMMARY'!$C$20,rate,Sheet1!U$21,0))))))))</f>
        <v>0</v>
      </c>
      <c r="S688" s="407">
        <f>IF(S687=0,0,(IF(($C$237+$B$237+$D$237+$E$237)&lt;=25000,(($E$237/+$AH687)*S687)*VLOOKUP('1. SUMMARY'!$C$20,rate,Sheet1!V$21,0),((IF(($B$237+$C$237+$D$237)&gt;=25000,0,(((25000-($B$237+$C$237+$D$237))/+$AH687)*S687)*(VLOOKUP('1. SUMMARY'!$C$20,rate,Sheet1!V$21,0))))))))</f>
        <v>0</v>
      </c>
      <c r="T688" s="407">
        <f>IF(T687=0,0,(IF(($C$237+$B$237+$D$237+$E$237)&lt;=25000,(($E$237/+$AH687)*T687)*VLOOKUP('1. SUMMARY'!$C$20,rate,Sheet1!W$21,0),((IF(($B$237+$C$237+$D$237)&gt;=25000,0,(((25000-($B$237+$C$237+$D$237))/+$AH687)*T687)*(VLOOKUP('1. SUMMARY'!$C$20,rate,Sheet1!W$21,0))))))))</f>
        <v>0</v>
      </c>
      <c r="U688" s="407">
        <f>IF(U687=0,0,(IF(($C$237+$B$237+$D$237+$E$237)&lt;=25000,(($E$237/+$AH687)*U687)*VLOOKUP('1. SUMMARY'!$C$20,rate,Sheet1!X$21,0),((IF(($B$237+$C$237+$D$237)&gt;=25000,0,(((25000-($B$237+$C$237+$D$237))/+$AH687)*U687)*(VLOOKUP('1. SUMMARY'!$C$20,rate,Sheet1!X$21,0))))))))</f>
        <v>0</v>
      </c>
      <c r="V688" s="407">
        <f>IF(V687=0,0,(IF(($C$237+$B$237+$D$237+$E$237)&lt;=25000,(($E$237/+$AH687)*V687)*VLOOKUP('1. SUMMARY'!$C$20,rate,Sheet1!Y$21,0),((IF(($B$237+$C$237+$D$237)&gt;=25000,0,(((25000-($B$237+$C$237+$D$237))/+$AH687)*V687)*(VLOOKUP('1. SUMMARY'!$C$20,rate,Sheet1!Y$21,0))))))))</f>
        <v>0</v>
      </c>
      <c r="W688" s="407">
        <f>IF(W687=0,0,(IF(($C$237+$B$237+$D$237+$E$237)&lt;=25000,(($E$237/+$AH687)*W687)*VLOOKUP('1. SUMMARY'!$C$20,rate,Sheet1!Z$21,0),((IF(($B$237+$C$237+$D$237)&gt;=25000,0,(((25000-($B$237+$C$237+$D$237))/+$AH687)*W687)*(VLOOKUP('1. SUMMARY'!$C$20,rate,Sheet1!Z$21,0))))))))</f>
        <v>0</v>
      </c>
      <c r="X688" s="407">
        <f>IF(X687=0,0,(IF(($C$237+$B$237+$D$237+$E$237)&lt;=25000,(($E$237/+$AH687)*X687)*VLOOKUP('1. SUMMARY'!$C$20,rate,Sheet1!AA$21,0),((IF(($B$237+$C$237+$D$237)&gt;=25000,0,(((25000-($B$237+$C$237+$D$237))/+$AH687)*X687)*(VLOOKUP('1. SUMMARY'!$C$20,rate,Sheet1!AA$21,0))))))))</f>
        <v>0</v>
      </c>
      <c r="Y688" s="407">
        <f>IF(Y687=0,0,(IF(($C$237+$B$237+$D$237+$E$237)&lt;=25000,(($E$237/+$AH687)*Y687)*VLOOKUP('1. SUMMARY'!$C$20,rate,Sheet1!AB$21,0),((IF(($B$237+$C$237+$D$237)&gt;=25000,0,(((25000-($B$237+$C$237+$D$237))/+$AH687)*Y687)*(VLOOKUP('1. SUMMARY'!$C$20,rate,Sheet1!AB$21,0))))))))</f>
        <v>0</v>
      </c>
      <c r="Z688" s="407">
        <f>IF(Z687=0,0,(IF(($C$237+$B$237+$D$237+$E$237)&lt;=25000,(($E$237/+$AH687)*Z687)*VLOOKUP('1. SUMMARY'!$C$20,rate,Sheet1!AC$21,0),((IF(($B$237+$C$237+$D$237)&gt;=25000,0,(((25000-($B$237+$C$237+$D$237))/+$AH687)*Z687)*(VLOOKUP('1. SUMMARY'!$C$20,rate,Sheet1!AC$21,0))))))))</f>
        <v>0</v>
      </c>
      <c r="AA688" s="407">
        <f>IF(AA687=0,0,(IF(($C$237+$B$237+$D$237+$E$237)&lt;=25000,(($E$237/+$AH687)*AA687)*VLOOKUP('1. SUMMARY'!$C$20,rate,Sheet1!AD$21,0),((IF(($B$237+$C$237+$D$237)&gt;=25000,0,(((25000-($B$237+$C$237+$D$237))/+$AH687)*AA687)*(VLOOKUP('1. SUMMARY'!$C$20,rate,Sheet1!AD$21,0))))))))</f>
        <v>0</v>
      </c>
      <c r="AB688" s="407">
        <f>IF(AB687=0,0,(IF(($C$237+$B$237+$D$237+$E$237)&lt;=25000,(($E$237/+$AH687)*AB687)*VLOOKUP('1. SUMMARY'!$C$20,rate,Sheet1!AE$21,0),((IF(($B$237+$C$237+$D$237)&gt;=25000,0,(((25000-($B$237+$C$237+$D$237))/+$AH687)*AB687)*(VLOOKUP('1. SUMMARY'!$C$20,rate,Sheet1!AE$21,0))))))))</f>
        <v>0</v>
      </c>
      <c r="AC688" s="407">
        <f>IF(AC687=0,0,(IF(($C$237+$B$237+$D$237+$E$237)&lt;=25000,(($E$237/+$AH687)*AC687)*VLOOKUP('1. SUMMARY'!$C$20,rate,Sheet1!AF$21,0),((IF(($B$237+$C$237+$D$237)&gt;=25000,0,(((25000-($B$237+$C$237+$D$237))/+$AH687)*AC687)*(VLOOKUP('1. SUMMARY'!$C$20,rate,Sheet1!AF$21,0))))))))</f>
        <v>0</v>
      </c>
      <c r="AD688" s="407">
        <f>IF(AD687=0,0,(IF(($C$237+$B$237+$D$237+$E$237)&lt;=25000,(($E$237/+$AH687)*AD687)*VLOOKUP('1. SUMMARY'!$C$20,rate,Sheet1!AG$21,0),((IF(($B$237+$C$237+$D$237)&gt;=25000,0,(((25000-($B$237+$C$237+$D$237))/+$AH687)*AD687)*(VLOOKUP('1. SUMMARY'!$C$20,rate,Sheet1!AG$21,0))))))))</f>
        <v>0</v>
      </c>
      <c r="AE688" s="407">
        <f>IF(AE687=0,0,(IF(($C$237+$B$237+$D$237+$E$237)&lt;=25000,(($E$237/+$AH687)*AE687)*VLOOKUP('1. SUMMARY'!$C$20,rate,Sheet1!AH$21,0),((IF(($B$237+$C$237+$D$237)&gt;=25000,0,(((25000-($B$237+$C$237+$D$237))/+$AH687)*AE687)*(VLOOKUP('1. SUMMARY'!$C$20,rate,Sheet1!AH$21,0))))))))</f>
        <v>0</v>
      </c>
      <c r="AF688" s="407">
        <f>IF(AF687=0,0,(IF(($C$237+$B$237+$D$237+$E$237)&lt;=25000,(($E$237/+$AH687)*AF687)*VLOOKUP('1. SUMMARY'!$C$20,rate,Sheet1!AI$21,0),((IF(($B$237+$C$237+$D$237)&gt;=25000,0,(((25000-($B$237+$C$237+$D$237))/+$AH687)*AF687)*(VLOOKUP('1. SUMMARY'!$C$20,rate,Sheet1!AI$21,0))))))))</f>
        <v>0</v>
      </c>
      <c r="AG688" s="407">
        <f>IF(AG687=0,0,(IF(($C$237+$B$237+$D$237+$E$237)&lt;=25000,(($E$237/+$AH687)*AG687)*VLOOKUP('1. SUMMARY'!$C$20,rate,Sheet1!AJ$21,0),((IF(($B$237+$C$237+$D$237)&gt;=25000,0,(((25000-($B$237+$C$237+$D$237))/+$AH687)*AG687)*(VLOOKUP('1. SUMMARY'!$C$20,rate,Sheet1!AJ$21,0))))))))</f>
        <v>0</v>
      </c>
      <c r="AH688" s="219">
        <f>SUM(Q688:AG688)</f>
        <v>0</v>
      </c>
      <c r="AI688" s="407">
        <f>IF(AI687=0,0,((+$E237/$AZ$22)*AI687)*VLOOKUP('1. SUMMARY'!$C$20,rate,Sheet1!T$21,0))</f>
        <v>0</v>
      </c>
      <c r="AJ688" s="407">
        <f>IF(AJ687=0,0,((+$E237/$AZ$22)*AJ687)*VLOOKUP('1. SUMMARY'!$C$20,rate,Sheet1!U$21,0))</f>
        <v>0</v>
      </c>
      <c r="AK688" s="407">
        <f>IF(AK687=0,0,((+$E237/$AZ$22)*AK687)*VLOOKUP('1. SUMMARY'!$C$20,rate,Sheet1!V$21,0))</f>
        <v>0</v>
      </c>
      <c r="AL688" s="407">
        <f>IF(AL687=0,0,((+$E237/$AZ$22)*AL687)*VLOOKUP('1. SUMMARY'!$C$20,rate,Sheet1!W$21,0))</f>
        <v>0</v>
      </c>
      <c r="AM688" s="407">
        <f>IF(AM687=0,0,((+$E237/$AZ$22)*AM687)*VLOOKUP('1. SUMMARY'!$C$20,rate,Sheet1!X$21,0))</f>
        <v>0</v>
      </c>
      <c r="AN688" s="407">
        <f>IF(AN687=0,0,((+$E237/$AZ$22)*AN687)*VLOOKUP('1. SUMMARY'!$C$20,rate,Sheet1!Y$21,0))</f>
        <v>0</v>
      </c>
      <c r="AO688" s="407">
        <f>IF(AO687=0,0,((+$E237/$AZ$22)*AO687)*VLOOKUP('1. SUMMARY'!$C$20,rate,Sheet1!Z$21,0))</f>
        <v>0</v>
      </c>
      <c r="AP688" s="407">
        <f>IF(AP687=0,0,((+$E237/$AZ$22)*AP687)*VLOOKUP('1. SUMMARY'!$C$20,rate,Sheet1!AA$21,0))</f>
        <v>0</v>
      </c>
      <c r="AQ688" s="407">
        <f>IF(AQ687=0,0,((+$E237/$AZ$22)*AQ687)*VLOOKUP('1. SUMMARY'!$C$20,rate,Sheet1!AB$21,0))</f>
        <v>0</v>
      </c>
      <c r="AR688" s="407">
        <f>IF(AR687=0,0,((+$E237/$AZ$22)*AR687)*VLOOKUP('1. SUMMARY'!$C$20,rate,Sheet1!AC$21,0))</f>
        <v>0</v>
      </c>
      <c r="AS688" s="407">
        <f>IF(AS687=0,0,((+$E237/$AZ$22)*AS687)*VLOOKUP('1. SUMMARY'!$C$20,rate,Sheet1!AD$21,0))</f>
        <v>0</v>
      </c>
      <c r="AT688" s="407">
        <f>IF(AT687=0,0,((+$E237/$AZ$22)*AT687)*VLOOKUP('1. SUMMARY'!$C$20,rate,Sheet1!AE$21,0))</f>
        <v>0</v>
      </c>
      <c r="AU688" s="407">
        <f>IF(AU687=0,0,((+$E237/$AZ$22)*AU687)*VLOOKUP('1. SUMMARY'!$C$20,rate,Sheet1!AF$21,0))</f>
        <v>0</v>
      </c>
      <c r="AV688" s="407">
        <f>IF(AV687=0,0,((+$E237/$AZ$22)*AV687)*VLOOKUP('1. SUMMARY'!$C$20,rate,Sheet1!AG$21,0))</f>
        <v>0</v>
      </c>
      <c r="AW688" s="407">
        <f>IF(AW687=0,0,((+$E237/$AZ$22)*AW687)*VLOOKUP('1. SUMMARY'!$C$20,rate,Sheet1!AH$21,0))</f>
        <v>0</v>
      </c>
      <c r="AX688" s="407">
        <f>IF(AX687=0,0,((+$E237/$AZ$22)*AX687)*VLOOKUP('1. SUMMARY'!$C$20,rate,Sheet1!AI$21,0))</f>
        <v>0</v>
      </c>
      <c r="AY688" s="407">
        <f>IF(AY687=0,0,((+$E237/$AZ$22)*AY687)*VLOOKUP('1. SUMMARY'!$C$20,rate,Sheet1!AJ$21,0))</f>
        <v>0</v>
      </c>
      <c r="AZ688" s="407">
        <f>SUM(AI688:AY688)</f>
        <v>0</v>
      </c>
    </row>
    <row r="689" spans="17:52" ht="15" hidden="1" customHeight="1">
      <c r="Q689" s="407">
        <f>+Q688/VLOOKUP('1. SUMMARY'!$C$20,rate,Sheet1!T$21,0)</f>
        <v>0</v>
      </c>
      <c r="R689" s="407">
        <f>+R688/VLOOKUP('1. SUMMARY'!$C$20,rate,Sheet1!U$21,0)</f>
        <v>0</v>
      </c>
      <c r="S689" s="407">
        <f>+S688/VLOOKUP('1. SUMMARY'!$C$20,rate,Sheet1!V$21,0)</f>
        <v>0</v>
      </c>
      <c r="T689" s="407">
        <f>+T688/VLOOKUP('1. SUMMARY'!$C$20,rate,Sheet1!W$21,0)</f>
        <v>0</v>
      </c>
      <c r="U689" s="407">
        <f>+U688/VLOOKUP('1. SUMMARY'!$C$20,rate,Sheet1!X$21,0)</f>
        <v>0</v>
      </c>
      <c r="V689" s="407">
        <f>+V688/VLOOKUP('1. SUMMARY'!$C$20,rate,Sheet1!Y$21,0)</f>
        <v>0</v>
      </c>
      <c r="W689" s="407">
        <f>+W688/VLOOKUP('1. SUMMARY'!$C$20,rate,Sheet1!Z$21,0)</f>
        <v>0</v>
      </c>
      <c r="X689" s="407">
        <f>+X688/VLOOKUP('1. SUMMARY'!$C$20,rate,Sheet1!AA$21,0)</f>
        <v>0</v>
      </c>
      <c r="Y689" s="407">
        <f>+Y688/VLOOKUP('1. SUMMARY'!$C$20,rate,Sheet1!AB$21,0)</f>
        <v>0</v>
      </c>
      <c r="Z689" s="407">
        <f>+Z688/VLOOKUP('1. SUMMARY'!$C$20,rate,Sheet1!AC$21,0)</f>
        <v>0</v>
      </c>
      <c r="AA689" s="407">
        <f>+AA688/VLOOKUP('1. SUMMARY'!$C$20,rate,Sheet1!AD$21,0)</f>
        <v>0</v>
      </c>
      <c r="AB689" s="407">
        <f>+AB688/VLOOKUP('1. SUMMARY'!$C$20,rate,Sheet1!AE$21,0)</f>
        <v>0</v>
      </c>
      <c r="AC689" s="407">
        <f>+AC688/VLOOKUP('1. SUMMARY'!$C$20,rate,Sheet1!AF$21,0)</f>
        <v>0</v>
      </c>
      <c r="AD689" s="407">
        <f>+AD688/VLOOKUP('1. SUMMARY'!$C$20,rate,Sheet1!AG$21,0)</f>
        <v>0</v>
      </c>
      <c r="AE689" s="407">
        <f>+AE688/VLOOKUP('1. SUMMARY'!$C$20,rate,Sheet1!AH$21,0)</f>
        <v>0</v>
      </c>
      <c r="AF689" s="407">
        <f>+AF688/VLOOKUP('1. SUMMARY'!$C$20,rate,Sheet1!AI$21,0)</f>
        <v>0</v>
      </c>
      <c r="AG689" s="407">
        <f>+AG688/VLOOKUP('1. SUMMARY'!$C$20,rate,Sheet1!AJ$21,0)</f>
        <v>0</v>
      </c>
      <c r="AH689" s="219"/>
      <c r="AI689" s="407">
        <v>0</v>
      </c>
      <c r="AJ689" s="407">
        <v>0</v>
      </c>
      <c r="AK689" s="407">
        <v>0</v>
      </c>
      <c r="AL689" s="407">
        <v>0</v>
      </c>
      <c r="AM689" s="407">
        <v>0</v>
      </c>
      <c r="AN689" s="407">
        <v>0</v>
      </c>
      <c r="AO689" s="407">
        <v>0</v>
      </c>
      <c r="AP689" s="407">
        <v>0</v>
      </c>
      <c r="AQ689" s="407"/>
      <c r="AR689" s="407"/>
      <c r="AS689" s="407"/>
      <c r="AT689" s="407"/>
      <c r="AU689" s="407"/>
      <c r="AV689" s="407"/>
      <c r="AW689" s="407"/>
      <c r="AX689" s="407"/>
      <c r="AY689" s="407"/>
      <c r="AZ689" s="407"/>
    </row>
    <row r="690" spans="17:52" ht="15" hidden="1" customHeight="1">
      <c r="Q690" s="408">
        <f>Sheet1!$T$8</f>
        <v>44105</v>
      </c>
      <c r="R690" s="408">
        <f>Sheet1!$U$8</f>
        <v>44470</v>
      </c>
      <c r="S690" s="408">
        <f>Sheet1!$V$8</f>
        <v>44835</v>
      </c>
      <c r="T690" s="408">
        <f>Sheet1!$W$8</f>
        <v>45200</v>
      </c>
      <c r="U690" s="408">
        <f>Sheet1!$X$8</f>
        <v>45566</v>
      </c>
      <c r="V690" s="408">
        <f>Sheet1!$Y$8</f>
        <v>45931</v>
      </c>
      <c r="W690" s="408">
        <f>Sheet1!$Z$8</f>
        <v>46296</v>
      </c>
      <c r="X690" s="408">
        <f>Sheet1!$AA$8</f>
        <v>46661</v>
      </c>
      <c r="Y690" s="408">
        <f>Sheet1!$AB$8</f>
        <v>47027</v>
      </c>
      <c r="Z690" s="408">
        <f>Sheet1!$AC$8</f>
        <v>47392</v>
      </c>
      <c r="AA690" s="408">
        <f>$AA$5</f>
        <v>47757</v>
      </c>
      <c r="AB690" s="408">
        <f>$AB$5</f>
        <v>48122</v>
      </c>
      <c r="AC690" s="408">
        <f>$AC$5</f>
        <v>48488</v>
      </c>
      <c r="AD690" s="408">
        <f>$AD$5</f>
        <v>48853</v>
      </c>
      <c r="AE690" s="408">
        <f>$AE$5</f>
        <v>49218</v>
      </c>
      <c r="AF690" s="408">
        <f>$AF$5</f>
        <v>49583</v>
      </c>
      <c r="AG690" s="408">
        <f>$AG$5</f>
        <v>49949</v>
      </c>
      <c r="AH690" s="211"/>
      <c r="AI690" s="408">
        <f t="shared" ref="AI690:AR692" si="306">+Q690</f>
        <v>44105</v>
      </c>
      <c r="AJ690" s="408">
        <f t="shared" si="306"/>
        <v>44470</v>
      </c>
      <c r="AK690" s="408">
        <f t="shared" si="306"/>
        <v>44835</v>
      </c>
      <c r="AL690" s="408">
        <f t="shared" si="306"/>
        <v>45200</v>
      </c>
      <c r="AM690" s="408">
        <f t="shared" si="306"/>
        <v>45566</v>
      </c>
      <c r="AN690" s="408">
        <f t="shared" si="306"/>
        <v>45931</v>
      </c>
      <c r="AO690" s="408">
        <f t="shared" si="306"/>
        <v>46296</v>
      </c>
      <c r="AP690" s="408">
        <f t="shared" si="306"/>
        <v>46661</v>
      </c>
      <c r="AQ690" s="408">
        <f t="shared" si="306"/>
        <v>47027</v>
      </c>
      <c r="AR690" s="408">
        <f t="shared" si="306"/>
        <v>47392</v>
      </c>
      <c r="AS690" s="408">
        <f t="shared" ref="AS690:AY692" si="307">+AA690</f>
        <v>47757</v>
      </c>
      <c r="AT690" s="408">
        <f t="shared" si="307"/>
        <v>48122</v>
      </c>
      <c r="AU690" s="408">
        <f t="shared" si="307"/>
        <v>48488</v>
      </c>
      <c r="AV690" s="408">
        <f t="shared" si="307"/>
        <v>48853</v>
      </c>
      <c r="AW690" s="408">
        <f t="shared" si="307"/>
        <v>49218</v>
      </c>
      <c r="AX690" s="408">
        <f t="shared" si="307"/>
        <v>49583</v>
      </c>
      <c r="AY690" s="408">
        <f t="shared" si="307"/>
        <v>49949</v>
      </c>
      <c r="AZ690" s="408"/>
    </row>
    <row r="691" spans="17:52" ht="15" hidden="1" customHeight="1">
      <c r="Q691" s="408">
        <f>Sheet1!$T$9</f>
        <v>44469</v>
      </c>
      <c r="R691" s="408">
        <f>Sheet1!$U$9</f>
        <v>44834</v>
      </c>
      <c r="S691" s="408">
        <f>Sheet1!$V$9</f>
        <v>45199</v>
      </c>
      <c r="T691" s="408">
        <f>Sheet1!$W$9</f>
        <v>45565</v>
      </c>
      <c r="U691" s="408">
        <f>Sheet1!$X$9</f>
        <v>45930</v>
      </c>
      <c r="V691" s="408">
        <f>Sheet1!$Y$9</f>
        <v>46295</v>
      </c>
      <c r="W691" s="408">
        <f>Sheet1!$Z$9</f>
        <v>46660</v>
      </c>
      <c r="X691" s="408">
        <f>Sheet1!$AA$9</f>
        <v>47026</v>
      </c>
      <c r="Y691" s="408">
        <f>Sheet1!$AB$9</f>
        <v>47391</v>
      </c>
      <c r="Z691" s="408">
        <f>Sheet1!$AC$9</f>
        <v>47756</v>
      </c>
      <c r="AA691" s="408">
        <f>$AA$6</f>
        <v>48121</v>
      </c>
      <c r="AB691" s="408">
        <f>$AB$6</f>
        <v>48487</v>
      </c>
      <c r="AC691" s="408">
        <f>$AC$6</f>
        <v>48852</v>
      </c>
      <c r="AD691" s="408">
        <f>$AD$6</f>
        <v>49217</v>
      </c>
      <c r="AE691" s="408">
        <f>$AE$6</f>
        <v>49582</v>
      </c>
      <c r="AF691" s="408">
        <f>$AF$6</f>
        <v>49948</v>
      </c>
      <c r="AG691" s="408">
        <f>$AG$6</f>
        <v>50313</v>
      </c>
      <c r="AH691" s="211"/>
      <c r="AI691" s="408">
        <f t="shared" si="306"/>
        <v>44469</v>
      </c>
      <c r="AJ691" s="408">
        <f t="shared" si="306"/>
        <v>44834</v>
      </c>
      <c r="AK691" s="408">
        <f t="shared" si="306"/>
        <v>45199</v>
      </c>
      <c r="AL691" s="408">
        <f t="shared" si="306"/>
        <v>45565</v>
      </c>
      <c r="AM691" s="408">
        <f t="shared" si="306"/>
        <v>45930</v>
      </c>
      <c r="AN691" s="408">
        <f t="shared" si="306"/>
        <v>46295</v>
      </c>
      <c r="AO691" s="408">
        <f t="shared" si="306"/>
        <v>46660</v>
      </c>
      <c r="AP691" s="408">
        <f t="shared" si="306"/>
        <v>47026</v>
      </c>
      <c r="AQ691" s="408">
        <f t="shared" si="306"/>
        <v>47391</v>
      </c>
      <c r="AR691" s="408">
        <f t="shared" si="306"/>
        <v>47756</v>
      </c>
      <c r="AS691" s="408">
        <f t="shared" si="307"/>
        <v>48121</v>
      </c>
      <c r="AT691" s="408">
        <f t="shared" si="307"/>
        <v>48487</v>
      </c>
      <c r="AU691" s="408">
        <f t="shared" si="307"/>
        <v>48852</v>
      </c>
      <c r="AV691" s="408">
        <f t="shared" si="307"/>
        <v>49217</v>
      </c>
      <c r="AW691" s="408">
        <f t="shared" si="307"/>
        <v>49582</v>
      </c>
      <c r="AX691" s="408">
        <f t="shared" si="307"/>
        <v>49948</v>
      </c>
      <c r="AY691" s="408">
        <f t="shared" si="307"/>
        <v>50313</v>
      </c>
      <c r="AZ691" s="408"/>
    </row>
    <row r="692" spans="17:52" ht="15" hidden="1" customHeight="1">
      <c r="Q692" s="409">
        <f>IF(IF(Q691&lt;$F$27,0,DATEDIF($F$27,Q691+1,"m"))&lt;0,0,IF(Q691&lt;$F$27,0,DATEDIF($F$27,Q691+1,"m")))</f>
        <v>0</v>
      </c>
      <c r="R692" s="409">
        <f>IF(IF(Q692=12,0,IF(R691&gt;$F$28,12-DATEDIF($F$28,R691+1,"m"),IF(R691&lt;$F$27,0,DATEDIF($F$27,R691+1,"m"))))&lt;0,0,IF(Q692=12,0,IF(R691&gt;$F$28,12-DATEDIF($F$28,R691+1,"m"),IF(R691&lt;$F$27,0,DATEDIF($F$27,R691+1,"m")))))</f>
        <v>0</v>
      </c>
      <c r="S692" s="409">
        <f>IF(IF(Q692+R692=12,0,IF(S691&gt;$F$28,12-DATEDIF($F$28,S691+1,"m"),IF(S691&lt;$F$27,0,DATEDIF($F$27,S691+1,"m"))))&lt;0,0,IF(Q692+R692=12,0,IF(S691&gt;$F$28,12-DATEDIF($F$28,S691+1,"m"),IF(S691&lt;$F$27,0,DATEDIF($F$27,S691+1,"m")))))</f>
        <v>0</v>
      </c>
      <c r="T692" s="409">
        <f>IF(IF(R692+S692+Q692=12,0,IF(T691&gt;$F$28,12-DATEDIF($F$28,T691+1,"m"),IF(T691&lt;$F$27,0,DATEDIF($F$27,T691+1,"m"))))&lt;0,0,IF(R692+S692+Q692=12,0,IF(T691&gt;$F$28,12-DATEDIF($F$28,T691+1,"m"),IF(T691&lt;$F$27,0,DATEDIF($F$27,T691+1,"m")))))</f>
        <v>0</v>
      </c>
      <c r="U692" s="409">
        <f>IF(IF(S692+T692+R692+Q692=12,0,IF(U691&gt;$F$28,12-DATEDIF($F$28,U691+1,"m"),IF(U691&lt;$F$27,0,DATEDIF($F$27,U691+1,"m"))))&lt;0,0,IF(S692+T692+R692+Q692=12,0,IF(U691&gt;$F$28,12-DATEDIF($F$28,U691+1,"m"),IF(U691&lt;$F$27,0,DATEDIF($F$27,U691+1,"m")))))</f>
        <v>0</v>
      </c>
      <c r="V692" s="409">
        <f>IF(IF(T692+U692+S692+R692+Q692=12,0,IF(V691&gt;$F$28,12-DATEDIF($F$28,V691+1,"m"),IF(V691&lt;$F$27,0,DATEDIF($F$27,V691+1,"m"))))&lt;0,0,IF(T692+U692+S692+R692+Q692=12,0,IF(V691&gt;$F$28,12-DATEDIF($F$28,V691+1,"m"),IF(V691&lt;$F$27,0,DATEDIF($F$27,V691+1,"m")))))</f>
        <v>0</v>
      </c>
      <c r="W692" s="409">
        <f>IF(IF(U692+V692+T692+S692+R692+Q692=12,0,IF(W691&gt;$F$28,12-DATEDIF($F$28,W691+1,"m"),IF(W691&lt;$F$27,0,DATEDIF($F$27,W691+1,"m"))))&lt;0,0,IF(U692+V692+T692+S692+R692+Q692=12,0,IF(W691&gt;$F$28,12-DATEDIF($F$28,W691+1,"m"),IF(W691&lt;$F$27,0,DATEDIF($F$27,W691+1,"m")))))</f>
        <v>0</v>
      </c>
      <c r="X692" s="409">
        <f>IF(IF(V692+W692+U692+T692+S692+R692+Q692=12,0,IF(X691&gt;$F$28,12-DATEDIF($F$28,X691+1,"m"),IF(X691&lt;$F$27,0,DATEDIF($F$27,X691+1,"m"))))&lt;0,0,IF(V692+W692+U692+T692+S692+R692+Q692=12,0,IF(X691&gt;$F$28,12-DATEDIF($F$28,X691+1,"m"),IF(X691&lt;$F$27,0,DATEDIF($F$27,X691+1,"m")))))</f>
        <v>0</v>
      </c>
      <c r="Y692" s="409">
        <f>IF(IF(Q692+W692+X692+V692+U692+T692+S692+R692=12,0,IF(Y691&gt;$F$28,12-DATEDIF($F$28,Y691+1,"m"),IF(Y691&lt;$F$27,0,DATEDIF($F$27,Y691+1,"m"))))&lt;0,0,IF(Q692+W692+X692+V692+U692+T692+S692+R692=12,0,IF(Y691&gt;$F$28,12-DATEDIF($F$28,Y691+1,"m"),IF(Y691&lt;$F$27,0,DATEDIF($F$27,Y691+1,"m")))))</f>
        <v>0</v>
      </c>
      <c r="Z692" s="409">
        <f>IF(IF(Q692+R692+X692+Y692+W692+V692+U692+T692+S692=12,0,IF(Z691&gt;$F$28,12-DATEDIF($F$28,Z691+1,"m"),IF(Z691&lt;$F$27,0,DATEDIF($F$27,Z691+1,"m"))))&lt;0,0,IF(Q692+R692+X692+Y692+W692+V692+U692+T692+S692=12,0,IF(Z691&gt;$F$28,12-DATEDIF($F$28,Z691+1,"m"),IF(Z691&lt;$F$27,0,DATEDIF($F$27,Z691+1,"m")))))</f>
        <v>0</v>
      </c>
      <c r="AA692" s="409"/>
      <c r="AB692" s="409"/>
      <c r="AC692" s="409"/>
      <c r="AD692" s="409"/>
      <c r="AE692" s="409"/>
      <c r="AF692" s="409"/>
      <c r="AG692" s="409"/>
      <c r="AH692" s="423">
        <f>SUM(Q692:AG692)</f>
        <v>0</v>
      </c>
      <c r="AI692" s="409">
        <f t="shared" si="306"/>
        <v>0</v>
      </c>
      <c r="AJ692" s="409">
        <f t="shared" si="306"/>
        <v>0</v>
      </c>
      <c r="AK692" s="409">
        <f t="shared" si="306"/>
        <v>0</v>
      </c>
      <c r="AL692" s="409">
        <f t="shared" si="306"/>
        <v>0</v>
      </c>
      <c r="AM692" s="409">
        <f t="shared" si="306"/>
        <v>0</v>
      </c>
      <c r="AN692" s="409">
        <f t="shared" si="306"/>
        <v>0</v>
      </c>
      <c r="AO692" s="409">
        <f t="shared" si="306"/>
        <v>0</v>
      </c>
      <c r="AP692" s="409">
        <f t="shared" si="306"/>
        <v>0</v>
      </c>
      <c r="AQ692" s="409">
        <f t="shared" si="306"/>
        <v>0</v>
      </c>
      <c r="AR692" s="409">
        <f t="shared" si="306"/>
        <v>0</v>
      </c>
      <c r="AS692" s="409">
        <f t="shared" si="307"/>
        <v>0</v>
      </c>
      <c r="AT692" s="409">
        <f t="shared" si="307"/>
        <v>0</v>
      </c>
      <c r="AU692" s="409">
        <f t="shared" si="307"/>
        <v>0</v>
      </c>
      <c r="AV692" s="409">
        <f t="shared" si="307"/>
        <v>0</v>
      </c>
      <c r="AW692" s="409">
        <f t="shared" si="307"/>
        <v>0</v>
      </c>
      <c r="AX692" s="409">
        <f t="shared" si="307"/>
        <v>0</v>
      </c>
      <c r="AY692" s="409">
        <f t="shared" si="307"/>
        <v>0</v>
      </c>
      <c r="AZ692" s="409">
        <f>SUM(AI692:AY692)</f>
        <v>0</v>
      </c>
    </row>
    <row r="693" spans="17:52" ht="15" hidden="1" customHeight="1">
      <c r="Q693" s="410">
        <f>IF(Q692=0,0,(IF(($C$237+$B$237+$D$237+$E$237+$F$237)&lt;=25000,(($F$237/+$AH692)*Q692)*VLOOKUP('1. SUMMARY'!$C$20,rate,Sheet1!T$21,0),((IF(($B$237+$C$237+$D$237+$E$237)&gt;=25000,0,(((25000-($B$237+$C$237+$D$237+$E$237))/+$AH692)*Q692)*(VLOOKUP('1. SUMMARY'!$C$20,rate,Sheet1!T$21,0))))))))</f>
        <v>0</v>
      </c>
      <c r="R693" s="410">
        <f>IF(R692=0,0,(IF(($C$237+$B$237+$D$237+$E$237+$F$237)&lt;=25000,(($F$237/+$AH692)*R692)*VLOOKUP('1. SUMMARY'!$C$20,rate,Sheet1!U$21,0),((IF(($B$237+$C$237+$D$237+$E$237)&gt;=25000,0,(((25000-($B$237+$C$237+$D$237+$E$237))/+$AH692)*R692)*(VLOOKUP('1. SUMMARY'!$C$20,rate,Sheet1!U$21,0))))))))</f>
        <v>0</v>
      </c>
      <c r="S693" s="410">
        <f>IF(S692=0,0,(IF(($C$237+$B$237+$D$237+$E$237+$F$237)&lt;=25000,(($F$237/+$AH692)*S692)*VLOOKUP('1. SUMMARY'!$C$20,rate,Sheet1!V$21,0),((IF(($B$237+$C$237+$D$237+$E$237)&gt;=25000,0,(((25000-($B$237+$C$237+$D$237+$E$237))/+$AH692)*S692)*(VLOOKUP('1. SUMMARY'!$C$20,rate,Sheet1!V$21,0))))))))</f>
        <v>0</v>
      </c>
      <c r="T693" s="410">
        <f>IF(T692=0,0,(IF(($C$237+$B$237+$D$237+$E$237+$F$237)&lt;=25000,(($F$237/+$AH692)*T692)*VLOOKUP('1. SUMMARY'!$C$20,rate,Sheet1!W$21,0),((IF(($B$237+$C$237+$D$237+$E$237)&gt;=25000,0,(((25000-($B$237+$C$237+$D$237+$E$237))/+$AH692)*T692)*(VLOOKUP('1. SUMMARY'!$C$20,rate,Sheet1!W$21,0))))))))</f>
        <v>0</v>
      </c>
      <c r="U693" s="410">
        <f>IF(U692=0,0,(IF(($C$237+$B$237+$D$237+$E$237+$F$237)&lt;=25000,(($F$237/+$AH692)*U692)*VLOOKUP('1. SUMMARY'!$C$20,rate,Sheet1!X$21,0),((IF(($B$237+$C$237+$D$237+$E$237)&gt;=25000,0,(((25000-($B$237+$C$237+$D$237+$E$237))/+$AH692)*U692)*(VLOOKUP('1. SUMMARY'!$C$20,rate,Sheet1!X$21,0))))))))</f>
        <v>0</v>
      </c>
      <c r="V693" s="410">
        <f>IF(V692=0,0,(IF(($C$237+$B$237+$D$237+$E$237+$F$237)&lt;=25000,(($F$237/+$AH692)*V692)*VLOOKUP('1. SUMMARY'!$C$20,rate,Sheet1!Y$21,0),((IF(($B$237+$C$237+$D$237+$E$237)&gt;=25000,0,(((25000-($B$237+$C$237+$D$237+$E$237))/+$AH692)*V692)*(VLOOKUP('1. SUMMARY'!$C$20,rate,Sheet1!Y$21,0))))))))</f>
        <v>0</v>
      </c>
      <c r="W693" s="410">
        <f>IF(W692=0,0,(IF(($C$237+$B$237+$D$237+$E$237+$F$237)&lt;=25000,(($F$237/+$AH692)*W692)*VLOOKUP('1. SUMMARY'!$C$20,rate,Sheet1!Z$21,0),((IF(($B$237+$C$237+$D$237+$E$237)&gt;=25000,0,(((25000-($B$237+$C$237+$D$237+$E$237))/+$AH692)*W692)*(VLOOKUP('1. SUMMARY'!$C$20,rate,Sheet1!Z$21,0))))))))</f>
        <v>0</v>
      </c>
      <c r="X693" s="410">
        <f>IF(X692=0,0,(IF(($C$237+$B$237+$D$237+$E$237+$F$237)&lt;=25000,(($F$237/+$AH692)*X692)*VLOOKUP('1. SUMMARY'!$C$20,rate,Sheet1!AA$21,0),((IF(($B$237+$C$237+$D$237+$E$237)&gt;=25000,0,(((25000-($B$237+$C$237+$D$237+$E$237))/+$AH692)*X692)*(VLOOKUP('1. SUMMARY'!$C$20,rate,Sheet1!AA$21,0))))))))</f>
        <v>0</v>
      </c>
      <c r="Y693" s="410">
        <f>IF(Y692=0,0,(IF(($C$237+$B$237+$D$237+$E$237+$F$237)&lt;=25000,(($F$237/+$AH692)*Y692)*VLOOKUP('1. SUMMARY'!$C$20,rate,Sheet1!AB$21,0),((IF(($B$237+$C$237+$D$237+$E$237)&gt;=25000,0,(((25000-($B$237+$C$237+$D$237+$E$237))/+$AH692)*Y692)*(VLOOKUP('1. SUMMARY'!$C$20,rate,Sheet1!AB$21,0))))))))</f>
        <v>0</v>
      </c>
      <c r="Z693" s="410">
        <f>IF(Z692=0,0,(IF(($C$237+$B$237+$D$237+$E$237+$F$237)&lt;=25000,(($F$237/+$AH692)*Z692)*VLOOKUP('1. SUMMARY'!$C$20,rate,Sheet1!AC$21,0),((IF(($B$237+$C$237+$D$237+$E$237)&gt;=25000,0,(((25000-($B$237+$C$237+$D$237+$E$237))/+$AH692)*Z692)*(VLOOKUP('1. SUMMARY'!$C$20,rate,Sheet1!AC$21,0))))))))</f>
        <v>0</v>
      </c>
      <c r="AA693" s="410">
        <f>IF(AA692=0,0,(IF(($C$237+$B$237+$D$237+$E$237+$F$237)&lt;=25000,(($F$237/+$AH692)*AA692)*VLOOKUP('1. SUMMARY'!$C$20,rate,Sheet1!AD$21,0),((IF(($B$237+$C$237+$D$237+$E$237)&gt;=25000,0,(((25000-($B$237+$C$237+$D$237+$E$237))/+$AH692)*AA692)*(VLOOKUP('1. SUMMARY'!$C$20,rate,Sheet1!AD$21,0))))))))</f>
        <v>0</v>
      </c>
      <c r="AB693" s="410">
        <f>IF(AB692=0,0,(IF(($C$237+$B$237+$D$237+$E$237+$F$237)&lt;=25000,(($F$237/+$AH692)*AB692)*VLOOKUP('1. SUMMARY'!$C$20,rate,Sheet1!AE$21,0),((IF(($B$237+$C$237+$D$237+$E$237)&gt;=25000,0,(((25000-($B$237+$C$237+$D$237+$E$237))/+$AH692)*AB692)*(VLOOKUP('1. SUMMARY'!$C$20,rate,Sheet1!AE$21,0))))))))</f>
        <v>0</v>
      </c>
      <c r="AC693" s="410">
        <f>IF(AC692=0,0,(IF(($C$237+$B$237+$D$237+$E$237+$F$237)&lt;=25000,(($F$237/+$AH692)*AC692)*VLOOKUP('1. SUMMARY'!$C$20,rate,Sheet1!AF$21,0),((IF(($B$237+$C$237+$D$237+$E$237)&gt;=25000,0,(((25000-($B$237+$C$237+$D$237+$E$237))/+$AH692)*AC692)*(VLOOKUP('1. SUMMARY'!$C$20,rate,Sheet1!AF$21,0))))))))</f>
        <v>0</v>
      </c>
      <c r="AD693" s="410">
        <f>IF(AD692=0,0,(IF(($C$237+$B$237+$D$237+$E$237+$F$237)&lt;=25000,(($F$237/+$AH692)*AD692)*VLOOKUP('1. SUMMARY'!$C$20,rate,Sheet1!AG$21,0),((IF(($B$237+$C$237+$D$237+$E$237)&gt;=25000,0,(((25000-($B$237+$C$237+$D$237+$E$237))/+$AH692)*AD692)*(VLOOKUP('1. SUMMARY'!$C$20,rate,Sheet1!AG$21,0))))))))</f>
        <v>0</v>
      </c>
      <c r="AE693" s="410">
        <f>IF(AE692=0,0,(IF(($C$237+$B$237+$D$237+$E$237+$F$237)&lt;=25000,(($F$237/+$AH692)*AE692)*VLOOKUP('1. SUMMARY'!$C$20,rate,Sheet1!AH$21,0),((IF(($B$237+$C$237+$D$237+$E$237)&gt;=25000,0,(((25000-($B$237+$C$237+$D$237+$E$237))/+$AH692)*AE692)*(VLOOKUP('1. SUMMARY'!$C$20,rate,Sheet1!AH$21,0))))))))</f>
        <v>0</v>
      </c>
      <c r="AF693" s="410">
        <f>IF(AF692=0,0,(IF(($C$237+$B$237+$D$237+$E$237+$F$237)&lt;=25000,(($F$237/+$AH692)*AF692)*VLOOKUP('1. SUMMARY'!$C$20,rate,Sheet1!AI$21,0),((IF(($B$237+$C$237+$D$237+$E$237)&gt;=25000,0,(((25000-($B$237+$C$237+$D$237+$E$237))/+$AH692)*AF692)*(VLOOKUP('1. SUMMARY'!$C$20,rate,Sheet1!AI$21,0))))))))</f>
        <v>0</v>
      </c>
      <c r="AG693" s="410">
        <f>IF(AG692=0,0,(IF(($C$237+$B$237+$D$237+$E$237+$F$237)&lt;=25000,(($F$237/+$AH692)*AG692)*VLOOKUP('1. SUMMARY'!$C$20,rate,Sheet1!AJ$21,0),((IF(($B$237+$C$237+$D$237+$E$237)&gt;=25000,0,(((25000-($B$237+$C$237+$D$237+$E$237))/+$AH692)*AG692)*(VLOOKUP('1. SUMMARY'!$C$20,rate,Sheet1!AJ$21,0))))))))</f>
        <v>0</v>
      </c>
      <c r="AH693" s="219">
        <f>SUM(Q693:AG693)</f>
        <v>0</v>
      </c>
      <c r="AI693" s="410">
        <f>IF(AI692=0,0,((+$F237/$AZ692)*AI692)*VLOOKUP('1. SUMMARY'!$C$20,rate,Sheet1!T$21,0))</f>
        <v>0</v>
      </c>
      <c r="AJ693" s="410">
        <f>IF(AJ692=0,0,((+$F237/$AZ692)*AJ692)*VLOOKUP('1. SUMMARY'!$C$20,rate,Sheet1!U$21,0))</f>
        <v>0</v>
      </c>
      <c r="AK693" s="410">
        <f>IF(AK692=0,0,((+$F237/$AZ692)*AK692)*VLOOKUP('1. SUMMARY'!$C$20,rate,Sheet1!V$21,0))</f>
        <v>0</v>
      </c>
      <c r="AL693" s="410">
        <f>IF(AL692=0,0,((+$F237/$AZ692)*AL692)*VLOOKUP('1. SUMMARY'!$C$20,rate,Sheet1!W$21,0))</f>
        <v>0</v>
      </c>
      <c r="AM693" s="410">
        <f>IF(AM692=0,0,((+$F237/$AZ692)*AM692)*VLOOKUP('1. SUMMARY'!$C$20,rate,Sheet1!X$21,0))</f>
        <v>0</v>
      </c>
      <c r="AN693" s="410">
        <f>IF(AN692=0,0,((+$F237/$AZ692)*AN692)*VLOOKUP('1. SUMMARY'!$C$20,rate,Sheet1!Y$21,0))</f>
        <v>0</v>
      </c>
      <c r="AO693" s="410">
        <f>IF(AO692=0,0,((+$F237/$AZ692)*AO692)*VLOOKUP('1. SUMMARY'!$C$20,rate,Sheet1!Z$21,0))</f>
        <v>0</v>
      </c>
      <c r="AP693" s="410">
        <f>IF(AP692=0,0,((+$F237/$AZ692)*AP692)*VLOOKUP('1. SUMMARY'!$C$20,rate,Sheet1!AA$21,0))</f>
        <v>0</v>
      </c>
      <c r="AQ693" s="410">
        <f>IF(AQ692=0,0,((+$F237/$AZ692)*AQ692)*VLOOKUP('1. SUMMARY'!$C$20,rate,Sheet1!AB$21,0))</f>
        <v>0</v>
      </c>
      <c r="AR693" s="410">
        <f>IF(AR692=0,0,((+$F237/$AZ692)*AR692)*VLOOKUP('1. SUMMARY'!$C$20,rate,Sheet1!AC$21,0))</f>
        <v>0</v>
      </c>
      <c r="AS693" s="410">
        <f>IF(AS692=0,0,((+$F237/$AZ692)*AS692)*VLOOKUP('1. SUMMARY'!$C$20,rate,Sheet1!AD$21,0))</f>
        <v>0</v>
      </c>
      <c r="AT693" s="410">
        <f>IF(AT692=0,0,((+$F237/$AZ692)*AT692)*VLOOKUP('1. SUMMARY'!$C$20,rate,Sheet1!AE$21,0))</f>
        <v>0</v>
      </c>
      <c r="AU693" s="410">
        <f>IF(AU692=0,0,((+$F237/$AZ692)*AU692)*VLOOKUP('1. SUMMARY'!$C$20,rate,Sheet1!AF$21,0))</f>
        <v>0</v>
      </c>
      <c r="AV693" s="410">
        <f>IF(AV692=0,0,((+$F237/$AZ692)*AV692)*VLOOKUP('1. SUMMARY'!$C$20,rate,Sheet1!AG$21,0))</f>
        <v>0</v>
      </c>
      <c r="AW693" s="410">
        <f>IF(AW692=0,0,((+$F237/$AZ692)*AW692)*VLOOKUP('1. SUMMARY'!$C$20,rate,Sheet1!AH$21,0))</f>
        <v>0</v>
      </c>
      <c r="AX693" s="410">
        <f>IF(AX692=0,0,((+$F237/$AZ692)*AX692)*VLOOKUP('1. SUMMARY'!$C$20,rate,Sheet1!AI$21,0))</f>
        <v>0</v>
      </c>
      <c r="AY693" s="410">
        <f>IF(AY692=0,0,((+$F237/$AZ692)*AY692)*VLOOKUP('1. SUMMARY'!$C$20,rate,Sheet1!AJ$21,0))</f>
        <v>0</v>
      </c>
      <c r="AZ693" s="410">
        <f>SUM(AI693:AY693)</f>
        <v>0</v>
      </c>
    </row>
    <row r="694" spans="17:52" ht="15" hidden="1" customHeight="1">
      <c r="Q694" s="410">
        <f>+Q693/VLOOKUP('1. SUMMARY'!$C$20,rate,Sheet1!T$21,0)</f>
        <v>0</v>
      </c>
      <c r="R694" s="410">
        <f>+R693/VLOOKUP('1. SUMMARY'!$C$20,rate,Sheet1!U$21,0)</f>
        <v>0</v>
      </c>
      <c r="S694" s="410">
        <f>+S693/VLOOKUP('1. SUMMARY'!$C$20,rate,Sheet1!V$21,0)</f>
        <v>0</v>
      </c>
      <c r="T694" s="410">
        <f>+T693/VLOOKUP('1. SUMMARY'!$C$20,rate,Sheet1!W$21,0)</f>
        <v>0</v>
      </c>
      <c r="U694" s="410">
        <f>+U693/VLOOKUP('1. SUMMARY'!$C$20,rate,Sheet1!X$21,0)</f>
        <v>0</v>
      </c>
      <c r="V694" s="410">
        <f>+V693/VLOOKUP('1. SUMMARY'!$C$20,rate,Sheet1!Y$21,0)</f>
        <v>0</v>
      </c>
      <c r="W694" s="410">
        <f>+W693/VLOOKUP('1. SUMMARY'!$C$20,rate,Sheet1!Z$21,0)</f>
        <v>0</v>
      </c>
      <c r="X694" s="410">
        <f>+X693/VLOOKUP('1. SUMMARY'!$C$20,rate,Sheet1!AA$21,0)</f>
        <v>0</v>
      </c>
      <c r="Y694" s="410">
        <f>+Y693/VLOOKUP('1. SUMMARY'!$C$20,rate,Sheet1!AB$21,0)</f>
        <v>0</v>
      </c>
      <c r="Z694" s="410">
        <f>+Z693/VLOOKUP('1. SUMMARY'!$C$20,rate,Sheet1!AC$21,0)</f>
        <v>0</v>
      </c>
      <c r="AA694" s="410">
        <f>+AA693/VLOOKUP('1. SUMMARY'!$C$20,rate,Sheet1!AD$21,0)</f>
        <v>0</v>
      </c>
      <c r="AB694" s="410">
        <f>+AB693/VLOOKUP('1. SUMMARY'!$C$20,rate,Sheet1!AE$21,0)</f>
        <v>0</v>
      </c>
      <c r="AC694" s="410">
        <f>+AC693/VLOOKUP('1. SUMMARY'!$C$20,rate,Sheet1!AF$21,0)</f>
        <v>0</v>
      </c>
      <c r="AD694" s="410">
        <f>+AD693/VLOOKUP('1. SUMMARY'!$C$20,rate,Sheet1!AG$21,0)</f>
        <v>0</v>
      </c>
      <c r="AE694" s="410">
        <f>+AE693/VLOOKUP('1. SUMMARY'!$C$20,rate,Sheet1!AH$21,0)</f>
        <v>0</v>
      </c>
      <c r="AF694" s="410">
        <f>+AF693/VLOOKUP('1. SUMMARY'!$C$20,rate,Sheet1!AI$21,0)</f>
        <v>0</v>
      </c>
      <c r="AG694" s="410">
        <f>+AG693/VLOOKUP('1. SUMMARY'!$C$20,rate,Sheet1!AJ$21,0)</f>
        <v>0</v>
      </c>
      <c r="AH694" s="219"/>
      <c r="AI694" s="410">
        <v>0</v>
      </c>
      <c r="AJ694" s="410">
        <v>0</v>
      </c>
      <c r="AK694" s="410">
        <v>0</v>
      </c>
      <c r="AL694" s="410">
        <v>0</v>
      </c>
      <c r="AM694" s="410">
        <v>0</v>
      </c>
      <c r="AN694" s="410">
        <v>0</v>
      </c>
      <c r="AO694" s="410">
        <v>0</v>
      </c>
      <c r="AP694" s="410">
        <v>0</v>
      </c>
      <c r="AQ694" s="410"/>
      <c r="AR694" s="410"/>
      <c r="AS694" s="410"/>
      <c r="AT694" s="410"/>
      <c r="AU694" s="410"/>
      <c r="AV694" s="410"/>
      <c r="AW694" s="410"/>
      <c r="AX694" s="410"/>
      <c r="AY694" s="410"/>
      <c r="AZ694" s="410"/>
    </row>
    <row r="695" spans="17:52" ht="15" hidden="1" customHeight="1">
      <c r="Q695" s="413">
        <f>Sheet1!$T$8</f>
        <v>44105</v>
      </c>
      <c r="R695" s="413">
        <f>Sheet1!$U$8</f>
        <v>44470</v>
      </c>
      <c r="S695" s="413">
        <f>Sheet1!$V$8</f>
        <v>44835</v>
      </c>
      <c r="T695" s="413">
        <f>Sheet1!$W$8</f>
        <v>45200</v>
      </c>
      <c r="U695" s="413">
        <f>Sheet1!$X$8</f>
        <v>45566</v>
      </c>
      <c r="V695" s="413">
        <f>Sheet1!$Y$8</f>
        <v>45931</v>
      </c>
      <c r="W695" s="413">
        <f>Sheet1!$Z$8</f>
        <v>46296</v>
      </c>
      <c r="X695" s="413">
        <f>Sheet1!$AA$8</f>
        <v>46661</v>
      </c>
      <c r="Y695" s="413">
        <f>Sheet1!$AB$8</f>
        <v>47027</v>
      </c>
      <c r="Z695" s="413">
        <f>Sheet1!$AC$8</f>
        <v>47392</v>
      </c>
      <c r="AA695" s="413">
        <f>$AA$5</f>
        <v>47757</v>
      </c>
      <c r="AB695" s="413">
        <f>$AB$5</f>
        <v>48122</v>
      </c>
      <c r="AC695" s="413">
        <f>$AC$5</f>
        <v>48488</v>
      </c>
      <c r="AD695" s="413">
        <f>$AD$5</f>
        <v>48853</v>
      </c>
      <c r="AE695" s="413">
        <f>$AE$5</f>
        <v>49218</v>
      </c>
      <c r="AF695" s="413">
        <f>$AF$5</f>
        <v>49583</v>
      </c>
      <c r="AG695" s="413">
        <f>$AG$5</f>
        <v>49949</v>
      </c>
      <c r="AH695" s="219"/>
      <c r="AI695" s="413">
        <f t="shared" ref="AI695:AR697" si="308">+Q695</f>
        <v>44105</v>
      </c>
      <c r="AJ695" s="413">
        <f t="shared" si="308"/>
        <v>44470</v>
      </c>
      <c r="AK695" s="413">
        <f t="shared" si="308"/>
        <v>44835</v>
      </c>
      <c r="AL695" s="413">
        <f t="shared" si="308"/>
        <v>45200</v>
      </c>
      <c r="AM695" s="413">
        <f t="shared" si="308"/>
        <v>45566</v>
      </c>
      <c r="AN695" s="413">
        <f t="shared" si="308"/>
        <v>45931</v>
      </c>
      <c r="AO695" s="413">
        <f t="shared" si="308"/>
        <v>46296</v>
      </c>
      <c r="AP695" s="413">
        <f t="shared" si="308"/>
        <v>46661</v>
      </c>
      <c r="AQ695" s="413">
        <f t="shared" si="308"/>
        <v>47027</v>
      </c>
      <c r="AR695" s="413">
        <f t="shared" si="308"/>
        <v>47392</v>
      </c>
      <c r="AS695" s="413">
        <f t="shared" ref="AS695:AY697" si="309">+AA695</f>
        <v>47757</v>
      </c>
      <c r="AT695" s="413">
        <f t="shared" si="309"/>
        <v>48122</v>
      </c>
      <c r="AU695" s="413">
        <f t="shared" si="309"/>
        <v>48488</v>
      </c>
      <c r="AV695" s="413">
        <f t="shared" si="309"/>
        <v>48853</v>
      </c>
      <c r="AW695" s="413">
        <f t="shared" si="309"/>
        <v>49218</v>
      </c>
      <c r="AX695" s="413">
        <f t="shared" si="309"/>
        <v>49583</v>
      </c>
      <c r="AY695" s="413">
        <f t="shared" si="309"/>
        <v>49949</v>
      </c>
      <c r="AZ695" s="413"/>
    </row>
    <row r="696" spans="17:52" ht="15" hidden="1" customHeight="1">
      <c r="Q696" s="413">
        <f>Sheet1!$T$9</f>
        <v>44469</v>
      </c>
      <c r="R696" s="413">
        <f>Sheet1!$U$9</f>
        <v>44834</v>
      </c>
      <c r="S696" s="413">
        <f>Sheet1!$V$9</f>
        <v>45199</v>
      </c>
      <c r="T696" s="413">
        <f>Sheet1!$W$9</f>
        <v>45565</v>
      </c>
      <c r="U696" s="413">
        <f>Sheet1!$X$9</f>
        <v>45930</v>
      </c>
      <c r="V696" s="413">
        <f>Sheet1!$Y$9</f>
        <v>46295</v>
      </c>
      <c r="W696" s="413">
        <f>Sheet1!$Z$9</f>
        <v>46660</v>
      </c>
      <c r="X696" s="413">
        <f>Sheet1!$AA$9</f>
        <v>47026</v>
      </c>
      <c r="Y696" s="413">
        <f>Sheet1!$AB$9</f>
        <v>47391</v>
      </c>
      <c r="Z696" s="413">
        <f>Sheet1!$AC$9</f>
        <v>47756</v>
      </c>
      <c r="AA696" s="413">
        <f>$AA$6</f>
        <v>48121</v>
      </c>
      <c r="AB696" s="413">
        <f>$AB$6</f>
        <v>48487</v>
      </c>
      <c r="AC696" s="413">
        <f>$AC$6</f>
        <v>48852</v>
      </c>
      <c r="AD696" s="413">
        <f>$AD$6</f>
        <v>49217</v>
      </c>
      <c r="AE696" s="413">
        <f>$AE$6</f>
        <v>49582</v>
      </c>
      <c r="AF696" s="413">
        <f>$AF$6</f>
        <v>49948</v>
      </c>
      <c r="AG696" s="413">
        <f>$AG$6</f>
        <v>50313</v>
      </c>
      <c r="AH696" s="219"/>
      <c r="AI696" s="413">
        <f t="shared" si="308"/>
        <v>44469</v>
      </c>
      <c r="AJ696" s="413">
        <f t="shared" si="308"/>
        <v>44834</v>
      </c>
      <c r="AK696" s="413">
        <f t="shared" si="308"/>
        <v>45199</v>
      </c>
      <c r="AL696" s="413">
        <f t="shared" si="308"/>
        <v>45565</v>
      </c>
      <c r="AM696" s="413">
        <f t="shared" si="308"/>
        <v>45930</v>
      </c>
      <c r="AN696" s="413">
        <f t="shared" si="308"/>
        <v>46295</v>
      </c>
      <c r="AO696" s="413">
        <f t="shared" si="308"/>
        <v>46660</v>
      </c>
      <c r="AP696" s="413">
        <f t="shared" si="308"/>
        <v>47026</v>
      </c>
      <c r="AQ696" s="413">
        <f t="shared" si="308"/>
        <v>47391</v>
      </c>
      <c r="AR696" s="413">
        <f t="shared" si="308"/>
        <v>47756</v>
      </c>
      <c r="AS696" s="413">
        <f t="shared" si="309"/>
        <v>48121</v>
      </c>
      <c r="AT696" s="413">
        <f t="shared" si="309"/>
        <v>48487</v>
      </c>
      <c r="AU696" s="413">
        <f t="shared" si="309"/>
        <v>48852</v>
      </c>
      <c r="AV696" s="413">
        <f t="shared" si="309"/>
        <v>49217</v>
      </c>
      <c r="AW696" s="413">
        <f t="shared" si="309"/>
        <v>49582</v>
      </c>
      <c r="AX696" s="413">
        <f t="shared" si="309"/>
        <v>49948</v>
      </c>
      <c r="AY696" s="413">
        <f t="shared" si="309"/>
        <v>50313</v>
      </c>
      <c r="AZ696" s="413"/>
    </row>
    <row r="697" spans="17:52" ht="15" hidden="1" customHeight="1">
      <c r="Q697" s="424">
        <f>IF(IF(Q696&lt;$G$27,0,DATEDIF($G$27,Q696+1,"m"))&lt;0,0,IF(Q696&lt;$G$27,0,DATEDIF($G$27,Q696+1,"m")))</f>
        <v>0</v>
      </c>
      <c r="R697" s="424">
        <f>IF(IF(Q697=12,0,IF(R696&gt;$G$28,12-DATEDIF($G$28,R696+1,"m"),IF(R696&lt;$G$27,0,DATEDIF($G$27,R696+1,"m"))))&lt;0,0,IF(Q697=12,0,IF(R696&gt;$G$28,12-DATEDIF($G$28,R696+1,"m"),IF(R696&lt;$G$27,0,DATEDIF($G$27,R696+1,"m")))))</f>
        <v>0</v>
      </c>
      <c r="S697" s="424">
        <f>IF(IF(Q697+R697=12,0,IF(S696&gt;$G$28,12-DATEDIF($G$28,S696+1,"m"),IF(S696&lt;$G$27,0,DATEDIF($G$27,S696+1,"m"))))&lt;0,0,IF(Q697+R697=12,0,IF(S696&gt;$G$28,12-DATEDIF($G$28,S696+1,"m"),IF(S696&lt;$G$27,0,DATEDIF($G$27,S696+1,"m")))))</f>
        <v>0</v>
      </c>
      <c r="T697" s="424">
        <f>IF(IF(R697+S697+Q697=12,0,IF(T696&gt;$G$28,12-DATEDIF($G$28,T696+1,"m"),IF(T696&lt;$G$27,0,DATEDIF($G$27,T696+1,"m"))))&lt;0,0,IF(R697+S697+Q697=12,0,IF(T696&gt;$G$28,12-DATEDIF($G$28,T696+1,"m"),IF(T696&lt;$G$27,0,DATEDIF($G$27,T696+1,"m")))))</f>
        <v>0</v>
      </c>
      <c r="U697" s="424">
        <f>IF(IF(S697+T697+R697+Q697=12,0,IF(U696&gt;$G$28,12-DATEDIF($G$28,U696+1,"m"),IF(U696&lt;$G$27,0,DATEDIF($G$27,U696+1,"m"))))&lt;0,0,IF(S697+T697+R697+Q697=12,0,IF(U696&gt;$G$28,12-DATEDIF($G$28,U696+1,"m"),IF(U696&lt;$G$27,0,DATEDIF($G$27,U696+1,"m")))))</f>
        <v>0</v>
      </c>
      <c r="V697" s="424">
        <f>IF(IF(T697+U697+S697+R697+Q697=12,0,IF(V696&gt;$G$28,12-DATEDIF($G$28,V696+1,"m"),IF(V696&lt;$G$27,0,DATEDIF($G$27,V696+1,"m"))))&lt;0,0,IF(T697+U697+S697+R697+Q697=12,0,IF(V696&gt;$G$28,12-DATEDIF($G$28,V696+1,"m"),IF(V696&lt;$G$27,0,DATEDIF($G$27,V696+1,"m")))))</f>
        <v>0</v>
      </c>
      <c r="W697" s="424">
        <f>IF(IF(U697+V697+T697+S697+R697+Q697=12,0,IF(W696&gt;$G$28,12-DATEDIF($G$28,W696+1,"m"),IF(W696&lt;$G$27,0,DATEDIF($G$27,W696+1,"m"))))&lt;0,0,IF(U697+V697+T697+S697+R697+Q697=12,0,IF(W696&gt;$G$28,12-DATEDIF($G$28,W696+1,"m"),IF(W696&lt;$G$27,0,DATEDIF($G$27,W696+1,"m")))))</f>
        <v>0</v>
      </c>
      <c r="X697" s="424">
        <f>IF(IF(V697+W697+U697+T697+S697+R697+Q697=12,0,IF(X696&gt;$G$28,12-DATEDIF($G$28,X696+1,"m"),IF(X696&lt;$G$27,0,DATEDIF($G$27,X696+1,"m"))))&lt;0,0,IF(V697+W697+U697+T697+S697+R697+Q697=12,0,IF(X696&gt;$G$28,12-DATEDIF($G$28,X696+1,"m"),IF(X696&lt;$G$27,0,DATEDIF($G$27,X696+1,"m")))))</f>
        <v>0</v>
      </c>
      <c r="Y697" s="424">
        <f>IF(IF(W697+X697+V697+U697+T697+S697+R697+Q697=12,0,IF(Y696&gt;$G$28,12-DATEDIF($G$28,Y696+1,"m"),IF(Y696&lt;$G$27,0,DATEDIF($G$27,Y696+1,"m"))))&lt;0,0,IF(W697+X697+V697+U697+T697+S697+R697+Q697=12,0,IF(Y696&gt;$G$28,12-DATEDIF($G$28,Y696+1,"m"),IF(Y696&lt;$G$27,0,DATEDIF($G$27,Y696+1,"m")))))</f>
        <v>0</v>
      </c>
      <c r="Z697" s="424">
        <f>IF(IF(X697+Y697+W697+V697+U697+T697+S697+R697+Q697=12,0,IF(Z696&gt;$G$28,12-DATEDIF($G$28,Z696+1,"m"),IF(Z696&lt;$G$27,0,DATEDIF($G$27,Z696+1,"m"))))&lt;0,0,IF(X697+Y697+W697+V697+U697+T697+S697+R697+Q697=12,0,IF(Z696&gt;$G$28,12-DATEDIF($G$28,Z696+1,"m"),IF(Z696&lt;$G$27,0,DATEDIF($G$27,Z696+1,"m")))))</f>
        <v>0</v>
      </c>
      <c r="AA697" s="414">
        <f>IF(IF(Q697+R697+S697+Y697+Z697+X697+W697+V697+U697+T697=12,0,IF(AA696&gt;$G$28,12-DATEDIF($G$28,AA696+1,"m"),IF(AA696&lt;$G$27,0,DATEDIF($G$27,AA696+1,"m"))))&lt;0,0,IF(Q697+R697+S697+Y697+Z697+X697+W697+V697+U697+T697=12,0,IF(AA696&gt;$G$28,12-DATEDIF($G$28,AA696+1,"m"),IF(AA696&lt;$G$27,0,DATEDIF($G$27,AA696+1,"m")))))</f>
        <v>0</v>
      </c>
      <c r="AB697" s="414">
        <f>IF(IF(Q697+R697+S697+T697+Z697+AA697+Y697+X697+W697+V697+U697=12,0,IF(AB696&gt;$G$28,12-DATEDIF($G$28,AB696+1,"m"),IF(AB696&lt;$G$27,0,DATEDIF($G$27,AB696+1,"m"))))&lt;0,0,IF(Q697+R697+S697+T697+Z697+AA697+Y697+X697+W697+V697+U697=12,0,IF(AB696&gt;$G$28,12-DATEDIF($G$28,AB696+1,"m"),IF(AB696&lt;$G$27,0,DATEDIF($G$27,AB696+1,"m")))))</f>
        <v>0</v>
      </c>
      <c r="AC697" s="414">
        <f>IF(IF(Q697+R697+S697+T697+U697+AA697+AB697+Z697+Y697+X697+W697+V697=12,0,IF(AC696&gt;$G$28,12-DATEDIF($G$28,AC696+1,"m"),IF(AC696&lt;$G$27,0,DATEDIF($G$27,AC696+1,"m"))))&lt;0,0,IF(Q697+R697+S697+T697+U697+AA697+AB697+Z697+Y697+X697+W697+V697=12,0,IF(AC696&gt;$G$28,12-DATEDIF($G$28,AC696+1,"m"),IF(AC696&lt;$G$27,0,DATEDIF($G$27,AC696+1,"m")))))</f>
        <v>0</v>
      </c>
      <c r="AD697" s="414">
        <f>IF(IF(Q697+R697+S697+T697+U697+V697+AB697+AC697+AA697+Z697+Y697+X697+W697=12,0,IF(AD696&gt;$G$28,12-DATEDIF($G$28,AD696+1,"m"),IF(AD696&lt;$G$27,0,DATEDIF($G$27,AD696+1,"m"))))&lt;0,0,IF(Q697+R697+S697+T697+U697+V697+AB697+AC697+AA697+Z697+Y697+X697+W697=12,0,IF(AD696&gt;$G$28,12-DATEDIF($G$28,AD696+1,"m"),IF(AD696&lt;$G$27,0,DATEDIF($G$27,AD696+1,"m")))))</f>
        <v>0</v>
      </c>
      <c r="AE697" s="414"/>
      <c r="AF697" s="414"/>
      <c r="AG697" s="414"/>
      <c r="AH697" s="423">
        <f>SUM(Q697:AG697)</f>
        <v>0</v>
      </c>
      <c r="AI697" s="414">
        <f t="shared" si="308"/>
        <v>0</v>
      </c>
      <c r="AJ697" s="414">
        <f t="shared" si="308"/>
        <v>0</v>
      </c>
      <c r="AK697" s="414">
        <f t="shared" si="308"/>
        <v>0</v>
      </c>
      <c r="AL697" s="414">
        <f t="shared" si="308"/>
        <v>0</v>
      </c>
      <c r="AM697" s="414">
        <f t="shared" si="308"/>
        <v>0</v>
      </c>
      <c r="AN697" s="414">
        <f t="shared" si="308"/>
        <v>0</v>
      </c>
      <c r="AO697" s="414">
        <f t="shared" si="308"/>
        <v>0</v>
      </c>
      <c r="AP697" s="414">
        <f t="shared" si="308"/>
        <v>0</v>
      </c>
      <c r="AQ697" s="414">
        <f t="shared" si="308"/>
        <v>0</v>
      </c>
      <c r="AR697" s="414">
        <f t="shared" si="308"/>
        <v>0</v>
      </c>
      <c r="AS697" s="414">
        <f t="shared" si="309"/>
        <v>0</v>
      </c>
      <c r="AT697" s="414">
        <f t="shared" si="309"/>
        <v>0</v>
      </c>
      <c r="AU697" s="414">
        <f t="shared" si="309"/>
        <v>0</v>
      </c>
      <c r="AV697" s="414">
        <f t="shared" si="309"/>
        <v>0</v>
      </c>
      <c r="AW697" s="414">
        <f t="shared" si="309"/>
        <v>0</v>
      </c>
      <c r="AX697" s="414">
        <f t="shared" si="309"/>
        <v>0</v>
      </c>
      <c r="AY697" s="414">
        <f t="shared" si="309"/>
        <v>0</v>
      </c>
      <c r="AZ697" s="414">
        <f>SUM(AI697:AY697)</f>
        <v>0</v>
      </c>
    </row>
    <row r="698" spans="17:52" ht="15" hidden="1" customHeight="1">
      <c r="Q698" s="415">
        <f>IF(Q697=0,0,(IF(($B$237+$C$237+$D$237+$E$237+$F$237+$G$237)&lt;=25000,(($G$237/+$AH697)*Q697)*VLOOKUP('1. SUMMARY'!$C$20,rate,Sheet1!T$21,0),((IF(($F$237+$B$237+$C$237+$D$237+$E$237)&gt;=25000,0,(((25000-($B$237+$C$237+$D$237+$E$237+$F$237))/+$AH697)*Q697)*(VLOOKUP('1. SUMMARY'!$C$20,rate,Sheet1!T$21,0))))))))</f>
        <v>0</v>
      </c>
      <c r="R698" s="415">
        <f>IF(R697=0,0,(IF(($B$237+$C$237+$D$237+$E$237+$F$237+$G$237)&lt;=25000,(($G$237/+$AH697)*R697)*VLOOKUP('1. SUMMARY'!$C$20,rate,Sheet1!U$21,0),((IF(($F$237+$B$237+$C$237+$D$237+$E$237)&gt;=25000,0,(((25000-($B$237+$C$237+$D$237+$E$237+$F$237))/+$AH697)*R697)*(VLOOKUP('1. SUMMARY'!$C$20,rate,Sheet1!U$21,0))))))))</f>
        <v>0</v>
      </c>
      <c r="S698" s="415">
        <f>IF(S697=0,0,(IF(($B$237+$C$237+$D$237+$E$237+$F$237+$G$237)&lt;=25000,(($G$237/+$AH697)*S697)*VLOOKUP('1. SUMMARY'!$C$20,rate,Sheet1!V$21,0),((IF(($F$237+$B$237+$C$237+$D$237+$E$237)&gt;=25000,0,(((25000-($B$237+$C$237+$D$237+$E$237+$F$237))/+$AH697)*S697)*(VLOOKUP('1. SUMMARY'!$C$20,rate,Sheet1!V$21,0))))))))</f>
        <v>0</v>
      </c>
      <c r="T698" s="415">
        <f>IF(T697=0,0,(IF(($B$237+$C$237+$D$237+$E$237+$F$237+$G$237)&lt;=25000,(($G$237/+$AH697)*T697)*VLOOKUP('1. SUMMARY'!$C$20,rate,Sheet1!W$21,0),((IF(($F$237+$B$237+$C$237+$D$237+$E$237)&gt;=25000,0,(((25000-($B$237+$C$237+$D$237+$E$237+$F$237))/+$AH697)*T697)*(VLOOKUP('1. SUMMARY'!$C$20,rate,Sheet1!W$21,0))))))))</f>
        <v>0</v>
      </c>
      <c r="U698" s="415">
        <f>IF(U697=0,0,(IF(($B$237+$C$237+$D$237+$E$237+$F$237+$G$237)&lt;=25000,(($G$237/+$AH697)*U697)*VLOOKUP('1. SUMMARY'!$C$20,rate,Sheet1!X$21,0),((IF(($F$237+$B$237+$C$237+$D$237+$E$237)&gt;=25000,0,(((25000-($B$237+$C$237+$D$237+$E$237+$F$237))/+$AH697)*U697)*(VLOOKUP('1. SUMMARY'!$C$20,rate,Sheet1!X$21,0))))))))</f>
        <v>0</v>
      </c>
      <c r="V698" s="415">
        <f>IF(V697=0,0,(IF(($B$237+$C$237+$D$237+$E$237+$F$237+$G$237)&lt;=25000,(($G$237/+$AH697)*V697)*VLOOKUP('1. SUMMARY'!$C$20,rate,Sheet1!Y$21,0),((IF(($F$237+$B$237+$C$237+$D$237+$E$237)&gt;=25000,0,(((25000-($B$237+$C$237+$D$237+$E$237+$F$237))/+$AH697)*V697)*(VLOOKUP('1. SUMMARY'!$C$20,rate,Sheet1!Y$21,0))))))))</f>
        <v>0</v>
      </c>
      <c r="W698" s="415">
        <f>IF(W697=0,0,(IF(($B$237+$C$237+$D$237+$E$237+$F$237+$G$237)&lt;=25000,(($G$237/+$AH697)*W697)*VLOOKUP('1. SUMMARY'!$C$20,rate,Sheet1!Z$21,0),((IF(($F$237+$B$237+$C$237+$D$237+$E$237)&gt;=25000,0,(((25000-($B$237+$C$237+$D$237+$E$237+$F$237))/+$AH697)*W697)*(VLOOKUP('1. SUMMARY'!$C$20,rate,Sheet1!Z$21,0))))))))</f>
        <v>0</v>
      </c>
      <c r="X698" s="415">
        <f>IF(X697=0,0,(IF(($B$237+$C$237+$D$237+$E$237+$F$237+$G$237)&lt;=25000,(($G$237/+$AH697)*X697)*VLOOKUP('1. SUMMARY'!$C$20,rate,Sheet1!AA$21,0),((IF(($F$237+$B$237+$C$237+$D$237+$E$237)&gt;=25000,0,(((25000-($B$237+$C$237+$D$237+$E$237+$F$237))/+$AH697)*X697)*(VLOOKUP('1. SUMMARY'!$C$20,rate,Sheet1!AA$21,0))))))))</f>
        <v>0</v>
      </c>
      <c r="Y698" s="415">
        <f>IF(Y697=0,0,(IF(($B$237+$C$237+$D$237+$E$237+$F$237+$G$237)&lt;=25000,(($G$237/+$AH697)*Y697)*VLOOKUP('1. SUMMARY'!$C$20,rate,Sheet1!AB$21,0),((IF(($F$237+$B$237+$C$237+$D$237+$E$237)&gt;=25000,0,(((25000-($B$237+$C$237+$D$237+$E$237+$F$237))/+$AH697)*Y697)*(VLOOKUP('1. SUMMARY'!$C$20,rate,Sheet1!AB$21,0))))))))</f>
        <v>0</v>
      </c>
      <c r="Z698" s="415">
        <f>IF(Z697=0,0,(IF(($B$237+$C$237+$D$237+$E$237+$F$237+$G$237)&lt;=25000,(($G$237/+$AH697)*Z697)*VLOOKUP('1. SUMMARY'!$C$20,rate,Sheet1!AC$21,0),((IF(($F$237+$B$237+$C$237+$D$237+$E$237)&gt;=25000,0,(((25000-($B$237+$C$237+$D$237+$E$237+$F$237))/+$AH697)*Z697)*(VLOOKUP('1. SUMMARY'!$C$20,rate,Sheet1!AC$21,0))))))))</f>
        <v>0</v>
      </c>
      <c r="AA698" s="415">
        <f>IF(AA697=0,0,(IF(($B$237+$C$237+$D$237+$E$237+$F$237+$G$237)&lt;=25000,(($G$237/+$AH697)*AA697)*VLOOKUP('1. SUMMARY'!$C$20,rate,Sheet1!AD$21,0),((IF(($F$237+$B$237+$C$237+$D$237+$E$237)&gt;=25000,0,(((25000-($B$237+$C$237+$D$237+$E$237+$F$237))/+$AH697)*AA697)*(VLOOKUP('1. SUMMARY'!$C$20,rate,Sheet1!AD$21,0))))))))</f>
        <v>0</v>
      </c>
      <c r="AB698" s="415">
        <f>IF(AB697=0,0,(IF(($B$237+$C$237+$D$237+$E$237+$F$237+$G$237)&lt;=25000,(($G$237/+$AH697)*AB697)*VLOOKUP('1. SUMMARY'!$C$20,rate,Sheet1!AE$21,0),((IF(($F$237+$B$237+$C$237+$D$237+$E$237)&gt;=25000,0,(((25000-($B$237+$C$237+$D$237+$E$237+$F$237))/+$AH697)*AB697)*(VLOOKUP('1. SUMMARY'!$C$20,rate,Sheet1!AE$21,0))))))))</f>
        <v>0</v>
      </c>
      <c r="AC698" s="415">
        <f>IF(AC697=0,0,(IF(($B$237+$C$237+$D$237+$E$237+$F$237+$G$237)&lt;=25000,(($G$237/+$AH697)*AC697)*VLOOKUP('1. SUMMARY'!$C$20,rate,Sheet1!AF$21,0),((IF(($F$237+$B$237+$C$237+$D$237+$E$237)&gt;=25000,0,(((25000-($B$237+$C$237+$D$237+$E$237+$F$237))/+$AH697)*AC697)*(VLOOKUP('1. SUMMARY'!$C$20,rate,Sheet1!AF$21,0))))))))</f>
        <v>0</v>
      </c>
      <c r="AD698" s="415">
        <f>IF(AD697=0,0,(IF(($B$237+$C$237+$D$237+$E$237+$F$237+$G$237)&lt;=25000,(($G$237/+$AH697)*AD697)*VLOOKUP('1. SUMMARY'!$C$20,rate,Sheet1!AG$21,0),((IF(($F$237+$B$237+$C$237+$D$237+$E$237)&gt;=25000,0,(((25000-($B$237+$C$237+$D$237+$E$237+$F$237))/+$AH697)*AD697)*(VLOOKUP('1. SUMMARY'!$C$20,rate,Sheet1!AG$21,0))))))))</f>
        <v>0</v>
      </c>
      <c r="AE698" s="415">
        <f>IF(AE697=0,0,(IF(($B$237+$C$237+$D$237+$E$237+$F$237+$G$237)&lt;=25000,(($G$237/+$AH697)*AE697)*VLOOKUP('1. SUMMARY'!$C$20,rate,Sheet1!AH$21,0),((IF(($F$237+$B$237+$C$237+$D$237+$E$237)&gt;=25000,0,(((25000-($B$237+$C$237+$D$237+$E$237+$F$237))/+$AH697)*AE697)*(VLOOKUP('1. SUMMARY'!$C$20,rate,Sheet1!AH$21,0))))))))</f>
        <v>0</v>
      </c>
      <c r="AF698" s="415">
        <f>IF(AF697=0,0,(IF(($B$237+$C$237+$D$237+$E$237+$F$237+$G$237)&lt;=25000,(($G$237/+$AH697)*AF697)*VLOOKUP('1. SUMMARY'!$C$20,rate,Sheet1!AI$21,0),((IF(($F$237+$B$237+$C$237+$D$237+$E$237)&gt;=25000,0,(((25000-($B$237+$C$237+$D$237+$E$237+$F$237))/+$AH697)*AF697)*(VLOOKUP('1. SUMMARY'!$C$20,rate,Sheet1!AI$21,0))))))))</f>
        <v>0</v>
      </c>
      <c r="AG698" s="415">
        <f>IF(AG697=0,0,(IF(($B$237+$C$237+$D$237+$E$237+$F$237+$G$237)&lt;=25000,(($G$237/+$AH697)*AG697)*VLOOKUP('1. SUMMARY'!$C$20,rate,Sheet1!AJ$21,0),((IF(($F$237+$B$237+$C$237+$D$237+$E$237)&gt;=25000,0,(((25000-($B$237+$C$237+$D$237+$E$237+$F$237))/+$AH697)*AG697)*(VLOOKUP('1. SUMMARY'!$C$20,rate,Sheet1!AJ$21,0))))))))</f>
        <v>0</v>
      </c>
      <c r="AH698" s="219">
        <f>SUM(Q698:AG698)</f>
        <v>0</v>
      </c>
      <c r="AI698" s="415">
        <f>IF(AI697=0,0,((+$G237/$AZ697)*AI697)*VLOOKUP('1. SUMMARY'!$C$20,rate,Sheet1!T$21,0))</f>
        <v>0</v>
      </c>
      <c r="AJ698" s="415">
        <f>IF(AJ697=0,0,((+$G237/$AZ697)*AJ697)*VLOOKUP('1. SUMMARY'!$C$20,rate,Sheet1!U$21,0))</f>
        <v>0</v>
      </c>
      <c r="AK698" s="415">
        <f>IF(AK697=0,0,((+$G237/$AZ697)*AK697)*VLOOKUP('1. SUMMARY'!$C$20,rate,Sheet1!V$21,0))</f>
        <v>0</v>
      </c>
      <c r="AL698" s="415">
        <f>IF(AL697=0,0,((+$G237/$AZ697)*AL697)*VLOOKUP('1. SUMMARY'!$C$20,rate,Sheet1!W$21,0))</f>
        <v>0</v>
      </c>
      <c r="AM698" s="415">
        <f>IF(AM697=0,0,((+$G237/$AZ697)*AM697)*VLOOKUP('1. SUMMARY'!$C$20,rate,Sheet1!X$21,0))</f>
        <v>0</v>
      </c>
      <c r="AN698" s="415">
        <f>IF(AN697=0,0,((+$G237/$AZ697)*AN697)*VLOOKUP('1. SUMMARY'!$C$20,rate,Sheet1!Y$21,0))</f>
        <v>0</v>
      </c>
      <c r="AO698" s="415">
        <f>IF(AO697=0,0,((+$G237/$AZ697)*AO697)*VLOOKUP('1. SUMMARY'!$C$20,rate,Sheet1!Z$21,0))</f>
        <v>0</v>
      </c>
      <c r="AP698" s="415">
        <f>IF(AP697=0,0,((+$G237/$AZ697)*AP697)*VLOOKUP('1. SUMMARY'!$C$20,rate,Sheet1!AA$21,0))</f>
        <v>0</v>
      </c>
      <c r="AQ698" s="415">
        <f>IF(AQ697=0,0,((+$G237/$AZ697)*AQ697)*VLOOKUP('1. SUMMARY'!$C$20,rate,Sheet1!AB$21,0))</f>
        <v>0</v>
      </c>
      <c r="AR698" s="415">
        <f>IF(AR697=0,0,((+$G237/$AZ697)*AR697)*VLOOKUP('1. SUMMARY'!$C$20,rate,Sheet1!AC$21,0))</f>
        <v>0</v>
      </c>
      <c r="AS698" s="415">
        <f>IF(AS697=0,0,((+$G237/$AZ697)*AS697)*VLOOKUP('1. SUMMARY'!$C$20,rate,Sheet1!AD$21,0))</f>
        <v>0</v>
      </c>
      <c r="AT698" s="415">
        <f>IF(AT697=0,0,((+$G237/$AZ697)*AT697)*VLOOKUP('1. SUMMARY'!$C$20,rate,Sheet1!AE$21,0))</f>
        <v>0</v>
      </c>
      <c r="AU698" s="415">
        <f>IF(AU697=0,0,((+$G237/$AZ697)*AU697)*VLOOKUP('1. SUMMARY'!$C$20,rate,Sheet1!AF$21,0))</f>
        <v>0</v>
      </c>
      <c r="AV698" s="415">
        <f>IF(AV697=0,0,((+$G237/$AZ697)*AV697)*VLOOKUP('1. SUMMARY'!$C$20,rate,Sheet1!AG$21,0))</f>
        <v>0</v>
      </c>
      <c r="AW698" s="415">
        <f>IF(AW697=0,0,((+$G237/$AZ697)*AW697)*VLOOKUP('1. SUMMARY'!$C$20,rate,Sheet1!AH$21,0))</f>
        <v>0</v>
      </c>
      <c r="AX698" s="415">
        <f>IF(AX697=0,0,((+$G237/$AZ697)*AX697)*VLOOKUP('1. SUMMARY'!$C$20,rate,Sheet1!AI$21,0))</f>
        <v>0</v>
      </c>
      <c r="AY698" s="415">
        <f>IF(AY697=0,0,((+$G237/$AZ697)*AY697)*VLOOKUP('1. SUMMARY'!$C$20,rate,Sheet1!AJ$21,0))</f>
        <v>0</v>
      </c>
      <c r="AZ698" s="415">
        <f>SUM(AI698:AY698)</f>
        <v>0</v>
      </c>
    </row>
    <row r="699" spans="17:52" ht="15" hidden="1" customHeight="1">
      <c r="Q699" s="415">
        <f>+Q698/VLOOKUP('1. SUMMARY'!$C$20,rate,Sheet1!T$21,0)</f>
        <v>0</v>
      </c>
      <c r="R699" s="415">
        <f>+R698/VLOOKUP('1. SUMMARY'!$C$20,rate,Sheet1!U$21,0)</f>
        <v>0</v>
      </c>
      <c r="S699" s="415">
        <f>+S698/VLOOKUP('1. SUMMARY'!$C$20,rate,Sheet1!V$21,0)</f>
        <v>0</v>
      </c>
      <c r="T699" s="415">
        <f>+T698/VLOOKUP('1. SUMMARY'!$C$20,rate,Sheet1!W$21,0)</f>
        <v>0</v>
      </c>
      <c r="U699" s="415">
        <f>+U698/VLOOKUP('1. SUMMARY'!$C$20,rate,Sheet1!X$21,0)</f>
        <v>0</v>
      </c>
      <c r="V699" s="415">
        <f>+V698/VLOOKUP('1. SUMMARY'!$C$20,rate,Sheet1!Y$21,0)</f>
        <v>0</v>
      </c>
      <c r="W699" s="415">
        <f>+W698/VLOOKUP('1. SUMMARY'!$C$20,rate,Sheet1!Z$21,0)</f>
        <v>0</v>
      </c>
      <c r="X699" s="415">
        <f>+X698/VLOOKUP('1. SUMMARY'!$C$20,rate,Sheet1!AA$21,0)</f>
        <v>0</v>
      </c>
      <c r="Y699" s="415">
        <f>+Y698/VLOOKUP('1. SUMMARY'!$C$20,rate,Sheet1!AB$21,0)</f>
        <v>0</v>
      </c>
      <c r="Z699" s="415">
        <f>+Z698/VLOOKUP('1. SUMMARY'!$C$20,rate,Sheet1!AC$21,0)</f>
        <v>0</v>
      </c>
      <c r="AA699" s="415">
        <f>+AA698/VLOOKUP('1. SUMMARY'!$C$20,rate,Sheet1!AD$21,0)</f>
        <v>0</v>
      </c>
      <c r="AB699" s="415">
        <f>+AB698/VLOOKUP('1. SUMMARY'!$C$20,rate,Sheet1!AE$21,0)</f>
        <v>0</v>
      </c>
      <c r="AC699" s="415">
        <f>+AC698/VLOOKUP('1. SUMMARY'!$C$20,rate,Sheet1!AF$21,0)</f>
        <v>0</v>
      </c>
      <c r="AD699" s="415">
        <f>+AD698/VLOOKUP('1. SUMMARY'!$C$20,rate,Sheet1!AG$21,0)</f>
        <v>0</v>
      </c>
      <c r="AE699" s="415">
        <f>+AE698/VLOOKUP('1. SUMMARY'!$C$20,rate,Sheet1!AH$21,0)</f>
        <v>0</v>
      </c>
      <c r="AF699" s="415">
        <f>+AF698/VLOOKUP('1. SUMMARY'!$C$20,rate,Sheet1!AI$21,0)</f>
        <v>0</v>
      </c>
      <c r="AG699" s="415">
        <f>+AG698/VLOOKUP('1. SUMMARY'!$C$20,rate,Sheet1!AJ$21,0)</f>
        <v>0</v>
      </c>
      <c r="AH699" s="219"/>
      <c r="AI699" s="415"/>
      <c r="AJ699" s="415"/>
      <c r="AK699" s="415"/>
      <c r="AL699" s="415"/>
      <c r="AM699" s="415"/>
      <c r="AN699" s="415"/>
      <c r="AO699" s="415"/>
      <c r="AP699" s="415"/>
      <c r="AQ699" s="415"/>
      <c r="AR699" s="415"/>
      <c r="AS699" s="415"/>
      <c r="AT699" s="415"/>
      <c r="AU699" s="415"/>
      <c r="AV699" s="415"/>
      <c r="AW699" s="415"/>
      <c r="AX699" s="415"/>
      <c r="AY699" s="415"/>
      <c r="AZ699" s="415"/>
    </row>
    <row r="700" spans="17:52" ht="15" hidden="1" customHeight="1">
      <c r="Q700" s="411">
        <f>Sheet1!$T$8</f>
        <v>44105</v>
      </c>
      <c r="R700" s="411">
        <f>Sheet1!$U$8</f>
        <v>44470</v>
      </c>
      <c r="S700" s="411">
        <f>Sheet1!$V$8</f>
        <v>44835</v>
      </c>
      <c r="T700" s="411">
        <f>Sheet1!$W$8</f>
        <v>45200</v>
      </c>
      <c r="U700" s="411">
        <f>Sheet1!$X$8</f>
        <v>45566</v>
      </c>
      <c r="V700" s="411">
        <f>Sheet1!$Y$8</f>
        <v>45931</v>
      </c>
      <c r="W700" s="411">
        <f>Sheet1!$Z$8</f>
        <v>46296</v>
      </c>
      <c r="X700" s="411">
        <f>Sheet1!$AA$8</f>
        <v>46661</v>
      </c>
      <c r="Y700" s="411">
        <f>Sheet1!$AB$8</f>
        <v>47027</v>
      </c>
      <c r="Z700" s="411">
        <f>Sheet1!$AC$8</f>
        <v>47392</v>
      </c>
      <c r="AA700" s="411">
        <f>$AA$5</f>
        <v>47757</v>
      </c>
      <c r="AB700" s="411">
        <f>$AB$5</f>
        <v>48122</v>
      </c>
      <c r="AC700" s="411">
        <f>$AC$5</f>
        <v>48488</v>
      </c>
      <c r="AD700" s="411">
        <f>$AD$5</f>
        <v>48853</v>
      </c>
      <c r="AE700" s="411">
        <f>$AE$5</f>
        <v>49218</v>
      </c>
      <c r="AF700" s="411">
        <f>$AF$5</f>
        <v>49583</v>
      </c>
      <c r="AG700" s="411">
        <f>$AG$5</f>
        <v>49949</v>
      </c>
      <c r="AH700" s="219"/>
      <c r="AI700" s="411">
        <f t="shared" ref="AI700:AR702" si="310">+Q700</f>
        <v>44105</v>
      </c>
      <c r="AJ700" s="411">
        <f t="shared" si="310"/>
        <v>44470</v>
      </c>
      <c r="AK700" s="411">
        <f t="shared" si="310"/>
        <v>44835</v>
      </c>
      <c r="AL700" s="411">
        <f t="shared" si="310"/>
        <v>45200</v>
      </c>
      <c r="AM700" s="411">
        <f t="shared" si="310"/>
        <v>45566</v>
      </c>
      <c r="AN700" s="411">
        <f t="shared" si="310"/>
        <v>45931</v>
      </c>
      <c r="AO700" s="411">
        <f t="shared" si="310"/>
        <v>46296</v>
      </c>
      <c r="AP700" s="411">
        <f t="shared" si="310"/>
        <v>46661</v>
      </c>
      <c r="AQ700" s="411">
        <f t="shared" si="310"/>
        <v>47027</v>
      </c>
      <c r="AR700" s="411">
        <f t="shared" si="310"/>
        <v>47392</v>
      </c>
      <c r="AS700" s="411">
        <f t="shared" ref="AS700:AY702" si="311">+AA700</f>
        <v>47757</v>
      </c>
      <c r="AT700" s="411">
        <f t="shared" si="311"/>
        <v>48122</v>
      </c>
      <c r="AU700" s="411">
        <f t="shared" si="311"/>
        <v>48488</v>
      </c>
      <c r="AV700" s="411">
        <f t="shared" si="311"/>
        <v>48853</v>
      </c>
      <c r="AW700" s="411">
        <f t="shared" si="311"/>
        <v>49218</v>
      </c>
      <c r="AX700" s="411">
        <f t="shared" si="311"/>
        <v>49583</v>
      </c>
      <c r="AY700" s="411">
        <f t="shared" si="311"/>
        <v>49949</v>
      </c>
      <c r="AZ700" s="411"/>
    </row>
    <row r="701" spans="17:52" ht="15" hidden="1" customHeight="1">
      <c r="Q701" s="411">
        <f>Sheet1!$T$9</f>
        <v>44469</v>
      </c>
      <c r="R701" s="411">
        <f>Sheet1!$U$9</f>
        <v>44834</v>
      </c>
      <c r="S701" s="411">
        <f>Sheet1!$V$9</f>
        <v>45199</v>
      </c>
      <c r="T701" s="411">
        <f>Sheet1!$W$9</f>
        <v>45565</v>
      </c>
      <c r="U701" s="411">
        <f>Sheet1!$X$9</f>
        <v>45930</v>
      </c>
      <c r="V701" s="411">
        <f>Sheet1!$Y$9</f>
        <v>46295</v>
      </c>
      <c r="W701" s="411">
        <f>Sheet1!$Z$9</f>
        <v>46660</v>
      </c>
      <c r="X701" s="411">
        <f>Sheet1!$AA$9</f>
        <v>47026</v>
      </c>
      <c r="Y701" s="411">
        <f>Sheet1!$AB$9</f>
        <v>47391</v>
      </c>
      <c r="Z701" s="411">
        <f>Sheet1!$AC$9</f>
        <v>47756</v>
      </c>
      <c r="AA701" s="411">
        <f>$AA$6</f>
        <v>48121</v>
      </c>
      <c r="AB701" s="411">
        <f>$AB$6</f>
        <v>48487</v>
      </c>
      <c r="AC701" s="411">
        <f>$AC$6</f>
        <v>48852</v>
      </c>
      <c r="AD701" s="411">
        <f>$AD$6</f>
        <v>49217</v>
      </c>
      <c r="AE701" s="411">
        <f>$AE$6</f>
        <v>49582</v>
      </c>
      <c r="AF701" s="411">
        <f>$AF$6</f>
        <v>49948</v>
      </c>
      <c r="AG701" s="411">
        <f>$AG$6</f>
        <v>50313</v>
      </c>
      <c r="AH701" s="219"/>
      <c r="AI701" s="411">
        <f t="shared" si="310"/>
        <v>44469</v>
      </c>
      <c r="AJ701" s="411">
        <f t="shared" si="310"/>
        <v>44834</v>
      </c>
      <c r="AK701" s="411">
        <f t="shared" si="310"/>
        <v>45199</v>
      </c>
      <c r="AL701" s="411">
        <f t="shared" si="310"/>
        <v>45565</v>
      </c>
      <c r="AM701" s="411">
        <f t="shared" si="310"/>
        <v>45930</v>
      </c>
      <c r="AN701" s="411">
        <f t="shared" si="310"/>
        <v>46295</v>
      </c>
      <c r="AO701" s="411">
        <f t="shared" si="310"/>
        <v>46660</v>
      </c>
      <c r="AP701" s="411">
        <f t="shared" si="310"/>
        <v>47026</v>
      </c>
      <c r="AQ701" s="411">
        <f t="shared" si="310"/>
        <v>47391</v>
      </c>
      <c r="AR701" s="411">
        <f t="shared" si="310"/>
        <v>47756</v>
      </c>
      <c r="AS701" s="411">
        <f t="shared" si="311"/>
        <v>48121</v>
      </c>
      <c r="AT701" s="411">
        <f t="shared" si="311"/>
        <v>48487</v>
      </c>
      <c r="AU701" s="411">
        <f t="shared" si="311"/>
        <v>48852</v>
      </c>
      <c r="AV701" s="411">
        <f t="shared" si="311"/>
        <v>49217</v>
      </c>
      <c r="AW701" s="411">
        <f t="shared" si="311"/>
        <v>49582</v>
      </c>
      <c r="AX701" s="411">
        <f t="shared" si="311"/>
        <v>49948</v>
      </c>
      <c r="AY701" s="411">
        <f t="shared" si="311"/>
        <v>50313</v>
      </c>
      <c r="AZ701" s="411"/>
    </row>
    <row r="702" spans="17:52" ht="15" hidden="1" customHeight="1">
      <c r="Q702" s="412">
        <f>IF(IF(Q701&lt;$H$27,0,DATEDIF($H$27,Q701+1,"m"))&lt;0,0,IF(Q701&lt;$H$27,0,DATEDIF($H$27,Q701+1,"m")))</f>
        <v>0</v>
      </c>
      <c r="R702" s="412">
        <f>IF(IF(Q702=12,0,IF(R701&gt;$H$28,12-DATEDIF($H$28,R701+1,"m"),IF(R701&lt;$H$27,0,DATEDIF($H$27,R701+1,"m"))))&lt;0,0,IF(Q702=12,0,IF(R701&gt;$H$28,12-DATEDIF($H$28,R701+1,"m"),IF(R701&lt;$H$27,0,DATEDIF($H$27,R701+1,"m")))))</f>
        <v>0</v>
      </c>
      <c r="S702" s="412">
        <f>IF(IF(Q702+R702=12,0,IF(S701&gt;$H$28,12-DATEDIF($H$28,S701+1,"m"),IF(S701&lt;$H$27,0,DATEDIF($H$27,S701+1,"m"))))&lt;0,0,IF(Q702+R702=12,0,IF(S701&gt;$H$28,12-DATEDIF($H$28,S701+1,"m"),IF(S701&lt;$H$27,0,DATEDIF($H$27,S701+1,"m")))))</f>
        <v>0</v>
      </c>
      <c r="T702" s="412">
        <f>IF(IF(R702+S702+Q702=12,0,IF(T701&gt;$H$28,12-DATEDIF($H$28,T701+1,"m"),IF(T701&lt;$H$27,0,DATEDIF($H$27,T701+1,"m"))))&lt;0,0,IF(R702+S702+Q702=12,0,IF(T701&gt;$H$28,12-DATEDIF($H$28,T701+1,"m"),IF(T701&lt;$H$27,0,DATEDIF($H$27,T701+1,"m")))))</f>
        <v>0</v>
      </c>
      <c r="U702" s="412">
        <f>IF(IF(S702+T702+R702+Q702=12,0,IF(U701&gt;$H$28,12-DATEDIF($H$28,U701+1,"m"),IF(U701&lt;$H$27,0,DATEDIF($H$27,U701+1,"m"))))&lt;0,0,IF(S702+T702+R702+Q702=12,0,IF(U701&gt;$H$28,12-DATEDIF($H$28,U701+1,"m"),IF(U701&lt;$H$27,0,DATEDIF($H$27,U701+1,"m")))))</f>
        <v>0</v>
      </c>
      <c r="V702" s="412">
        <f>IF(IF(T702+U702+S702+R702+Q702=12,0,IF(V701&gt;$H$28,12-DATEDIF($H$28,V701+1,"m"),IF(V701&lt;$H$27,0,DATEDIF($H$27,V701+1,"m"))))&lt;0,0,IF(T702+U702+S702+R702+Q702=12,0,IF(V701&gt;$H$28,12-DATEDIF($H$28,V701+1,"m"),IF(V701&lt;$H$27,0,DATEDIF($H$27,V701+1,"m")))))</f>
        <v>0</v>
      </c>
      <c r="W702" s="412">
        <f>IF(IF(U702+V702+T702+S702+R702+Q702=12,0,IF(W701&gt;$H$28,12-DATEDIF($H$28,W701+1,"m"),IF(W701&lt;$H$27,0,DATEDIF($H$27,W701+1,"m"))))&lt;0,0,IF(U702+V702+T702+S702+R702+Q702=12,0,IF(W701&gt;$H$28,12-DATEDIF($H$28,W701+1,"m"),IF(W701&lt;$H$27,0,DATEDIF($H$27,W701+1,"m")))))</f>
        <v>0</v>
      </c>
      <c r="X702" s="412">
        <f>IF(IF(V702+W702+U702+T702+S702+R702+Q702=12,0,IF(X701&gt;$H$28,12-DATEDIF($H$28,X701+1,"m"),IF(X701&lt;$H$27,0,DATEDIF($H$27,X701+1,"m"))))&lt;0,0,IF(V702+W702+U702+T702+S702+R702+Q702=12,0,IF(X701&gt;$H$28,12-DATEDIF($H$28,X701+1,"m"),IF(X701&lt;$H$27,0,DATEDIF($H$27,X701+1,"m")))))</f>
        <v>0</v>
      </c>
      <c r="Y702" s="412">
        <f>IF(IF(W702+X702+V702+U702+T702+S702+R702+Q702=12,0,IF(Y701&gt;$H$28,12-DATEDIF($H$28,Y701+1,"m"),IF(Y701&lt;$H$27,0,DATEDIF($H$27,Y701+1,"m"))))&lt;0,0,IF(W702+X702+V702+U702+T702+S702+R702+Q702=12,0,IF(Y701&gt;$H$28,12-DATEDIF($H$28,Y701+1,"m"),IF(Y701&lt;$H$27,0,DATEDIF($H$27,Y701+1,"m")))))</f>
        <v>0</v>
      </c>
      <c r="Z702" s="412">
        <f>IF(IF(X702+Y702+W702+V702+U702+T702+S702+R702+Q702=12,0,IF(Z701&gt;$H$28,12-DATEDIF($H$28,Z701+1,"m"),IF(Z701&lt;$H$27,0,DATEDIF($H$27,Z701+1,"m"))))&lt;0,0,IF(X702+Y702+W702+V702+U702+T702+S702+R702+Q702=12,0,IF(Z701&gt;$H$28,12-DATEDIF($H$28,Z701+1,"m"),IF(Z701&lt;$H$27,0,DATEDIF($H$27,Z701+1,"m")))))</f>
        <v>0</v>
      </c>
      <c r="AA702" s="412">
        <f>IF(IF(Q702+R702+S702+Y702+Z702+X702+W702+V702+U702+T702=12,0,IF(AA701&gt;$H$28,12-DATEDIF($H$28,AA701+1,"m"),IF(AA701&lt;$H$27,0,DATEDIF($H$27,AA701+1,"m"))))&lt;0,0,IF(Q702+R702+S702+Y702+Z702+X702+W702+V702+U702+T702=12,0,IF(AA701&gt;$H$28,12-DATEDIF($H$28,AA701+1,"m"),IF(AA701&lt;$H$27,0,DATEDIF($H$27,AA701+1,"m")))))</f>
        <v>0</v>
      </c>
      <c r="AB702" s="412">
        <f>IF(IF(Q702+R702+S702+T702+Z702+AA702+Y702+X702+W702+V702+U702=12,0,IF(AB701&gt;$H$28,12-DATEDIF($H$28,AB701+1,"m"),IF(AB701&lt;$H$27,0,DATEDIF($H$27,AB701+1,"m"))))&lt;0,0,IF(Q702+R702+S702+T702+Z702+AA702+Y702+X702+W702+V702+U702=12,0,IF(AB701&gt;$H$28,12-DATEDIF($H$28,AB701+1,"m"),IF(AB701&lt;$H$27,0,DATEDIF($H$27,AB701+1,"m")))))</f>
        <v>0</v>
      </c>
      <c r="AC702" s="412">
        <f>IF(IF(Q702+R702+S702+T702+U702+AA702+AB702+Z702+Y702+X702+W702+V702=12,0,IF(AC701&gt;$H$28,12-DATEDIF($H$28,AC701+1,"m"),IF(AC701&lt;$H$27,0,DATEDIF($H$27,AC701+1,"m"))))&lt;0,0,IF(Q702+R702+S702+T702+U702+AA702+AB702+Z702+Y702+X702+W702+V702=12,0,IF(AC701&gt;$H$28,12-DATEDIF($H$28,AC701+1,"m"),IF(AC701&lt;$H$27,0,DATEDIF($H$27,AC701+1,"m")))))</f>
        <v>0</v>
      </c>
      <c r="AD702" s="412">
        <f>IF(IF(Q702+R702+S702+T702+U702+V702+AB702+AC702+AA702+Z702+Y702+X702+W702=12,0,IF(AD701&gt;$H$28,12-DATEDIF($H$28,AD701+1,"m"),IF(AD701&lt;$H$27,0,DATEDIF($H$27,AD701+1,"m"))))&lt;0,0,IF(Q702+R702+S702+T702+U702+V702+AB702+AC702+AA702+Z702+Y702+X702+W702=12,0,IF(AD701&gt;$H$28,12-DATEDIF($H$28,AD701+1,"m"),IF(AD701&lt;$H$27,0,DATEDIF($H$27,AD701+1,"m")))))</f>
        <v>0</v>
      </c>
      <c r="AE702" s="412">
        <f>IF(IF(Q702+R702+S702+T702+U702+V702+W702+AC702+AD702+AB702+AA702+Z702+Y702+X702=12,0,IF(AE701&gt;$H$28,12-DATEDIF($H$28,AE701+1,"m"),IF(AE701&lt;$H$27,0,DATEDIF($H$27,AE701+1,"m"))))&lt;0,0,IF(Q702+R702+S702+T702+U702+V702+W702+AC702+AD702+AB702+AA702+Z702+Y702+X702=12,0,IF(AE701&gt;$H$28,12-DATEDIF($H$28,AE701+1,"m"),IF(AE701&lt;$H$27,0,DATEDIF($H$27,AE701+1,"m")))))</f>
        <v>0</v>
      </c>
      <c r="AF702" s="412">
        <f>IF(IF(Q702+R702+S702+T702+U702+V702+W702+X702+AD702+AE702+AC702+AB702+AA702+Z702+Y702=12,0,IF(AF701&gt;$H$28,12-DATEDIF($H$28,AF701+1,"m"),IF(AF701&lt;$H$27,0,DATEDIF($H$27,AF701+1,"m"))))&lt;0,0,IF(Q702+R702+S702+T702+U702+V702+W702+X702+AD702+AE702+AC702+AB702+AA702+Z702+Y702=12,0,IF(AF701&gt;$H$28,12-DATEDIF($H$28,AF701+1,"m"),IF(AF701&lt;$H$27,0,DATEDIF($H$27,AF701+1,"m")))))</f>
        <v>0</v>
      </c>
      <c r="AG702" s="412">
        <f>IF(IF(Q702+R702+S702+T702+U702+V702+W702+X702+Y702+AE702+AF702+AD702+AC702+AB702+AA702+Z702=12,0,IF(AG701&gt;$H$28,12-DATEDIF($H$28,AG701+1,"m"),IF(AG701&lt;$H$27,0,DATEDIF($H$27,AG701+1,"m"))))&lt;0,0,IF(Q702+R702+S702+T702+U702+V702+W702+X702+Y702+AE702+AF702+AD702+AC702+AB702+AA702+Z702=12,0,IF(AG701&gt;$H$28,12-DATEDIF($H$28,AG701+1,"m"),IF(AG701&lt;$H$27,0,DATEDIF($H$27,AG701+1,"m")))))</f>
        <v>0</v>
      </c>
      <c r="AH702" s="423">
        <f>SUM(Q702:AG702)</f>
        <v>0</v>
      </c>
      <c r="AI702" s="425">
        <f t="shared" si="310"/>
        <v>0</v>
      </c>
      <c r="AJ702" s="425">
        <f t="shared" si="310"/>
        <v>0</v>
      </c>
      <c r="AK702" s="425">
        <f t="shared" si="310"/>
        <v>0</v>
      </c>
      <c r="AL702" s="425">
        <f t="shared" si="310"/>
        <v>0</v>
      </c>
      <c r="AM702" s="425">
        <f t="shared" si="310"/>
        <v>0</v>
      </c>
      <c r="AN702" s="425">
        <f t="shared" si="310"/>
        <v>0</v>
      </c>
      <c r="AO702" s="425">
        <f t="shared" si="310"/>
        <v>0</v>
      </c>
      <c r="AP702" s="425">
        <f t="shared" si="310"/>
        <v>0</v>
      </c>
      <c r="AQ702" s="425">
        <f t="shared" si="310"/>
        <v>0</v>
      </c>
      <c r="AR702" s="425">
        <f t="shared" si="310"/>
        <v>0</v>
      </c>
      <c r="AS702" s="425">
        <f t="shared" si="311"/>
        <v>0</v>
      </c>
      <c r="AT702" s="425">
        <f t="shared" si="311"/>
        <v>0</v>
      </c>
      <c r="AU702" s="425">
        <f t="shared" si="311"/>
        <v>0</v>
      </c>
      <c r="AV702" s="425">
        <f t="shared" si="311"/>
        <v>0</v>
      </c>
      <c r="AW702" s="425">
        <f t="shared" si="311"/>
        <v>0</v>
      </c>
      <c r="AX702" s="425">
        <f t="shared" si="311"/>
        <v>0</v>
      </c>
      <c r="AY702" s="425">
        <f t="shared" si="311"/>
        <v>0</v>
      </c>
      <c r="AZ702" s="425">
        <f>SUM(AI702:AY702)</f>
        <v>0</v>
      </c>
    </row>
    <row r="703" spans="17:52" ht="15" hidden="1" customHeight="1">
      <c r="Q703" s="412">
        <f>IF(Q702=0,0,(IF(($B$237+$C$237+$D$237+$E$237+$F$237+$G$237+$H$237)&lt;=25000,(($H$237/+$AH702)*Q702)*VLOOKUP('1. SUMMARY'!$C$20,rate,Sheet1!T$21,0),((IF(($F$237+$B$237+$C$237+$D$237+$E$237+$G$237)&gt;=25000,0,(((25000-($B$237+$C$237+$D$237+$E$237+$F$237+$G$237))/+$AH702)*Q702)*(VLOOKUP('1. SUMMARY'!$C$20,rate,Sheet1!T$21,0))))))))</f>
        <v>0</v>
      </c>
      <c r="R703" s="412">
        <f>IF(R702=0,0,(IF(($B$237+$C$237+$D$237+$E$237+$F$237+$G$237+$H$237)&lt;=25000,(($H$237/+$AH702)*R702)*VLOOKUP('1. SUMMARY'!$C$20,rate,Sheet1!U$21,0),((IF(($F$237+$B$237+$C$237+$D$237+$E$237+$G$237)&gt;=25000,0,(((25000-($B$237+$C$237+$D$237+$E$237+$F$237+$G$237))/+$AH702)*R702)*(VLOOKUP('1. SUMMARY'!$C$20,rate,Sheet1!U$21,0))))))))</f>
        <v>0</v>
      </c>
      <c r="S703" s="412">
        <f>IF(S702=0,0,(IF(($B$237+$C$237+$D$237+$E$237+$F$237+$G$237+$H$237)&lt;=25000,(($H$237/+$AH702)*S702)*VLOOKUP('1. SUMMARY'!$C$20,rate,Sheet1!V$21,0),((IF(($F$237+$B$237+$C$237+$D$237+$E$237+$G$237)&gt;=25000,0,(((25000-($B$237+$C$237+$D$237+$E$237+$F$237+$G$237))/+$AH702)*S702)*(VLOOKUP('1. SUMMARY'!$C$20,rate,Sheet1!V$21,0))))))))</f>
        <v>0</v>
      </c>
      <c r="T703" s="412">
        <f>IF(T702=0,0,(IF(($B$237+$C$237+$D$237+$E$237+$F$237+$G$237+$H$237)&lt;=25000,(($H$237/+$AH702)*T702)*VLOOKUP('1. SUMMARY'!$C$20,rate,Sheet1!W$21,0),((IF(($F$237+$B$237+$C$237+$D$237+$E$237+$G$237)&gt;=25000,0,(((25000-($B$237+$C$237+$D$237+$E$237+$F$237+$G$237))/+$AH702)*T702)*(VLOOKUP('1. SUMMARY'!$C$20,rate,Sheet1!W$21,0))))))))</f>
        <v>0</v>
      </c>
      <c r="U703" s="412">
        <f>IF(U702=0,0,(IF(($B$237+$C$237+$D$237+$E$237+$F$237+$G$237+$H$237)&lt;=25000,(($H$237/+$AH702)*U702)*VLOOKUP('1. SUMMARY'!$C$20,rate,Sheet1!X$21,0),((IF(($F$237+$B$237+$C$237+$D$237+$E$237+$G$237)&gt;=25000,0,(((25000-($B$237+$C$237+$D$237+$E$237+$F$237+$G$237))/+$AH702)*U702)*(VLOOKUP('1. SUMMARY'!$C$20,rate,Sheet1!X$21,0))))))))</f>
        <v>0</v>
      </c>
      <c r="V703" s="412">
        <f>IF(V702=0,0,(IF(($B$237+$C$237+$D$237+$E$237+$F$237+$G$237+$H$237)&lt;=25000,(($H$237/+$AH702)*V702)*VLOOKUP('1. SUMMARY'!$C$20,rate,Sheet1!Y$21,0),((IF(($F$237+$B$237+$C$237+$D$237+$E$237+$G$237)&gt;=25000,0,(((25000-($B$237+$C$237+$D$237+$E$237+$F$237+$G$237))/+$AH702)*V702)*(VLOOKUP('1. SUMMARY'!$C$20,rate,Sheet1!Y$21,0))))))))</f>
        <v>0</v>
      </c>
      <c r="W703" s="412">
        <f>IF(W702=0,0,(IF(($B$237+$C$237+$D$237+$E$237+$F$237+$G$237+$H$237)&lt;=25000,(($H$237/+$AH702)*W702)*VLOOKUP('1. SUMMARY'!$C$20,rate,Sheet1!Z$21,0),((IF(($F$237+$B$237+$C$237+$D$237+$E$237+$G$237)&gt;=25000,0,(((25000-($B$237+$C$237+$D$237+$E$237+$F$237+$G$237))/+$AH702)*W702)*(VLOOKUP('1. SUMMARY'!$C$20,rate,Sheet1!Z$21,0))))))))</f>
        <v>0</v>
      </c>
      <c r="X703" s="412">
        <f>IF(X702=0,0,(IF(($B$237+$C$237+$D$237+$E$237+$F$237+$G$237+$H$237)&lt;=25000,(($H$237/+$AH702)*X702)*VLOOKUP('1. SUMMARY'!$C$20,rate,Sheet1!AA$21,0),((IF(($F$237+$B$237+$C$237+$D$237+$E$237+$G$237)&gt;=25000,0,(((25000-($B$237+$C$237+$D$237+$E$237+$F$237+$G$237))/+$AH702)*X702)*(VLOOKUP('1. SUMMARY'!$C$20,rate,Sheet1!AA$21,0))))))))</f>
        <v>0</v>
      </c>
      <c r="Y703" s="412">
        <f>IF(Y702=0,0,(IF(($B$237+$C$237+$D$237+$E$237+$F$237+$G$237+$H$237)&lt;=25000,(($H$237/+$AH702)*Y702)*VLOOKUP('1. SUMMARY'!$C$20,rate,Sheet1!AB$21,0),((IF(($F$237+$B$237+$C$237+$D$237+$E$237+$G$237)&gt;=25000,0,(((25000-($B$237+$C$237+$D$237+$E$237+$F$237+$G$237))/+$AH702)*Y702)*(VLOOKUP('1. SUMMARY'!$C$20,rate,Sheet1!AB$21,0))))))))</f>
        <v>0</v>
      </c>
      <c r="Z703" s="412">
        <f>IF(Z702=0,0,(IF(($B$237+$C$237+$D$237+$E$237+$F$237+$G$237+$H$237)&lt;=25000,(($H$237/+$AH702)*Z702)*VLOOKUP('1. SUMMARY'!$C$20,rate,Sheet1!AC$21,0),((IF(($F$237+$B$237+$C$237+$D$237+$E$237+$G$237)&gt;=25000,0,(((25000-($B$237+$C$237+$D$237+$E$237+$F$237+$G$237))/+$AH702)*Z702)*(VLOOKUP('1. SUMMARY'!$C$20,rate,Sheet1!AC$21,0))))))))</f>
        <v>0</v>
      </c>
      <c r="AA703" s="412">
        <f>IF(AA702=0,0,(IF(($B$237+$C$237+$D$237+$E$237+$F$237+$G$237+$H$237)&lt;=25000,(($H$237/+$AH702)*AA702)*VLOOKUP('1. SUMMARY'!$C$20,rate,Sheet1!AD$21,0),((IF(($F$237+$B$237+$C$237+$D$237+$E$237+$G$237)&gt;=25000,0,(((25000-($B$237+$C$237+$D$237+$E$237+$F$237+$G$237))/+$AH702)*AA702)*(VLOOKUP('1. SUMMARY'!$C$20,rate,Sheet1!AD$21,0))))))))</f>
        <v>0</v>
      </c>
      <c r="AB703" s="412">
        <f>IF(AB702=0,0,(IF(($B$237+$C$237+$D$237+$E$237+$F$237+$G$237+$H$237)&lt;=25000,(($H$237/+$AH702)*AB702)*VLOOKUP('1. SUMMARY'!$C$20,rate,Sheet1!AE$21,0),((IF(($F$237+$B$237+$C$237+$D$237+$E$237+$G$237)&gt;=25000,0,(((25000-($B$237+$C$237+$D$237+$E$237+$F$237+$G$237))/+$AH702)*AB702)*(VLOOKUP('1. SUMMARY'!$C$20,rate,Sheet1!AE$21,0))))))))</f>
        <v>0</v>
      </c>
      <c r="AC703" s="412">
        <f>IF(AC702=0,0,(IF(($B$237+$C$237+$D$237+$E$237+$F$237+$G$237+$H$237)&lt;=25000,(($H$237/+$AH702)*AC702)*VLOOKUP('1. SUMMARY'!$C$20,rate,Sheet1!AF$21,0),((IF(($F$237+$B$237+$C$237+$D$237+$E$237+$G$237)&gt;=25000,0,(((25000-($B$237+$C$237+$D$237+$E$237+$F$237+$G$237))/+$AH702)*AC702)*(VLOOKUP('1. SUMMARY'!$C$20,rate,Sheet1!AF$21,0))))))))</f>
        <v>0</v>
      </c>
      <c r="AD703" s="412">
        <f>IF(AD702=0,0,(IF(($B$237+$C$237+$D$237+$E$237+$F$237+$G$237+$H$237)&lt;=25000,(($H$237/+$AH702)*AD702)*VLOOKUP('1. SUMMARY'!$C$20,rate,Sheet1!AG$21,0),((IF(($F$237+$B$237+$C$237+$D$237+$E$237+$G$237)&gt;=25000,0,(((25000-($B$237+$C$237+$D$237+$E$237+$F$237+$G$237))/+$AH702)*AD702)*(VLOOKUP('1. SUMMARY'!$C$20,rate,Sheet1!AG$21,0))))))))</f>
        <v>0</v>
      </c>
      <c r="AE703" s="412">
        <f>IF(AE702=0,0,(IF(($B$237+$C$237+$D$237+$E$237+$F$237+$G$237+$H$237)&lt;=25000,(($H$237/+$AH702)*AE702)*VLOOKUP('1. SUMMARY'!$C$20,rate,Sheet1!AH$21,0),((IF(($F$237+$B$237+$C$237+$D$237+$E$237+$G$237)&gt;=25000,0,(((25000-($B$237+$C$237+$D$237+$E$237+$F$237+$G$237))/+$AH702)*AE702)*(VLOOKUP('1. SUMMARY'!$C$20,rate,Sheet1!AH$21,0))))))))</f>
        <v>0</v>
      </c>
      <c r="AF703" s="412">
        <f>IF(AF702=0,0,(IF(($B$237+$C$237+$D$237+$E$237+$F$237+$G$237+$H$237)&lt;=25000,(($H$237/+$AH702)*AF702)*VLOOKUP('1. SUMMARY'!$C$20,rate,Sheet1!AI$21,0),((IF(($F$237+$B$237+$C$237+$D$237+$E$237+$G$237)&gt;=25000,0,(((25000-($B$237+$C$237+$D$237+$E$237+$F$237+$G$237))/+$AH702)*AF702)*(VLOOKUP('1. SUMMARY'!$C$20,rate,Sheet1!AI$21,0))))))))</f>
        <v>0</v>
      </c>
      <c r="AG703" s="412">
        <f>IF(AG702=0,0,(IF(($B$237+$C$237+$D$237+$E$237+$F$237+$G$237+$H$237)&lt;=25000,(($H$237/+$AH702)*AG702)*VLOOKUP('1. SUMMARY'!$C$20,rate,Sheet1!AJ$21,0),((IF(($F$237+$B$237+$C$237+$D$237+$E$237+$G$237)&gt;=25000,0,(((25000-($B$237+$C$237+$D$237+$E$237+$F$237+$G$237))/+$AH702)*AG702)*(VLOOKUP('1. SUMMARY'!$C$20,rate,Sheet1!AJ$21,0))))))))</f>
        <v>0</v>
      </c>
      <c r="AH703" s="219">
        <f>SUM(Q703:AG703)</f>
        <v>0</v>
      </c>
      <c r="AI703" s="412">
        <f>IF(AI702=0,0,((+$H237/$AZ702)*AI702)*VLOOKUP('1. SUMMARY'!$C$20,rate,Sheet1!T$21,0))</f>
        <v>0</v>
      </c>
      <c r="AJ703" s="412">
        <f>IF(AJ702=0,0,((+$H237/$AZ702)*AJ702)*VLOOKUP('1. SUMMARY'!$C$20,rate,Sheet1!U$21,0))</f>
        <v>0</v>
      </c>
      <c r="AK703" s="412">
        <f>IF(AK702=0,0,((+$H237/$AZ702)*AK702)*VLOOKUP('1. SUMMARY'!$C$20,rate,Sheet1!V$21,0))</f>
        <v>0</v>
      </c>
      <c r="AL703" s="412">
        <f>IF(AL702=0,0,((+$H237/$AZ702)*AL702)*VLOOKUP('1. SUMMARY'!$C$20,rate,Sheet1!W$21,0))</f>
        <v>0</v>
      </c>
      <c r="AM703" s="412">
        <f>IF(AM702=0,0,((+$H237/$AZ702)*AM702)*VLOOKUP('1. SUMMARY'!$C$20,rate,Sheet1!X$21,0))</f>
        <v>0</v>
      </c>
      <c r="AN703" s="412">
        <f>IF(AN702=0,0,((+$H237/$AZ702)*AN702)*VLOOKUP('1. SUMMARY'!$C$20,rate,Sheet1!Y$21,0))</f>
        <v>0</v>
      </c>
      <c r="AO703" s="412">
        <f>IF(AO702=0,0,((+$H237/$AZ702)*AO702)*VLOOKUP('1. SUMMARY'!$C$20,rate,Sheet1!Z$21,0))</f>
        <v>0</v>
      </c>
      <c r="AP703" s="412">
        <f>IF(AP702=0,0,((+$H237/$AZ702)*AP702)*VLOOKUP('1. SUMMARY'!$C$20,rate,Sheet1!AA$21,0))</f>
        <v>0</v>
      </c>
      <c r="AQ703" s="412">
        <f>IF(AQ702=0,0,((+$H237/$AZ702)*AQ702)*VLOOKUP('1. SUMMARY'!$C$20,rate,Sheet1!AB$21,0))</f>
        <v>0</v>
      </c>
      <c r="AR703" s="412">
        <f>IF(AR702=0,0,((+$H237/$AZ702)*AR702)*VLOOKUP('1. SUMMARY'!$C$20,rate,Sheet1!AC$21,0))</f>
        <v>0</v>
      </c>
      <c r="AS703" s="412">
        <f>IF(AS702=0,0,((+$H237/$AZ702)*AS702)*VLOOKUP('1. SUMMARY'!$C$20,rate,Sheet1!AD$21,0))</f>
        <v>0</v>
      </c>
      <c r="AT703" s="412">
        <f>IF(AT702=0,0,((+$H237/$AZ702)*AT702)*VLOOKUP('1. SUMMARY'!$C$20,rate,Sheet1!AE$21,0))</f>
        <v>0</v>
      </c>
      <c r="AU703" s="412">
        <f>IF(AU702=0,0,((+$H237/$AZ702)*AU702)*VLOOKUP('1. SUMMARY'!$C$20,rate,Sheet1!AF$21,0))</f>
        <v>0</v>
      </c>
      <c r="AV703" s="412">
        <f>IF(AV702=0,0,((+$H237/$AZ702)*AV702)*VLOOKUP('1. SUMMARY'!$C$20,rate,Sheet1!AG$21,0))</f>
        <v>0</v>
      </c>
      <c r="AW703" s="412">
        <f>IF(AW702=0,0,((+$H237/$AZ702)*AW702)*VLOOKUP('1. SUMMARY'!$C$20,rate,Sheet1!AH$21,0))</f>
        <v>0</v>
      </c>
      <c r="AX703" s="412">
        <f>IF(AX702=0,0,((+$H237/$AZ702)*AX702)*VLOOKUP('1. SUMMARY'!$C$20,rate,Sheet1!AI$21,0))</f>
        <v>0</v>
      </c>
      <c r="AY703" s="412">
        <f>IF(AY702=0,0,((+$H237/$AZ702)*AY702)*VLOOKUP('1. SUMMARY'!$C$20,rate,Sheet1!AJ$21,0))</f>
        <v>0</v>
      </c>
      <c r="AZ703" s="412">
        <f>SUM(AI703:AY703)</f>
        <v>0</v>
      </c>
    </row>
    <row r="704" spans="17:52" ht="15" hidden="1" customHeight="1">
      <c r="Q704" s="412">
        <f>+Q703/VLOOKUP('1. SUMMARY'!$C$20,rate,Sheet1!T$21,0)</f>
        <v>0</v>
      </c>
      <c r="R704" s="412">
        <f>+R703/VLOOKUP('1. SUMMARY'!$C$20,rate,Sheet1!U$21,0)</f>
        <v>0</v>
      </c>
      <c r="S704" s="412">
        <f>+S703/VLOOKUP('1. SUMMARY'!$C$20,rate,Sheet1!V$21,0)</f>
        <v>0</v>
      </c>
      <c r="T704" s="412">
        <f>+T703/VLOOKUP('1. SUMMARY'!$C$20,rate,Sheet1!W$21,0)</f>
        <v>0</v>
      </c>
      <c r="U704" s="412">
        <f>+U703/VLOOKUP('1. SUMMARY'!$C$20,rate,Sheet1!X$21,0)</f>
        <v>0</v>
      </c>
      <c r="V704" s="412">
        <f>+V703/VLOOKUP('1. SUMMARY'!$C$20,rate,Sheet1!Y$21,0)</f>
        <v>0</v>
      </c>
      <c r="W704" s="412">
        <f>+W703/VLOOKUP('1. SUMMARY'!$C$20,rate,Sheet1!Z$21,0)</f>
        <v>0</v>
      </c>
      <c r="X704" s="412">
        <f>+X703/VLOOKUP('1. SUMMARY'!$C$20,rate,Sheet1!AA$21,0)</f>
        <v>0</v>
      </c>
      <c r="Y704" s="412">
        <f>+Y703/VLOOKUP('1. SUMMARY'!$C$20,rate,Sheet1!AB$21,0)</f>
        <v>0</v>
      </c>
      <c r="Z704" s="412">
        <f>+Z703/VLOOKUP('1. SUMMARY'!$C$20,rate,Sheet1!AC$21,0)</f>
        <v>0</v>
      </c>
      <c r="AA704" s="412">
        <f>+AA703/VLOOKUP('1. SUMMARY'!$C$20,rate,Sheet1!AD$21,0)</f>
        <v>0</v>
      </c>
      <c r="AB704" s="412">
        <f>+AB703/VLOOKUP('1. SUMMARY'!$C$20,rate,Sheet1!AE$21,0)</f>
        <v>0</v>
      </c>
      <c r="AC704" s="412">
        <f>+AC703/VLOOKUP('1. SUMMARY'!$C$20,rate,Sheet1!AF$21,0)</f>
        <v>0</v>
      </c>
      <c r="AD704" s="412">
        <f>+AD703/VLOOKUP('1. SUMMARY'!$C$20,rate,Sheet1!AG$21,0)</f>
        <v>0</v>
      </c>
      <c r="AE704" s="412">
        <f>+AE703/VLOOKUP('1. SUMMARY'!$C$20,rate,Sheet1!AH$21,0)</f>
        <v>0</v>
      </c>
      <c r="AF704" s="412">
        <f>+AF703/VLOOKUP('1. SUMMARY'!$C$20,rate,Sheet1!AI$21,0)</f>
        <v>0</v>
      </c>
      <c r="AG704" s="412">
        <f>+AG703/VLOOKUP('1. SUMMARY'!$C$20,rate,Sheet1!AJ$21,0)</f>
        <v>0</v>
      </c>
      <c r="AH704" s="219">
        <f>SUM(Q704:AG704)</f>
        <v>0</v>
      </c>
      <c r="AI704" s="412"/>
      <c r="AJ704" s="412"/>
      <c r="AK704" s="412"/>
      <c r="AL704" s="412"/>
      <c r="AM704" s="412"/>
      <c r="AN704" s="412"/>
      <c r="AO704" s="412"/>
      <c r="AP704" s="412"/>
      <c r="AQ704" s="412"/>
      <c r="AR704" s="412"/>
      <c r="AS704" s="412"/>
      <c r="AT704" s="412"/>
      <c r="AU704" s="412"/>
      <c r="AV704" s="412"/>
      <c r="AW704" s="412"/>
      <c r="AX704" s="412"/>
      <c r="AY704" s="412"/>
      <c r="AZ704" s="412"/>
    </row>
    <row r="705" spans="17:52" ht="15" hidden="1" customHeight="1">
      <c r="Q705" s="418">
        <f>Sheet1!$T$8</f>
        <v>44105</v>
      </c>
      <c r="R705" s="418">
        <f>Sheet1!$U$8</f>
        <v>44470</v>
      </c>
      <c r="S705" s="418">
        <f>Sheet1!$V$8</f>
        <v>44835</v>
      </c>
      <c r="T705" s="418">
        <f>Sheet1!$W$8</f>
        <v>45200</v>
      </c>
      <c r="U705" s="418">
        <f>Sheet1!$X$8</f>
        <v>45566</v>
      </c>
      <c r="V705" s="418">
        <f>Sheet1!$Y$8</f>
        <v>45931</v>
      </c>
      <c r="W705" s="418">
        <f>Sheet1!$Z$8</f>
        <v>46296</v>
      </c>
      <c r="X705" s="418">
        <f>Sheet1!$AA$8</f>
        <v>46661</v>
      </c>
      <c r="Y705" s="418">
        <f>Sheet1!$AB$8</f>
        <v>47027</v>
      </c>
      <c r="Z705" s="418">
        <f>Sheet1!$AC$8</f>
        <v>47392</v>
      </c>
      <c r="AA705" s="418">
        <f>$AA$5</f>
        <v>47757</v>
      </c>
      <c r="AB705" s="418">
        <f>$AB$5</f>
        <v>48122</v>
      </c>
      <c r="AC705" s="418">
        <f>$AC$5</f>
        <v>48488</v>
      </c>
      <c r="AD705" s="418">
        <f>$AD$5</f>
        <v>48853</v>
      </c>
      <c r="AE705" s="418">
        <f>$AE$5</f>
        <v>49218</v>
      </c>
      <c r="AF705" s="418">
        <f>$AF$5</f>
        <v>49583</v>
      </c>
      <c r="AG705" s="418">
        <f>$AG$5</f>
        <v>49949</v>
      </c>
      <c r="AH705" s="219"/>
      <c r="AI705" s="418">
        <f t="shared" ref="AI705:AR707" si="312">+Q705</f>
        <v>44105</v>
      </c>
      <c r="AJ705" s="418">
        <f t="shared" si="312"/>
        <v>44470</v>
      </c>
      <c r="AK705" s="418">
        <f t="shared" si="312"/>
        <v>44835</v>
      </c>
      <c r="AL705" s="418">
        <f t="shared" si="312"/>
        <v>45200</v>
      </c>
      <c r="AM705" s="418">
        <f t="shared" si="312"/>
        <v>45566</v>
      </c>
      <c r="AN705" s="418">
        <f t="shared" si="312"/>
        <v>45931</v>
      </c>
      <c r="AO705" s="418">
        <f t="shared" si="312"/>
        <v>46296</v>
      </c>
      <c r="AP705" s="418">
        <f t="shared" si="312"/>
        <v>46661</v>
      </c>
      <c r="AQ705" s="418">
        <f t="shared" si="312"/>
        <v>47027</v>
      </c>
      <c r="AR705" s="418">
        <f t="shared" si="312"/>
        <v>47392</v>
      </c>
      <c r="AS705" s="418">
        <f t="shared" ref="AS705:AY707" si="313">+AA705</f>
        <v>47757</v>
      </c>
      <c r="AT705" s="418">
        <f t="shared" si="313"/>
        <v>48122</v>
      </c>
      <c r="AU705" s="418">
        <f t="shared" si="313"/>
        <v>48488</v>
      </c>
      <c r="AV705" s="418">
        <f t="shared" si="313"/>
        <v>48853</v>
      </c>
      <c r="AW705" s="418">
        <f t="shared" si="313"/>
        <v>49218</v>
      </c>
      <c r="AX705" s="418">
        <f t="shared" si="313"/>
        <v>49583</v>
      </c>
      <c r="AY705" s="418">
        <f t="shared" si="313"/>
        <v>49949</v>
      </c>
      <c r="AZ705" s="418"/>
    </row>
    <row r="706" spans="17:52" ht="15" hidden="1" customHeight="1">
      <c r="Q706" s="418">
        <f>Sheet1!$T$9</f>
        <v>44469</v>
      </c>
      <c r="R706" s="418">
        <f>Sheet1!$U$9</f>
        <v>44834</v>
      </c>
      <c r="S706" s="418">
        <f>Sheet1!$V$9</f>
        <v>45199</v>
      </c>
      <c r="T706" s="418">
        <f>Sheet1!$W$9</f>
        <v>45565</v>
      </c>
      <c r="U706" s="418">
        <f>Sheet1!$X$9</f>
        <v>45930</v>
      </c>
      <c r="V706" s="418">
        <f>Sheet1!$Y$9</f>
        <v>46295</v>
      </c>
      <c r="W706" s="418">
        <f>Sheet1!$Z$9</f>
        <v>46660</v>
      </c>
      <c r="X706" s="418">
        <f>Sheet1!$AA$9</f>
        <v>47026</v>
      </c>
      <c r="Y706" s="418">
        <f>Sheet1!$AB$9</f>
        <v>47391</v>
      </c>
      <c r="Z706" s="418">
        <f>Sheet1!$AC$9</f>
        <v>47756</v>
      </c>
      <c r="AA706" s="418">
        <f>$AA$6</f>
        <v>48121</v>
      </c>
      <c r="AB706" s="418">
        <f>$AB$6</f>
        <v>48487</v>
      </c>
      <c r="AC706" s="418">
        <f>$AC$6</f>
        <v>48852</v>
      </c>
      <c r="AD706" s="418">
        <f>$AD$6</f>
        <v>49217</v>
      </c>
      <c r="AE706" s="418">
        <f>$AE$6</f>
        <v>49582</v>
      </c>
      <c r="AF706" s="418">
        <f>$AF$6</f>
        <v>49948</v>
      </c>
      <c r="AG706" s="418">
        <f>$AG$6</f>
        <v>50313</v>
      </c>
      <c r="AH706" s="219"/>
      <c r="AI706" s="418">
        <f t="shared" si="312"/>
        <v>44469</v>
      </c>
      <c r="AJ706" s="418">
        <f t="shared" si="312"/>
        <v>44834</v>
      </c>
      <c r="AK706" s="418">
        <f t="shared" si="312"/>
        <v>45199</v>
      </c>
      <c r="AL706" s="418">
        <f t="shared" si="312"/>
        <v>45565</v>
      </c>
      <c r="AM706" s="418">
        <f t="shared" si="312"/>
        <v>45930</v>
      </c>
      <c r="AN706" s="418">
        <f t="shared" si="312"/>
        <v>46295</v>
      </c>
      <c r="AO706" s="418">
        <f t="shared" si="312"/>
        <v>46660</v>
      </c>
      <c r="AP706" s="418">
        <f t="shared" si="312"/>
        <v>47026</v>
      </c>
      <c r="AQ706" s="418">
        <f t="shared" si="312"/>
        <v>47391</v>
      </c>
      <c r="AR706" s="418">
        <f t="shared" si="312"/>
        <v>47756</v>
      </c>
      <c r="AS706" s="418">
        <f t="shared" si="313"/>
        <v>48121</v>
      </c>
      <c r="AT706" s="418">
        <f t="shared" si="313"/>
        <v>48487</v>
      </c>
      <c r="AU706" s="418">
        <f t="shared" si="313"/>
        <v>48852</v>
      </c>
      <c r="AV706" s="418">
        <f t="shared" si="313"/>
        <v>49217</v>
      </c>
      <c r="AW706" s="418">
        <f t="shared" si="313"/>
        <v>49582</v>
      </c>
      <c r="AX706" s="418">
        <f t="shared" si="313"/>
        <v>49948</v>
      </c>
      <c r="AY706" s="418">
        <f t="shared" si="313"/>
        <v>50313</v>
      </c>
      <c r="AZ706" s="418"/>
    </row>
    <row r="707" spans="17:52" ht="15" hidden="1" customHeight="1">
      <c r="Q707" s="419">
        <f>IF(IF(Q706&lt;$I$27,0,DATEDIF($I$27,Q706+1,"m"))&lt;0,0,IF(Q706&lt;$I$27,0,DATEDIF($I$27,Q706+1,"m")))</f>
        <v>0</v>
      </c>
      <c r="R707" s="419">
        <f>IF(IF(Q707=12,0,IF(R706&gt;$I$28,12-DATEDIF($I$28,R706+1,"m"),IF(R706&lt;$I$27,0,DATEDIF($I$27,R706+1,"m"))))&lt;0,0,IF(Q707=12,0,IF(R706&gt;$I$28,12-DATEDIF($I$28,R706+1,"m"),IF(R706&lt;$I$27,0,DATEDIF($I$27,R706+1,"m")))))</f>
        <v>0</v>
      </c>
      <c r="S707" s="419">
        <f>IF(IF(Q707+R707=12,0,IF(S706&gt;$I$28,12-DATEDIF($I$28,S706+1,"m"),IF(S706&lt;$I$27,0,DATEDIF($I$27,S706+1,"m"))))&lt;0,0,IF(Q707+R707=12,0,IF(S706&gt;$I$28,12-DATEDIF($I$28,S706+1,"m"),IF(S706&lt;$I$27,0,DATEDIF($I$27,S706+1,"m")))))</f>
        <v>0</v>
      </c>
      <c r="T707" s="419">
        <f>IF(IF(R707+S707+Q707=12,0,IF(T706&gt;$I$28,12-DATEDIF($I$28,T706+1,"m"),IF(T706&lt;$I$27,0,DATEDIF($I$27,T706+1,"m"))))&lt;0,0,IF(R707+S707+Q707=12,0,IF(T706&gt;$I$28,12-DATEDIF($I$28,T706+1,"m"),IF(T706&lt;$I$27,0,DATEDIF($I$27,T706+1,"m")))))</f>
        <v>0</v>
      </c>
      <c r="U707" s="419">
        <f>IF(IF(S707+T707+R707+Q707=12,0,IF(U706&gt;$I$28,12-DATEDIF($I$28,U706+1,"m"),IF(U706&lt;$I$27,0,DATEDIF($I$27,U706+1,"m"))))&lt;0,0,IF(S707+T707+R707+Q707=12,0,IF(U706&gt;$I$28,12-DATEDIF($I$28,U706+1,"m"),IF(U706&lt;$I$27,0,DATEDIF($I$27,U706+1,"m")))))</f>
        <v>0</v>
      </c>
      <c r="V707" s="419">
        <f>IF(IF(T707+U707+S707+R707+Q707=12,0,IF(V706&gt;$I$28,12-DATEDIF($I$28,V706+1,"m"),IF(V706&lt;$I$27,0,DATEDIF($I$27,V706+1,"m"))))&lt;0,0,IF(T707+U707+S707+R707+Q707=12,0,IF(V706&gt;$I$28,12-DATEDIF($I$28,V706+1,"m"),IF(V706&lt;$I$27,0,DATEDIF($I$27,V706+1,"m")))))</f>
        <v>0</v>
      </c>
      <c r="W707" s="419">
        <f>IF(IF(U707+V707+T707+S707+R707+Q707=12,0,IF(W706&gt;$I$28,12-DATEDIF($I$28,W706+1,"m"),IF(W706&lt;$I$27,0,DATEDIF($I$27,W706+1,"m"))))&lt;0,0,IF(U707+V707+T707+S707+R707+Q707=12,0,IF(W706&gt;$I$28,12-DATEDIF($I$28,W706+1,"m"),IF(W706&lt;$I$27,0,DATEDIF($I$27,W706+1,"m")))))</f>
        <v>0</v>
      </c>
      <c r="X707" s="419">
        <f>IF(IF(V707+W707+U707+T707+S707+R707+Q707=12,0,IF(X706&gt;$I$28,12-DATEDIF($I$28,X706+1,"m"),IF(X706&lt;$I$27,0,DATEDIF($I$27,X706+1,"m"))))&lt;0,0,IF(V707+W707+U707+T707+S707+R707+Q707=12,0,IF(X706&gt;$I$28,12-DATEDIF($I$28,X706+1,"m"),IF(X706&lt;$I$27,0,DATEDIF($I$27,X706+1,"m")))))</f>
        <v>0</v>
      </c>
      <c r="Y707" s="419">
        <f>IF(IF(W707+X707+V707+U707+T707+S707+R707+Q707=12,0,IF(Y706&gt;$I$28,12-DATEDIF($I$28,Y706+1,"m"),IF(Y706&lt;$I$27,0,DATEDIF($I$27,Y706+1,"m"))))&lt;0,0,IF(W707+X707+V707+U707+T707+S707+R707+Q707=12,0,IF(Y706&gt;$I$28,12-DATEDIF($I$28,Y706+1,"m"),IF(Y706&lt;$I$27,0,DATEDIF($I$27,Y706+1,"m")))))</f>
        <v>0</v>
      </c>
      <c r="Z707" s="419">
        <f>IF(IF(X707+Y707+W707+V707+U707+T707+S707+R707+Q707=12,0,IF(Z706&gt;$I$28,12-DATEDIF($I$28,Z706+1,"m"),IF(Z706&lt;$I$27,0,DATEDIF($I$27,Z706+1,"m"))))&lt;0,0,IF(X707+Y707+W707+V707+U707+T707+S707+R707+Q707=12,0,IF(Z706&gt;$I$28,12-DATEDIF($I$28,Z706+1,"m"),IF(Z706&lt;$I$27,0,DATEDIF($I$27,Z706+1,"m")))))</f>
        <v>0</v>
      </c>
      <c r="AA707" s="419">
        <f>IF(IF(Q707+R707+S707+Y707+Z707+X707+W707+V707+U707+T707=12,0,IF(AA706&gt;$I$28,12-DATEDIF($I$28,AA706+1,"m"),IF(AA706&lt;$I$27,0,DATEDIF($I$27,AA706+1,"m"))))&lt;0,0,IF(Q707+R707+S707+Y707+Z707+X707+W707+V707+U707+T707=12,0,IF(AA706&gt;$I$28,12-DATEDIF($I$28,AA706+1,"m"),IF(AA706&lt;$I$27,0,DATEDIF($I$27,AA706+1,"m")))))</f>
        <v>0</v>
      </c>
      <c r="AB707" s="419">
        <f>IF(IF(Q707+R707+S707+T707+Z707+AA707+Y707+X707+W707+V707+U707=12,0,IF(AB706&gt;$I$28,12-DATEDIF($I$28,AB706+1,"m"),IF(AB706&lt;$I$27,0,DATEDIF($I$27,AB706+1,"m"))))&lt;0,0,IF(Q707+R707+S707+T707+Z707+AA707+Y707+X707+W707+V707+U707=12,0,IF(AB706&gt;$I$28,12-DATEDIF($I$28,AB706+1,"m"),IF(AB706&lt;$I$27,0,DATEDIF($I$27,AB706+1,"m")))))</f>
        <v>0</v>
      </c>
      <c r="AC707" s="419">
        <f>IF(IF(Q707+R707+S707+T707+U707+AA707+AB707+Z707+Y707+X707+W707+V707=12,0,IF(AC706&gt;$I$28,12-DATEDIF($I$28,AC706+1,"m"),IF(AC706&lt;$I$27,0,DATEDIF($I$27,AC706+1,"m"))))&lt;0,0,IF(Q707+R707+S707+T707+U707+AA707+AB707+Z707+Y707+X707+W707+V707=12,0,IF(AC706&gt;$I$28,12-DATEDIF($I$28,AC706+1,"m"),IF(AC706&lt;$I$27,0,DATEDIF($I$27,AC706+1,"m")))))</f>
        <v>0</v>
      </c>
      <c r="AD707" s="419">
        <f>IF(IF(Q707+R707+S707+T707+U707+V707+AB707+AC707+AA707+Z707+Y707+X707+W707=12,0,IF(AD706&gt;$I$28,12-DATEDIF($I$28,AD706+1,"m"),IF(AD706&lt;$I$27,0,DATEDIF($I$27,AD706+1,"m"))))&lt;0,0,IF(Q707+R707+S707+T707+U707+V707+AB707+AC707+AA707+Z707+Y707+X707+W707=12,0,IF(AD706&gt;$I$28,12-DATEDIF($I$28,AD706+1,"m"),IF(AD706&lt;$I$27,0,DATEDIF($I$27,AD706+1,"m")))))</f>
        <v>0</v>
      </c>
      <c r="AE707" s="419">
        <f>IF(IF(Q707+R707+S707+T707+U707+V707+W707+AC707+AD707+AB707+AA707+Z707+Y707+X707=12,0,IF(AE706&gt;$I$28,12-DATEDIF($I$28,AE706+1,"m"),IF(AE706&lt;$I$27,0,DATEDIF($I$27,AE706+1,"m"))))&lt;0,0,IF(Q707+R707+S707+T707+U707+V707+W707+AC707+AD707+AB707+AA707+Z707+Y707+X707=12,0,IF(AE706&gt;$I$28,12-DATEDIF($I$28,AE706+1,"m"),IF(AE706&lt;$I$27,0,DATEDIF($I$27,AE706+1,"m")))))</f>
        <v>0</v>
      </c>
      <c r="AF707" s="419">
        <f>IF(IF(Q707+R707+S707+T707+U707+V707+W707+X707+AD707+AE707+AC707+AB707+AA707+Z707+Y707=12,0,IF(AF706&gt;$I$28,12-DATEDIF($I$28,AF706+1,"m"),IF(AF706&lt;$I$27,0,DATEDIF($I$27,AF706+1,"m"))))&lt;0,0,IF(Q707+R707+S707+T707+U707+V707+W707+X707+AD707+AE707+AC707+AB707+AA707+Z707+Y707=12,0,IF(AF706&gt;$I$28,12-DATEDIF($I$28,AF706+1,"m"),IF(AF706&lt;$I$27,0,DATEDIF($I$27,AF706+1,"m")))))</f>
        <v>0</v>
      </c>
      <c r="AG707" s="419">
        <f>IF(IF(Q707+R707+S707+T707+U707+V707+W707+X707+Y707+AE707+AF707+AD707+AC707+AB707+AA707+Z707=12,0,IF(AG706&gt;$I$28,12-DATEDIF($I$28,AG706+1,"m"),IF(AG706&lt;$I$27,0,DATEDIF($I$27,AG706+1,"m"))))&lt;0,0,IF(Q707+R707+S707+T707+U707+V707+W707+X707+Y707+AE707+AF707+AD707+AC707+AB707+AA707+Z707=12,0,IF(AG706&gt;$I$28,12-DATEDIF($I$28,AG706+1,"m"),IF(AG706&lt;$I$27,0,DATEDIF($I$27,AG706+1,"m")))))</f>
        <v>0</v>
      </c>
      <c r="AH707" s="423">
        <f>SUM(Q707:AG707)</f>
        <v>0</v>
      </c>
      <c r="AI707" s="426">
        <f t="shared" si="312"/>
        <v>0</v>
      </c>
      <c r="AJ707" s="426">
        <f t="shared" si="312"/>
        <v>0</v>
      </c>
      <c r="AK707" s="426">
        <f t="shared" si="312"/>
        <v>0</v>
      </c>
      <c r="AL707" s="426">
        <f t="shared" si="312"/>
        <v>0</v>
      </c>
      <c r="AM707" s="426">
        <f t="shared" si="312"/>
        <v>0</v>
      </c>
      <c r="AN707" s="426">
        <f t="shared" si="312"/>
        <v>0</v>
      </c>
      <c r="AO707" s="426">
        <f t="shared" si="312"/>
        <v>0</v>
      </c>
      <c r="AP707" s="426">
        <f t="shared" si="312"/>
        <v>0</v>
      </c>
      <c r="AQ707" s="426">
        <f t="shared" si="312"/>
        <v>0</v>
      </c>
      <c r="AR707" s="426">
        <f t="shared" si="312"/>
        <v>0</v>
      </c>
      <c r="AS707" s="426">
        <f t="shared" si="313"/>
        <v>0</v>
      </c>
      <c r="AT707" s="426">
        <f t="shared" si="313"/>
        <v>0</v>
      </c>
      <c r="AU707" s="426">
        <f t="shared" si="313"/>
        <v>0</v>
      </c>
      <c r="AV707" s="426">
        <f t="shared" si="313"/>
        <v>0</v>
      </c>
      <c r="AW707" s="426">
        <f t="shared" si="313"/>
        <v>0</v>
      </c>
      <c r="AX707" s="426">
        <f t="shared" si="313"/>
        <v>0</v>
      </c>
      <c r="AY707" s="426">
        <f t="shared" si="313"/>
        <v>0</v>
      </c>
      <c r="AZ707" s="426">
        <f>SUM(AI707:AY707)</f>
        <v>0</v>
      </c>
    </row>
    <row r="708" spans="17:52" ht="15" hidden="1" customHeight="1">
      <c r="Q708" s="419">
        <f>IF(Q707=0,0,(IF(($B$237+$C$237+$D$237+$E$237+$F$237+$G$237+$H$237+$I$237)&lt;=25000,(($I$237/+$AH707)*Q707)*VLOOKUP('1. SUMMARY'!$C$20,rate,Sheet1!T$21,0),((IF(($F$237+$B$237+$C$237+$D$237+$E$237+$G$237+$H$237)&gt;=25000,0,(((25000-($B$237+$C$237+$D$237+$E$237+$F$237+$G$237+$H$237))/+$AH707)*Q707)*(VLOOKUP('1. SUMMARY'!$C$20,rate,Sheet1!T$21,0))))))))</f>
        <v>0</v>
      </c>
      <c r="R708" s="419">
        <f>IF(R707=0,0,(IF(($B$237+$C$237+$D$237+$E$237+$F$237+$G$237+$H$237+$I$237)&lt;=25000,(($I$237/+$AH707)*R707)*VLOOKUP('1. SUMMARY'!$C$20,rate,Sheet1!U$21,0),((IF(($F$237+$B$237+$C$237+$D$237+$E$237+$G$237+$H$237)&gt;=25000,0,(((25000-($B$237+$C$237+$D$237+$E$237+$F$237+$G$237+$H$237))/+$AH707)*R707)*(VLOOKUP('1. SUMMARY'!$C$20,rate,Sheet1!U$21,0))))))))</f>
        <v>0</v>
      </c>
      <c r="S708" s="419">
        <f>IF(S707=0,0,(IF(($B$237+$C$237+$D$237+$E$237+$F$237+$G$237+$H$237+$I$237)&lt;=25000,(($I$237/+$AH707)*S707)*VLOOKUP('1. SUMMARY'!$C$20,rate,Sheet1!V$21,0),((IF(($F$237+$B$237+$C$237+$D$237+$E$237+$G$237+$H$237)&gt;=25000,0,(((25000-($B$237+$C$237+$D$237+$E$237+$F$237+$G$237+$H$237))/+$AH707)*S707)*(VLOOKUP('1. SUMMARY'!$C$20,rate,Sheet1!V$21,0))))))))</f>
        <v>0</v>
      </c>
      <c r="T708" s="419">
        <f>IF(T707=0,0,(IF(($B$237+$C$237+$D$237+$E$237+$F$237+$G$237+$H$237+$I$237)&lt;=25000,(($I$237/+$AH707)*T707)*VLOOKUP('1. SUMMARY'!$C$20,rate,Sheet1!W$21,0),((IF(($F$237+$B$237+$C$237+$D$237+$E$237+$G$237+$H$237)&gt;=25000,0,(((25000-($B$237+$C$237+$D$237+$E$237+$F$237+$G$237+$H$237))/+$AH707)*T707)*(VLOOKUP('1. SUMMARY'!$C$20,rate,Sheet1!W$21,0))))))))</f>
        <v>0</v>
      </c>
      <c r="U708" s="419">
        <f>IF(U707=0,0,(IF(($B$237+$C$237+$D$237+$E$237+$F$237+$G$237+$H$237+$I$237)&lt;=25000,(($I$237/+$AH707)*U707)*VLOOKUP('1. SUMMARY'!$C$20,rate,Sheet1!X$21,0),((IF(($F$237+$B$237+$C$237+$D$237+$E$237+$G$237+$H$237)&gt;=25000,0,(((25000-($B$237+$C$237+$D$237+$E$237+$F$237+$G$237+$H$237))/+$AH707)*U707)*(VLOOKUP('1. SUMMARY'!$C$20,rate,Sheet1!X$21,0))))))))</f>
        <v>0</v>
      </c>
      <c r="V708" s="419">
        <f>IF(V707=0,0,(IF(($B$237+$C$237+$D$237+$E$237+$F$237+$G$237+$H$237+$I$237)&lt;=25000,(($I$237/+$AH707)*V707)*VLOOKUP('1. SUMMARY'!$C$20,rate,Sheet1!Y$21,0),((IF(($F$237+$B$237+$C$237+$D$237+$E$237+$G$237+$H$237)&gt;=25000,0,(((25000-($B$237+$C$237+$D$237+$E$237+$F$237+$G$237+$H$237))/+$AH707)*V707)*(VLOOKUP('1. SUMMARY'!$C$20,rate,Sheet1!Y$21,0))))))))</f>
        <v>0</v>
      </c>
      <c r="W708" s="419">
        <f>IF(W707=0,0,(IF(($B$237+$C$237+$D$237+$E$237+$F$237+$G$237+$H$237+$I$237)&lt;=25000,(($I$237/+$AH707)*W707)*VLOOKUP('1. SUMMARY'!$C$20,rate,Sheet1!Z$21,0),((IF(($F$237+$B$237+$C$237+$D$237+$E$237+$G$237+$H$237)&gt;=25000,0,(((25000-($B$237+$C$237+$D$237+$E$237+$F$237+$G$237+$H$237))/+$AH707)*W707)*(VLOOKUP('1. SUMMARY'!$C$20,rate,Sheet1!Z$21,0))))))))</f>
        <v>0</v>
      </c>
      <c r="X708" s="419">
        <f>IF(X707=0,0,(IF(($B$237+$C$237+$D$237+$E$237+$F$237+$G$237+$H$237+$I$237)&lt;=25000,(($I$237/+$AH707)*X707)*VLOOKUP('1. SUMMARY'!$C$20,rate,Sheet1!AA$21,0),((IF(($F$237+$B$237+$C$237+$D$237+$E$237+$G$237+$H$237)&gt;=25000,0,(((25000-($B$237+$C$237+$D$237+$E$237+$F$237+$G$237+$H$237))/+$AH707)*X707)*(VLOOKUP('1. SUMMARY'!$C$20,rate,Sheet1!AA$21,0))))))))</f>
        <v>0</v>
      </c>
      <c r="Y708" s="419">
        <f>IF(Y707=0,0,(IF(($B$237+$C$237+$D$237+$E$237+$F$237+$G$237+$H$237+$I$237)&lt;=25000,(($I$237/+$AH707)*Y707)*VLOOKUP('1. SUMMARY'!$C$20,rate,Sheet1!AB$21,0),((IF(($F$237+$B$237+$C$237+$D$237+$E$237+$G$237+$H$237)&gt;=25000,0,(((25000-($B$237+$C$237+$D$237+$E$237+$F$237+$G$237+$H$237))/+$AH707)*Y707)*(VLOOKUP('1. SUMMARY'!$C$20,rate,Sheet1!AB$21,0))))))))</f>
        <v>0</v>
      </c>
      <c r="Z708" s="419">
        <f>IF(Z707=0,0,(IF(($B$237+$C$237+$D$237+$E$237+$F$237+$G$237+$H$237+$I$237)&lt;=25000,(($I$237/+$AH707)*Z707)*VLOOKUP('1. SUMMARY'!$C$20,rate,Sheet1!AC$21,0),((IF(($F$237+$B$237+$C$237+$D$237+$E$237+$G$237+$H$237)&gt;=25000,0,(((25000-($B$237+$C$237+$D$237+$E$237+$F$237+$G$237+$H$237))/+$AH707)*Z707)*(VLOOKUP('1. SUMMARY'!$C$20,rate,Sheet1!AC$21,0))))))))</f>
        <v>0</v>
      </c>
      <c r="AA708" s="419">
        <f>IF(AA707=0,0,(IF(($B$237+$C$237+$D$237+$E$237+$F$237+$G$237+$H$237+$I$237)&lt;=25000,(($I$237/+$AH707)*AA707)*VLOOKUP('1. SUMMARY'!$C$20,rate,Sheet1!AD$21,0),((IF(($F$237+$B$237+$C$237+$D$237+$E$237+$G$237+$H$237)&gt;=25000,0,(((25000-($B$237+$C$237+$D$237+$E$237+$F$237+$G$237+$H$237))/+$AH707)*AA707)*(VLOOKUP('1. SUMMARY'!$C$20,rate,Sheet1!AD$21,0))))))))</f>
        <v>0</v>
      </c>
      <c r="AB708" s="419">
        <f>IF(AB707=0,0,(IF(($B$237+$C$237+$D$237+$E$237+$F$237+$G$237+$H$237+$I$237)&lt;=25000,(($I$237/+$AH707)*AB707)*VLOOKUP('1. SUMMARY'!$C$20,rate,Sheet1!AE$21,0),((IF(($F$237+$B$237+$C$237+$D$237+$E$237+$G$237+$H$237)&gt;=25000,0,(((25000-($B$237+$C$237+$D$237+$E$237+$F$237+$G$237+$H$237))/+$AH707)*AB707)*(VLOOKUP('1. SUMMARY'!$C$20,rate,Sheet1!AE$21,0))))))))</f>
        <v>0</v>
      </c>
      <c r="AC708" s="419">
        <f>IF(AC707=0,0,(IF(($B$237+$C$237+$D$237+$E$237+$F$237+$G$237+$H$237+$I$237)&lt;=25000,(($I$237/+$AH707)*AC707)*VLOOKUP('1. SUMMARY'!$C$20,rate,Sheet1!AF$21,0),((IF(($F$237+$B$237+$C$237+$D$237+$E$237+$G$237+$H$237)&gt;=25000,0,(((25000-($B$237+$C$237+$D$237+$E$237+$F$237+$G$237+$H$237))/+$AH707)*AC707)*(VLOOKUP('1. SUMMARY'!$C$20,rate,Sheet1!AF$21,0))))))))</f>
        <v>0</v>
      </c>
      <c r="AD708" s="419">
        <f>IF(AD707=0,0,(IF(($B$237+$C$237+$D$237+$E$237+$F$237+$G$237+$H$237+$I$237)&lt;=25000,(($I$237/+$AH707)*AD707)*VLOOKUP('1. SUMMARY'!$C$20,rate,Sheet1!AG$21,0),((IF(($F$237+$B$237+$C$237+$D$237+$E$237+$G$237+$H$237)&gt;=25000,0,(((25000-($B$237+$C$237+$D$237+$E$237+$F$237+$G$237+$H$237))/+$AH707)*AD707)*(VLOOKUP('1. SUMMARY'!$C$20,rate,Sheet1!AG$21,0))))))))</f>
        <v>0</v>
      </c>
      <c r="AE708" s="419">
        <f>IF(AE707=0,0,(IF(($B$237+$C$237+$D$237+$E$237+$F$237+$G$237+$H$237+$I$237)&lt;=25000,(($I$237/+$AH707)*AE707)*VLOOKUP('1. SUMMARY'!$C$20,rate,Sheet1!AH$21,0),((IF(($F$237+$B$237+$C$237+$D$237+$E$237+$G$237+$H$237)&gt;=25000,0,(((25000-($B$237+$C$237+$D$237+$E$237+$F$237+$G$237+$H$237))/+$AH707)*AE707)*(VLOOKUP('1. SUMMARY'!$C$20,rate,Sheet1!AH$21,0))))))))</f>
        <v>0</v>
      </c>
      <c r="AF708" s="419">
        <f>IF(AF707=0,0,(IF(($B$237+$C$237+$D$237+$E$237+$F$237+$G$237+$H$237+$I$237)&lt;=25000,(($I$237/+$AH707)*AF707)*VLOOKUP('1. SUMMARY'!$C$20,rate,Sheet1!AI$21,0),((IF(($F$237+$B$237+$C$237+$D$237+$E$237+$G$237+$H$237)&gt;=25000,0,(((25000-($B$237+$C$237+$D$237+$E$237+$F$237+$G$237+$H$237))/+$AH707)*AF707)*(VLOOKUP('1. SUMMARY'!$C$20,rate,Sheet1!AI$21,0))))))))</f>
        <v>0</v>
      </c>
      <c r="AG708" s="419">
        <f>IF(AG707=0,0,(IF(($B$237+$C$237+$D$237+$E$237+$F$237+$G$237+$H$237+$I$237)&lt;=25000,(($I$237/+$AH707)*AG707)*VLOOKUP('1. SUMMARY'!$C$20,rate,Sheet1!AJ$21,0),((IF(($F$237+$B$237+$C$237+$D$237+$E$237+$G$237+$H$237)&gt;=25000,0,(((25000-($B$237+$C$237+$D$237+$E$237+$F$237+$G$237+$H$237))/+$AH707)*AG707)*(VLOOKUP('1. SUMMARY'!$C$20,rate,Sheet1!AJ$21,0))))))))</f>
        <v>0</v>
      </c>
      <c r="AH708" s="219">
        <f>SUM(Q708:AG708)</f>
        <v>0</v>
      </c>
      <c r="AI708" s="419">
        <f>IF(AI707=0,0,((+$I237/$AZ707)*AI707)*VLOOKUP('1. SUMMARY'!$C$20,rate,Sheet1!T$21,0))</f>
        <v>0</v>
      </c>
      <c r="AJ708" s="419">
        <f>IF(AJ707=0,0,((+$I237/$AZ707)*AJ707)*VLOOKUP('1. SUMMARY'!$C$20,rate,Sheet1!U$21,0))</f>
        <v>0</v>
      </c>
      <c r="AK708" s="419">
        <f>IF(AK707=0,0,((+$I237/$AZ707)*AK707)*VLOOKUP('1. SUMMARY'!$C$20,rate,Sheet1!V$21,0))</f>
        <v>0</v>
      </c>
      <c r="AL708" s="419">
        <f>IF(AL707=0,0,((+$I237/$AZ707)*AL707)*VLOOKUP('1. SUMMARY'!$C$20,rate,Sheet1!W$21,0))</f>
        <v>0</v>
      </c>
      <c r="AM708" s="419">
        <f>IF(AM707=0,0,((+$I237/$AZ707)*AM707)*VLOOKUP('1. SUMMARY'!$C$20,rate,Sheet1!X$21,0))</f>
        <v>0</v>
      </c>
      <c r="AN708" s="419">
        <f>IF(AN707=0,0,((+$I237/$AZ707)*AN707)*VLOOKUP('1. SUMMARY'!$C$20,rate,Sheet1!Y$21,0))</f>
        <v>0</v>
      </c>
      <c r="AO708" s="419">
        <f>IF(AO707=0,0,((+$I237/$AZ707)*AO707)*VLOOKUP('1. SUMMARY'!$C$20,rate,Sheet1!Z$21,0))</f>
        <v>0</v>
      </c>
      <c r="AP708" s="419">
        <f>IF(AP707=0,0,((+$I237/$AZ707)*AP707)*VLOOKUP('1. SUMMARY'!$C$20,rate,Sheet1!AA$21,0))</f>
        <v>0</v>
      </c>
      <c r="AQ708" s="419">
        <f>IF(AQ707=0,0,((+$I237/$AZ707)*AQ707)*VLOOKUP('1. SUMMARY'!$C$20,rate,Sheet1!AB$21,0))</f>
        <v>0</v>
      </c>
      <c r="AR708" s="419">
        <f>IF(AR707=0,0,((+$I237/$AZ707)*AR707)*VLOOKUP('1. SUMMARY'!$C$20,rate,Sheet1!AC$21,0))</f>
        <v>0</v>
      </c>
      <c r="AS708" s="419">
        <f>IF(AS707=0,0,((+$I237/$AZ707)*AS707)*VLOOKUP('1. SUMMARY'!$C$20,rate,Sheet1!AD$21,0))</f>
        <v>0</v>
      </c>
      <c r="AT708" s="419">
        <f>IF(AT707=0,0,((+$I237/$AZ707)*AT707)*VLOOKUP('1. SUMMARY'!$C$20,rate,Sheet1!AE$21,0))</f>
        <v>0</v>
      </c>
      <c r="AU708" s="419">
        <f>IF(AU707=0,0,((+$I237/$AZ707)*AU707)*VLOOKUP('1. SUMMARY'!$C$20,rate,Sheet1!AF$21,0))</f>
        <v>0</v>
      </c>
      <c r="AV708" s="419">
        <f>IF(AV707=0,0,((+$I237/$AZ707)*AV707)*VLOOKUP('1. SUMMARY'!$C$20,rate,Sheet1!AG$21,0))</f>
        <v>0</v>
      </c>
      <c r="AW708" s="419">
        <f>IF(AW707=0,0,((+$I237/$AZ707)*AW707)*VLOOKUP('1. SUMMARY'!$C$20,rate,Sheet1!AH$21,0))</f>
        <v>0</v>
      </c>
      <c r="AX708" s="419">
        <f>IF(AX707=0,0,((+$I237/$AZ707)*AX707)*VLOOKUP('1. SUMMARY'!$C$20,rate,Sheet1!AI$21,0))</f>
        <v>0</v>
      </c>
      <c r="AY708" s="419">
        <f>IF(AY707=0,0,((+$I237/$AZ707)*AY707)*VLOOKUP('1. SUMMARY'!$C$20,rate,Sheet1!AJ$21,0))</f>
        <v>0</v>
      </c>
      <c r="AZ708" s="419">
        <f>SUM(AI708:AY708)</f>
        <v>0</v>
      </c>
    </row>
    <row r="709" spans="17:52" ht="15" hidden="1" customHeight="1">
      <c r="Q709" s="419">
        <f>+Q708/VLOOKUP('1. SUMMARY'!$C$20,rate,Sheet1!T$21,0)</f>
        <v>0</v>
      </c>
      <c r="R709" s="419">
        <f>+R708/VLOOKUP('1. SUMMARY'!$C$20,rate,Sheet1!U$21,0)</f>
        <v>0</v>
      </c>
      <c r="S709" s="419">
        <f>+S708/VLOOKUP('1. SUMMARY'!$C$20,rate,Sheet1!V$21,0)</f>
        <v>0</v>
      </c>
      <c r="T709" s="419">
        <f>+T708/VLOOKUP('1. SUMMARY'!$C$20,rate,Sheet1!W$21,0)</f>
        <v>0</v>
      </c>
      <c r="U709" s="419">
        <f>+U708/VLOOKUP('1. SUMMARY'!$C$20,rate,Sheet1!X$21,0)</f>
        <v>0</v>
      </c>
      <c r="V709" s="419">
        <f>+V708/VLOOKUP('1. SUMMARY'!$C$20,rate,Sheet1!Y$21,0)</f>
        <v>0</v>
      </c>
      <c r="W709" s="419">
        <f>+W708/VLOOKUP('1. SUMMARY'!$C$20,rate,Sheet1!Z$21,0)</f>
        <v>0</v>
      </c>
      <c r="X709" s="419">
        <f>+X708/VLOOKUP('1. SUMMARY'!$C$20,rate,Sheet1!AA$21,0)</f>
        <v>0</v>
      </c>
      <c r="Y709" s="419">
        <f>+Y708/VLOOKUP('1. SUMMARY'!$C$20,rate,Sheet1!AB$21,0)</f>
        <v>0</v>
      </c>
      <c r="Z709" s="419">
        <f>+Z708/VLOOKUP('1. SUMMARY'!$C$20,rate,Sheet1!AC$21,0)</f>
        <v>0</v>
      </c>
      <c r="AA709" s="419">
        <f>+AA708/VLOOKUP('1. SUMMARY'!$C$20,rate,Sheet1!AD$21,0)</f>
        <v>0</v>
      </c>
      <c r="AB709" s="419">
        <f>+AB708/VLOOKUP('1. SUMMARY'!$C$20,rate,Sheet1!AE$21,0)</f>
        <v>0</v>
      </c>
      <c r="AC709" s="419">
        <f>+AC708/VLOOKUP('1. SUMMARY'!$C$20,rate,Sheet1!AF$21,0)</f>
        <v>0</v>
      </c>
      <c r="AD709" s="419">
        <f>+AD708/VLOOKUP('1. SUMMARY'!$C$20,rate,Sheet1!AG$21,0)</f>
        <v>0</v>
      </c>
      <c r="AE709" s="419">
        <f>+AE708/VLOOKUP('1. SUMMARY'!$C$20,rate,Sheet1!AH$21,0)</f>
        <v>0</v>
      </c>
      <c r="AF709" s="419">
        <f>+AF708/VLOOKUP('1. SUMMARY'!$C$20,rate,Sheet1!AI$21,0)</f>
        <v>0</v>
      </c>
      <c r="AG709" s="419">
        <f>+AG708/VLOOKUP('1. SUMMARY'!$C$20,rate,Sheet1!AJ$21,0)</f>
        <v>0</v>
      </c>
      <c r="AH709" s="219"/>
      <c r="AI709" s="419"/>
      <c r="AJ709" s="419"/>
      <c r="AK709" s="419"/>
      <c r="AL709" s="419"/>
      <c r="AM709" s="419"/>
      <c r="AN709" s="419"/>
      <c r="AO709" s="419"/>
      <c r="AP709" s="419"/>
      <c r="AQ709" s="419"/>
      <c r="AR709" s="419"/>
      <c r="AS709" s="419"/>
      <c r="AT709" s="419"/>
      <c r="AU709" s="419"/>
      <c r="AV709" s="419"/>
      <c r="AW709" s="419"/>
      <c r="AX709" s="419"/>
      <c r="AY709" s="419"/>
      <c r="AZ709" s="419"/>
    </row>
    <row r="710" spans="17:52" ht="15" hidden="1" customHeight="1">
      <c r="Q710" s="416">
        <f>Sheet1!$T$8</f>
        <v>44105</v>
      </c>
      <c r="R710" s="416">
        <f>Sheet1!$U$8</f>
        <v>44470</v>
      </c>
      <c r="S710" s="416">
        <f>Sheet1!$V$8</f>
        <v>44835</v>
      </c>
      <c r="T710" s="416">
        <f>Sheet1!$W$8</f>
        <v>45200</v>
      </c>
      <c r="U710" s="416">
        <f>Sheet1!$X$8</f>
        <v>45566</v>
      </c>
      <c r="V710" s="416">
        <f>Sheet1!$Y$8</f>
        <v>45931</v>
      </c>
      <c r="W710" s="416">
        <f>Sheet1!$Z$8</f>
        <v>46296</v>
      </c>
      <c r="X710" s="416">
        <f>Sheet1!$AA$8</f>
        <v>46661</v>
      </c>
      <c r="Y710" s="416">
        <f>Sheet1!$AB$8</f>
        <v>47027</v>
      </c>
      <c r="Z710" s="416">
        <f>Sheet1!$AC$8</f>
        <v>47392</v>
      </c>
      <c r="AA710" s="416">
        <f>$AA$5</f>
        <v>47757</v>
      </c>
      <c r="AB710" s="416">
        <f>$AB$5</f>
        <v>48122</v>
      </c>
      <c r="AC710" s="416">
        <f>$AC$5</f>
        <v>48488</v>
      </c>
      <c r="AD710" s="416">
        <f>$AD$5</f>
        <v>48853</v>
      </c>
      <c r="AE710" s="416">
        <f>$AE$5</f>
        <v>49218</v>
      </c>
      <c r="AF710" s="416">
        <f>$AF$5</f>
        <v>49583</v>
      </c>
      <c r="AG710" s="416">
        <f>$AG$5</f>
        <v>49949</v>
      </c>
      <c r="AH710" s="219"/>
      <c r="AI710" s="416">
        <f t="shared" ref="AI710:AR712" si="314">+Q710</f>
        <v>44105</v>
      </c>
      <c r="AJ710" s="416">
        <f t="shared" si="314"/>
        <v>44470</v>
      </c>
      <c r="AK710" s="416">
        <f t="shared" si="314"/>
        <v>44835</v>
      </c>
      <c r="AL710" s="416">
        <f t="shared" si="314"/>
        <v>45200</v>
      </c>
      <c r="AM710" s="416">
        <f t="shared" si="314"/>
        <v>45566</v>
      </c>
      <c r="AN710" s="416">
        <f t="shared" si="314"/>
        <v>45931</v>
      </c>
      <c r="AO710" s="416">
        <f t="shared" si="314"/>
        <v>46296</v>
      </c>
      <c r="AP710" s="416">
        <f t="shared" si="314"/>
        <v>46661</v>
      </c>
      <c r="AQ710" s="416">
        <f t="shared" si="314"/>
        <v>47027</v>
      </c>
      <c r="AR710" s="416">
        <f t="shared" si="314"/>
        <v>47392</v>
      </c>
      <c r="AS710" s="416">
        <f t="shared" ref="AS710:AY712" si="315">+AA710</f>
        <v>47757</v>
      </c>
      <c r="AT710" s="416">
        <f t="shared" si="315"/>
        <v>48122</v>
      </c>
      <c r="AU710" s="416">
        <f t="shared" si="315"/>
        <v>48488</v>
      </c>
      <c r="AV710" s="416">
        <f t="shared" si="315"/>
        <v>48853</v>
      </c>
      <c r="AW710" s="416">
        <f t="shared" si="315"/>
        <v>49218</v>
      </c>
      <c r="AX710" s="416">
        <f t="shared" si="315"/>
        <v>49583</v>
      </c>
      <c r="AY710" s="416">
        <f t="shared" si="315"/>
        <v>49949</v>
      </c>
      <c r="AZ710" s="416"/>
    </row>
    <row r="711" spans="17:52" ht="15" hidden="1" customHeight="1">
      <c r="Q711" s="416">
        <f>Sheet1!$T$9</f>
        <v>44469</v>
      </c>
      <c r="R711" s="416">
        <f>Sheet1!$U$9</f>
        <v>44834</v>
      </c>
      <c r="S711" s="416">
        <f>Sheet1!$V$9</f>
        <v>45199</v>
      </c>
      <c r="T711" s="416">
        <f>Sheet1!$W$9</f>
        <v>45565</v>
      </c>
      <c r="U711" s="416">
        <f>Sheet1!$X$9</f>
        <v>45930</v>
      </c>
      <c r="V711" s="416">
        <f>Sheet1!$Y$9</f>
        <v>46295</v>
      </c>
      <c r="W711" s="416">
        <f>Sheet1!$Z$9</f>
        <v>46660</v>
      </c>
      <c r="X711" s="416">
        <f>Sheet1!$AA$9</f>
        <v>47026</v>
      </c>
      <c r="Y711" s="416">
        <f>Sheet1!$AB$9</f>
        <v>47391</v>
      </c>
      <c r="Z711" s="416">
        <f>Sheet1!$AC$9</f>
        <v>47756</v>
      </c>
      <c r="AA711" s="416">
        <f>$AA$6</f>
        <v>48121</v>
      </c>
      <c r="AB711" s="416">
        <f>$AB$6</f>
        <v>48487</v>
      </c>
      <c r="AC711" s="416">
        <f>$AC$6</f>
        <v>48852</v>
      </c>
      <c r="AD711" s="416">
        <f>$AD$6</f>
        <v>49217</v>
      </c>
      <c r="AE711" s="416">
        <f>$AE$6</f>
        <v>49582</v>
      </c>
      <c r="AF711" s="416">
        <f>$AF$6</f>
        <v>49948</v>
      </c>
      <c r="AG711" s="416">
        <f>$AG$6</f>
        <v>50313</v>
      </c>
      <c r="AH711" s="219"/>
      <c r="AI711" s="416">
        <f t="shared" si="314"/>
        <v>44469</v>
      </c>
      <c r="AJ711" s="416">
        <f t="shared" si="314"/>
        <v>44834</v>
      </c>
      <c r="AK711" s="416">
        <f t="shared" si="314"/>
        <v>45199</v>
      </c>
      <c r="AL711" s="416">
        <f t="shared" si="314"/>
        <v>45565</v>
      </c>
      <c r="AM711" s="416">
        <f t="shared" si="314"/>
        <v>45930</v>
      </c>
      <c r="AN711" s="416">
        <f t="shared" si="314"/>
        <v>46295</v>
      </c>
      <c r="AO711" s="416">
        <f t="shared" si="314"/>
        <v>46660</v>
      </c>
      <c r="AP711" s="416">
        <f t="shared" si="314"/>
        <v>47026</v>
      </c>
      <c r="AQ711" s="416">
        <f t="shared" si="314"/>
        <v>47391</v>
      </c>
      <c r="AR711" s="416">
        <f t="shared" si="314"/>
        <v>47756</v>
      </c>
      <c r="AS711" s="416">
        <f t="shared" si="315"/>
        <v>48121</v>
      </c>
      <c r="AT711" s="416">
        <f t="shared" si="315"/>
        <v>48487</v>
      </c>
      <c r="AU711" s="416">
        <f t="shared" si="315"/>
        <v>48852</v>
      </c>
      <c r="AV711" s="416">
        <f t="shared" si="315"/>
        <v>49217</v>
      </c>
      <c r="AW711" s="416">
        <f t="shared" si="315"/>
        <v>49582</v>
      </c>
      <c r="AX711" s="416">
        <f t="shared" si="315"/>
        <v>49948</v>
      </c>
      <c r="AY711" s="416">
        <f t="shared" si="315"/>
        <v>50313</v>
      </c>
      <c r="AZ711" s="416"/>
    </row>
    <row r="712" spans="17:52" ht="15" hidden="1" customHeight="1">
      <c r="Q712" s="417">
        <f>IF(IF(Q711&lt;$J$27,0,DATEDIF($J$27,Q711+1,"m"))&lt;0,0,IF(Q711&lt;$J$27,0,DATEDIF($J$27,Q711+1,"m")))</f>
        <v>0</v>
      </c>
      <c r="R712" s="417">
        <f>IF(IF(Q712=12,0,IF(R711&gt;$J$28,12-DATEDIF($J$28,R711+1,"m"),IF(R711&lt;$J$27,0,DATEDIF($J$27,R711+1,"m"))))&lt;0,0,IF(Q712=12,0,IF(R711&gt;$J$28,12-DATEDIF($J$28,R711+1,"m"),IF(R711&lt;$J$27,0,DATEDIF($J$27,R711+1,"m")))))</f>
        <v>0</v>
      </c>
      <c r="S712" s="417">
        <f>IF(IF(Q712+R712=12,0,IF(S711&gt;$J$28,12-DATEDIF($J$28,S711+1,"m"),IF(S711&lt;$J$27,0,DATEDIF($J$27,S711+1,"m"))))&lt;0,0,IF(Q712+R712=12,0,IF(S711&gt;$J$28,12-DATEDIF($J$28,S711+1,"m"),IF(S711&lt;$J$27,0,DATEDIF($J$27,S711+1,"m")))))</f>
        <v>0</v>
      </c>
      <c r="T712" s="417">
        <f>IF(IF(R712+S712+Q712=12,0,IF(T711&gt;$J$28,12-DATEDIF($J$28,T711+1,"m"),IF(T711&lt;$J$27,0,DATEDIF($J$27,T711+1,"m"))))&lt;0,0,IF(R712+S712+Q712=12,0,IF(T711&gt;$J$28,12-DATEDIF($J$28,T711+1,"m"),IF(T711&lt;$J$27,0,DATEDIF($J$27,T711+1,"m")))))</f>
        <v>0</v>
      </c>
      <c r="U712" s="417">
        <f>IF(IF(S712+T712+R712+Q712=12,0,IF(U711&gt;$J$28,12-DATEDIF($J$28,U711+1,"m"),IF(U711&lt;$J$27,0,DATEDIF($J$27,U711+1,"m"))))&lt;0,0,IF(S712+T712+R712+Q712=12,0,IF(U711&gt;$J$28,12-DATEDIF($J$28,U711+1,"m"),IF(U711&lt;$J$27,0,DATEDIF($J$27,U711+1,"m")))))</f>
        <v>0</v>
      </c>
      <c r="V712" s="417">
        <f>IF(IF(T712+U712+S712+R712+Q712=12,0,IF(V711&gt;$J$28,12-DATEDIF($J$28,V711+1,"m"),IF(V711&lt;$J$27,0,DATEDIF($J$27,V711+1,"m"))))&lt;0,0,IF(T712+U712+S712+R712+Q712=12,0,IF(V711&gt;$J$28,12-DATEDIF($J$28,V711+1,"m"),IF(V711&lt;$J$27,0,DATEDIF($J$27,V711+1,"m")))))</f>
        <v>0</v>
      </c>
      <c r="W712" s="417">
        <f>IF(IF(U712+V712+T712+S712+R712+Q712=12,0,IF(W711&gt;$J$28,12-DATEDIF($J$28,W711+1,"m"),IF(W711&lt;$J$27,0,DATEDIF($J$27,W711+1,"m"))))&lt;0,0,IF(U712+V712+T712+S712+R712+Q712=12,0,IF(W711&gt;$J$28,12-DATEDIF($J$28,W711+1,"m"),IF(W711&lt;$J$27,0,DATEDIF($J$27,W711+1,"m")))))</f>
        <v>0</v>
      </c>
      <c r="X712" s="417">
        <f>IF(IF(V712+W712+U712+T712+S712+R712+Q712=12,0,IF(X711&gt;$J$28,12-DATEDIF($J$28,X711+1,"m"),IF(X711&lt;$J$27,0,DATEDIF($J$27,X711+1,"m"))))&lt;0,0,IF(V712+W712+U712+T712+S712+R712+Q712=12,0,IF(X711&gt;$J$28,12-DATEDIF($J$28,X711+1,"m"),IF(X711&lt;$J$27,0,DATEDIF($J$27,X711+1,"m")))))</f>
        <v>0</v>
      </c>
      <c r="Y712" s="417">
        <f>IF(IF(W712+X712+V712+U712+T712+S712+R712+Q712=12,0,IF(Y711&gt;$J$28,12-DATEDIF($J$28,Y711+1,"m"),IF(Y711&lt;$J$27,0,DATEDIF($J$27,Y711+1,"m"))))&lt;0,0,IF(W712+X712+V712+U712+T712+S712+R712+Q712=12,0,IF(Y711&gt;$J$28,12-DATEDIF($J$28,Y711+1,"m"),IF(Y711&lt;$J$27,0,DATEDIF($J$27,Y711+1,"m")))))</f>
        <v>0</v>
      </c>
      <c r="Z712" s="417">
        <f>IF(IF(X712+Y712+W712+V712+U712+T712+S712+R712+Q712=12,0,IF(Z711&gt;$J$28,12-DATEDIF($J$28,Z711+1,"m"),IF(Z711&lt;$J$27,0,DATEDIF($J$27,Z711+1,"m"))))&lt;0,0,IF(X712+Y712+W712+V712+U712+T712+S712+R712+Q712=12,0,IF(Z711&gt;$J$28,12-DATEDIF($J$28,Z711+1,"m"),IF(Z711&lt;$J$27,0,DATEDIF($J$27,Z711+1,"m")))))</f>
        <v>0</v>
      </c>
      <c r="AA712" s="417">
        <f>IF(IF(Q712+R712+S712+Y712+Z712+X712+W712+V712+U712+T712=12,0,IF(AA711&gt;$J$28,12-DATEDIF($J$28,AA711+1,"m"),IF(AA711&lt;$J$27,0,DATEDIF($J$27,AA711+1,"m"))))&lt;0,0,IF(Q712+R712+S712+Y712+Z712+X712+W712+V712+U712+T712=12,0,IF(AA711&gt;$J$28,12-DATEDIF($J$28,AA711+1,"m"),IF(AA711&lt;$J$27,0,DATEDIF($J$27,AA711+1,"m")))))</f>
        <v>0</v>
      </c>
      <c r="AB712" s="417">
        <f>IF(IF(Q712+R712+S712+T712+Z712+AA712+Y712+X712+W712+V712+U712=12,0,IF(AB711&gt;$J$28,12-DATEDIF($J$28,AB711+1,"m"),IF(AB711&lt;$J$27,0,DATEDIF($J$27,AB711+1,"m"))))&lt;0,0,IF(Q712+R712+S712+T712+Z712+AA712+Y712+X712+W712+V712+U712=12,0,IF(AB711&gt;$J$28,12-DATEDIF($J$28,AB711+1,"m"),IF(AB711&lt;$J$27,0,DATEDIF($J$27,AB711+1,"m")))))</f>
        <v>0</v>
      </c>
      <c r="AC712" s="417">
        <f>IF(IF(Q712+R712+S712+T712+U712+AA712+AB712+Z712+Y712+X712+W712+V712=12,0,IF(AC711&gt;$J$28,12-DATEDIF($J$28,AC711+1,"m"),IF(AC711&lt;$J$27,0,DATEDIF($J$27,AC711+1,"m"))))&lt;0,0,IF(Q712+R712+S712+T712+U712+AA712+AB712+Z712+Y712+X712+W712+V712=12,0,IF(AC711&gt;$J$28,12-DATEDIF($J$28,AC711+1,"m"),IF(AC711&lt;$J$27,0,DATEDIF($J$27,AC711+1,"m")))))</f>
        <v>0</v>
      </c>
      <c r="AD712" s="417">
        <f>IF(IF(Q712+R712+S712+T712+U712+V712+AB712+AC712+AA712+Z712+Y712+X712+W712=12,0,IF(AD711&gt;$J$28,12-DATEDIF($J$28,AD711+1,"m"),IF(AD711&lt;$J$27,0,DATEDIF($J$27,AD711+1,"m"))))&lt;0,0,IF(Q712+R712+S712+T712+U712+V712+AB712+AC712+AA712+Z712+Y712+X712+W712=12,0,IF(AD711&gt;$J$28,12-DATEDIF($J$28,AD711+1,"m"),IF(AD711&lt;$J$27,0,DATEDIF($J$27,AD711+1,"m")))))</f>
        <v>0</v>
      </c>
      <c r="AE712" s="417">
        <f>IF(IF(Q712+R712+S712+T712+U712+V712+W712+AC712+AD712+AB712+AA712+Z712+Y712+X712=12,0,IF(AE711&gt;$J$28,12-DATEDIF($J$28,AE711+1,"m"),IF(AE711&lt;$J$27,0,DATEDIF($J$27,AE711+1,"m"))))&lt;0,0,IF(Q712+R712+S712+T712+U712+V712+W712+AC712+AD712+AB712+AA712+Z712+Y712+X712=12,0,IF(AE711&gt;$J$28,12-DATEDIF($J$28,AE711+1,"m"),IF(AE711&lt;$J$27,0,DATEDIF($J$27,AE711+1,"m")))))</f>
        <v>0</v>
      </c>
      <c r="AF712" s="417">
        <f>IF(IF(Q712+R712+S712+T712+U712+V712+W712+X712+AD712+AE712+AC712+AB712+AA712+Z712+Y712=12,0,IF(AF711&gt;$J$28,12-DATEDIF($J$28,AF711+1,"m"),IF(AF711&lt;$J$27,0,DATEDIF($J$27,AF711+1,"m"))))&lt;0,0,IF(Q712+R712+S712+T712+U712+V712+W712+X712+AD712+AE712+AC712+AB712+AA712+Z712+Y712=12,0,IF(AF711&gt;$J$28,12-DATEDIF($J$28,AF711+1,"m"),IF(AF711&lt;$J$27,0,DATEDIF($J$27,AF711+1,"m")))))</f>
        <v>0</v>
      </c>
      <c r="AG712" s="417">
        <f>IF(IF(Q712+R712+S712+T712+U712+V712+W712+X712+Y712+AE712+AF712+AD712+AC712+AB712+AA712+Z712=12,0,IF(AG711&gt;$J$28,12-DATEDIF($J$28,AG711+1,"m"),IF(AG711&lt;$J$27,0,DATEDIF($J$27,AG711+1,"m"))))&lt;0,0,IF(Q712+R712+S712+T712+U712+V712+W712+X712+Y712+AE712+AF712+AD712+AC712+AB712+AA712+Z712=12,0,IF(AG711&gt;$J$28,12-DATEDIF($J$28,AG711+1,"m"),IF(AG711&lt;$J$27,0,DATEDIF($J$27,AG711+1,"m")))))</f>
        <v>0</v>
      </c>
      <c r="AH712" s="423">
        <f>SUM(Q712:AG712)</f>
        <v>0</v>
      </c>
      <c r="AI712" s="427">
        <f t="shared" si="314"/>
        <v>0</v>
      </c>
      <c r="AJ712" s="427">
        <f t="shared" si="314"/>
        <v>0</v>
      </c>
      <c r="AK712" s="427">
        <f t="shared" si="314"/>
        <v>0</v>
      </c>
      <c r="AL712" s="427">
        <f t="shared" si="314"/>
        <v>0</v>
      </c>
      <c r="AM712" s="427">
        <f t="shared" si="314"/>
        <v>0</v>
      </c>
      <c r="AN712" s="427">
        <f t="shared" si="314"/>
        <v>0</v>
      </c>
      <c r="AO712" s="427">
        <f t="shared" si="314"/>
        <v>0</v>
      </c>
      <c r="AP712" s="427">
        <f t="shared" si="314"/>
        <v>0</v>
      </c>
      <c r="AQ712" s="427">
        <f t="shared" si="314"/>
        <v>0</v>
      </c>
      <c r="AR712" s="427">
        <f t="shared" si="314"/>
        <v>0</v>
      </c>
      <c r="AS712" s="427">
        <f t="shared" si="315"/>
        <v>0</v>
      </c>
      <c r="AT712" s="427">
        <f t="shared" si="315"/>
        <v>0</v>
      </c>
      <c r="AU712" s="427">
        <f t="shared" si="315"/>
        <v>0</v>
      </c>
      <c r="AV712" s="427">
        <f t="shared" si="315"/>
        <v>0</v>
      </c>
      <c r="AW712" s="427">
        <f t="shared" si="315"/>
        <v>0</v>
      </c>
      <c r="AX712" s="427">
        <f t="shared" si="315"/>
        <v>0</v>
      </c>
      <c r="AY712" s="427">
        <f t="shared" si="315"/>
        <v>0</v>
      </c>
      <c r="AZ712" s="427">
        <f>SUM(AI712:AY712)</f>
        <v>0</v>
      </c>
    </row>
    <row r="713" spans="17:52" ht="15" hidden="1" customHeight="1">
      <c r="Q713" s="417">
        <f>IF(Q712=0,0,(IF(($B$237+$C$237+$D$237+$E$237+$F$237+$G$237+$H$237+$I$237+$J$237)&lt;=25000,(($J$237/+$AH712)*Q712)*VLOOKUP('1. SUMMARY'!$C$20,rate,Sheet1!T$21,0),((IF(($F$237+$B$237+$C$237+$D$237+$E$237+$G$237+$H$237+$I$237)&gt;=25000,0,(((25000-($B$237+$C$237+$D$237+$E$237+$F$237+$G$237+$H$237+$I$237))/+$AH712)*Q712)*(VLOOKUP('1. SUMMARY'!$C$20,rate,Sheet1!T$21,0))))))))</f>
        <v>0</v>
      </c>
      <c r="R713" s="417">
        <f>IF(R712=0,0,(IF(($B$237+$C$237+$D$237+$E$237+$F$237+$G$237+$H$237+$I$237+$J$237)&lt;=25000,(($J$237/+$AH712)*R712)*VLOOKUP('1. SUMMARY'!$C$20,rate,Sheet1!U$21,0),((IF(($F$237+$B$237+$C$237+$D$237+$E$237+$G$237+$H$237+$I$237)&gt;=25000,0,(((25000-($B$237+$C$237+$D$237+$E$237+$F$237+$G$237+$H$237+$I$237))/+$AH712)*R712)*(VLOOKUP('1. SUMMARY'!$C$20,rate,Sheet1!U$21,0))))))))</f>
        <v>0</v>
      </c>
      <c r="S713" s="417">
        <f>IF(S712=0,0,(IF(($B$237+$C$237+$D$237+$E$237+$F$237+$G$237+$H$237+$I$237+$J$237)&lt;=25000,(($J$237/+$AH712)*S712)*VLOOKUP('1. SUMMARY'!$C$20,rate,Sheet1!V$21,0),((IF(($F$237+$B$237+$C$237+$D$237+$E$237+$G$237+$H$237+$I$237)&gt;=25000,0,(((25000-($B$237+$C$237+$D$237+$E$237+$F$237+$G$237+$H$237+$I$237))/+$AH712)*S712)*(VLOOKUP('1. SUMMARY'!$C$20,rate,Sheet1!V$21,0))))))))</f>
        <v>0</v>
      </c>
      <c r="T713" s="417">
        <f>IF(T712=0,0,(IF(($B$237+$C$237+$D$237+$E$237+$F$237+$G$237+$H$237+$I$237+$J$237)&lt;=25000,(($J$237/+$AH712)*T712)*VLOOKUP('1. SUMMARY'!$C$20,rate,Sheet1!W$21,0),((IF(($F$237+$B$237+$C$237+$D$237+$E$237+$G$237+$H$237+$I$237)&gt;=25000,0,(((25000-($B$237+$C$237+$D$237+$E$237+$F$237+$G$237+$H$237+$I$237))/+$AH712)*T712)*(VLOOKUP('1. SUMMARY'!$C$20,rate,Sheet1!W$21,0))))))))</f>
        <v>0</v>
      </c>
      <c r="U713" s="417">
        <f>IF(U712=0,0,(IF(($B$237+$C$237+$D$237+$E$237+$F$237+$G$237+$H$237+$I$237+$J$237)&lt;=25000,(($J$237/+$AH712)*U712)*VLOOKUP('1. SUMMARY'!$C$20,rate,Sheet1!X$21,0),((IF(($F$237+$B$237+$C$237+$D$237+$E$237+$G$237+$H$237+$I$237)&gt;=25000,0,(((25000-($B$237+$C$237+$D$237+$E$237+$F$237+$G$237+$H$237+$I$237))/+$AH712)*U712)*(VLOOKUP('1. SUMMARY'!$C$20,rate,Sheet1!X$21,0))))))))</f>
        <v>0</v>
      </c>
      <c r="V713" s="417">
        <f>IF(V712=0,0,(IF(($B$237+$C$237+$D$237+$E$237+$F$237+$G$237+$H$237+$I$237+$J$237)&lt;=25000,(($J$237/+$AH712)*V712)*VLOOKUP('1. SUMMARY'!$C$20,rate,Sheet1!Y$21,0),((IF(($F$237+$B$237+$C$237+$D$237+$E$237+$G$237+$H$237+$I$237)&gt;=25000,0,(((25000-($B$237+$C$237+$D$237+$E$237+$F$237+$G$237+$H$237+$I$237))/+$AH712)*V712)*(VLOOKUP('1. SUMMARY'!$C$20,rate,Sheet1!Y$21,0))))))))</f>
        <v>0</v>
      </c>
      <c r="W713" s="417">
        <f>IF(W712=0,0,(IF(($B$237+$C$237+$D$237+$E$237+$F$237+$G$237+$H$237+$I$237+$J$237)&lt;=25000,(($J$237/+$AH712)*W712)*VLOOKUP('1. SUMMARY'!$C$20,rate,Sheet1!Z$21,0),((IF(($F$237+$B$237+$C$237+$D$237+$E$237+$G$237+$H$237+$I$237)&gt;=25000,0,(((25000-($B$237+$C$237+$D$237+$E$237+$F$237+$G$237+$H$237+$I$237))/+$AH712)*W712)*(VLOOKUP('1. SUMMARY'!$C$20,rate,Sheet1!Z$21,0))))))))</f>
        <v>0</v>
      </c>
      <c r="X713" s="417">
        <f>IF(X712=0,0,(IF(($B$237+$C$237+$D$237+$E$237+$F$237+$G$237+$H$237+$I$237+$J$237)&lt;=25000,(($J$237/+$AH712)*X712)*VLOOKUP('1. SUMMARY'!$C$20,rate,Sheet1!AA$21,0),((IF(($F$237+$B$237+$C$237+$D$237+$E$237+$G$237+$H$237+$I$237)&gt;=25000,0,(((25000-($B$237+$C$237+$D$237+$E$237+$F$237+$G$237+$H$237+$I$237))/+$AH712)*X712)*(VLOOKUP('1. SUMMARY'!$C$20,rate,Sheet1!AA$21,0))))))))</f>
        <v>0</v>
      </c>
      <c r="Y713" s="417">
        <f>IF(Y712=0,0,(IF(($B$237+$C$237+$D$237+$E$237+$F$237+$G$237+$H$237+$I$237+$J$237)&lt;=25000,(($J$237/+$AH712)*Y712)*VLOOKUP('1. SUMMARY'!$C$20,rate,Sheet1!AB$21,0),((IF(($F$237+$B$237+$C$237+$D$237+$E$237+$G$237+$H$237+$I$237)&gt;=25000,0,(((25000-($B$237+$C$237+$D$237+$E$237+$F$237+$G$237+$H$237+$I$237))/+$AH712)*Y712)*(VLOOKUP('1. SUMMARY'!$C$20,rate,Sheet1!AB$21,0))))))))</f>
        <v>0</v>
      </c>
      <c r="Z713" s="417">
        <f>IF(Z712=0,0,(IF(($B$237+$C$237+$D$237+$E$237+$F$237+$G$237+$H$237+$I$237+$J$237)&lt;=25000,(($J$237/+$AH712)*Z712)*VLOOKUP('1. SUMMARY'!$C$20,rate,Sheet1!AC$21,0),((IF(($F$237+$B$237+$C$237+$D$237+$E$237+$G$237+$H$237+$I$237)&gt;=25000,0,(((25000-($B$237+$C$237+$D$237+$E$237+$F$237+$G$237+$H$237+$I$237))/+$AH712)*Z712)*(VLOOKUP('1. SUMMARY'!$C$20,rate,Sheet1!AC$21,0))))))))</f>
        <v>0</v>
      </c>
      <c r="AA713" s="417">
        <f>IF(AA712=0,0,(IF(($B$237+$C$237+$D$237+$E$237+$F$237+$G$237+$H$237+$I$237+$J$237)&lt;=25000,(($J$237/+$AH712)*AA712)*VLOOKUP('1. SUMMARY'!$C$20,rate,Sheet1!AD$21,0),((IF(($F$237+$B$237+$C$237+$D$237+$E$237+$G$237+$H$237+$I$237)&gt;=25000,0,(((25000-($B$237+$C$237+$D$237+$E$237+$F$237+$G$237+$H$237+$I$237))/+$AH712)*AA712)*(VLOOKUP('1. SUMMARY'!$C$20,rate,Sheet1!AD$21,0))))))))</f>
        <v>0</v>
      </c>
      <c r="AB713" s="417">
        <f>IF(AB712=0,0,(IF(($B$237+$C$237+$D$237+$E$237+$F$237+$G$237+$H$237+$I$237+$J$237)&lt;=25000,(($J$237/+$AH712)*AB712)*VLOOKUP('1. SUMMARY'!$C$20,rate,Sheet1!AE$21,0),((IF(($F$237+$B$237+$C$237+$D$237+$E$237+$G$237+$H$237+$I$237)&gt;=25000,0,(((25000-($B$237+$C$237+$D$237+$E$237+$F$237+$G$237+$H$237+$I$237))/+$AH712)*AB712)*(VLOOKUP('1. SUMMARY'!$C$20,rate,Sheet1!AE$21,0))))))))</f>
        <v>0</v>
      </c>
      <c r="AC713" s="417">
        <f>IF(AC712=0,0,(IF(($B$237+$C$237+$D$237+$E$237+$F$237+$G$237+$H$237+$I$237+$J$237)&lt;=25000,(($J$237/+$AH712)*AC712)*VLOOKUP('1. SUMMARY'!$C$20,rate,Sheet1!AF$21,0),((IF(($F$237+$B$237+$C$237+$D$237+$E$237+$G$237+$H$237+$I$237)&gt;=25000,0,(((25000-($B$237+$C$237+$D$237+$E$237+$F$237+$G$237+$H$237+$I$237))/+$AH712)*AC712)*(VLOOKUP('1. SUMMARY'!$C$20,rate,Sheet1!AF$21,0))))))))</f>
        <v>0</v>
      </c>
      <c r="AD713" s="417">
        <f>IF(AD712=0,0,(IF(($B$237+$C$237+$D$237+$E$237+$F$237+$G$237+$H$237+$I$237+$J$237)&lt;=25000,(($J$237/+$AH712)*AD712)*VLOOKUP('1. SUMMARY'!$C$20,rate,Sheet1!AG$21,0),((IF(($F$237+$B$237+$C$237+$D$237+$E$237+$G$237+$H$237+$I$237)&gt;=25000,0,(((25000-($B$237+$C$237+$D$237+$E$237+$F$237+$G$237+$H$237+$I$237))/+$AH712)*AD712)*(VLOOKUP('1. SUMMARY'!$C$20,rate,Sheet1!AG$21,0))))))))</f>
        <v>0</v>
      </c>
      <c r="AE713" s="417">
        <f>IF(AE712=0,0,(IF(($B$237+$C$237+$D$237+$E$237+$F$237+$G$237+$H$237+$I$237+$J$237)&lt;=25000,(($J$237/+$AH712)*AE712)*VLOOKUP('1. SUMMARY'!$C$20,rate,Sheet1!AH$21,0),((IF(($F$237+$B$237+$C$237+$D$237+$E$237+$G$237+$H$237+$I$237)&gt;=25000,0,(((25000-($B$237+$C$237+$D$237+$E$237+$F$237+$G$237+$H$237+$I$237))/+$AH712)*AE712)*(VLOOKUP('1. SUMMARY'!$C$20,rate,Sheet1!AH$21,0))))))))</f>
        <v>0</v>
      </c>
      <c r="AF713" s="417">
        <f>IF(AF712=0,0,(IF(($B$237+$C$237+$D$237+$E$237+$F$237+$G$237+$H$237+$I$237+$J$237)&lt;=25000,(($J$237/+$AH712)*AF712)*VLOOKUP('1. SUMMARY'!$C$20,rate,Sheet1!AI$21,0),((IF(($F$237+$B$237+$C$237+$D$237+$E$237+$G$237+$H$237+$I$237)&gt;=25000,0,(((25000-($B$237+$C$237+$D$237+$E$237+$F$237+$G$237+$H$237+$I$237))/+$AH712)*AF712)*(VLOOKUP('1. SUMMARY'!$C$20,rate,Sheet1!AI$21,0))))))))</f>
        <v>0</v>
      </c>
      <c r="AG713" s="417">
        <f>IF(AG712=0,0,(IF(($B$237+$C$237+$D$237+$E$237+$F$237+$G$237+$H$237+$I$237+$J$237)&lt;=25000,(($J$237/+$AH712)*AG712)*VLOOKUP('1. SUMMARY'!$C$20,rate,Sheet1!AJ$21,0),((IF(($F$237+$B$237+$C$237+$D$237+$E$237+$G$237+$H$237+$I$237)&gt;=25000,0,(((25000-($B$237+$C$237+$D$237+$E$237+$F$237+$G$237+$H$237+$I$237))/+$AH712)*AG712)*(VLOOKUP('1. SUMMARY'!$C$20,rate,Sheet1!AJ$21,0))))))))</f>
        <v>0</v>
      </c>
      <c r="AH713" s="219">
        <f>SUM(Q713:AG713)</f>
        <v>0</v>
      </c>
      <c r="AI713" s="417">
        <f>IF(AI712=0,0,((+$J237/$AZ712)*AI712)*VLOOKUP('1. SUMMARY'!$C$20,rate,Sheet1!T$21,0))</f>
        <v>0</v>
      </c>
      <c r="AJ713" s="417">
        <f>IF(AJ712=0,0,((+$J237/$AZ712)*AJ712)*VLOOKUP('1. SUMMARY'!$C$20,rate,Sheet1!U$21,0))</f>
        <v>0</v>
      </c>
      <c r="AK713" s="417">
        <f>IF(AK712=0,0,((+$J237/$AZ712)*AK712)*VLOOKUP('1. SUMMARY'!$C$20,rate,Sheet1!V$21,0))</f>
        <v>0</v>
      </c>
      <c r="AL713" s="417">
        <f>IF(AL712=0,0,((+$J237/$AZ712)*AL712)*VLOOKUP('1. SUMMARY'!$C$20,rate,Sheet1!W$21,0))</f>
        <v>0</v>
      </c>
      <c r="AM713" s="417">
        <f>IF(AM712=0,0,((+$J237/$AZ712)*AM712)*VLOOKUP('1. SUMMARY'!$C$20,rate,Sheet1!X$21,0))</f>
        <v>0</v>
      </c>
      <c r="AN713" s="417">
        <f>IF(AN712=0,0,((+$J237/$AZ712)*AN712)*VLOOKUP('1. SUMMARY'!$C$20,rate,Sheet1!Y$21,0))</f>
        <v>0</v>
      </c>
      <c r="AO713" s="417">
        <f>IF(AO712=0,0,((+$J237/$AZ712)*AO712)*VLOOKUP('1. SUMMARY'!$C$20,rate,Sheet1!Z$21,0))</f>
        <v>0</v>
      </c>
      <c r="AP713" s="417">
        <f>IF(AP712=0,0,((+$J237/$AZ712)*AP712)*VLOOKUP('1. SUMMARY'!$C$20,rate,Sheet1!AA$21,0))</f>
        <v>0</v>
      </c>
      <c r="AQ713" s="417">
        <f>IF(AQ712=0,0,((+$J237/$AZ712)*AQ712)*VLOOKUP('1. SUMMARY'!$C$20,rate,Sheet1!AB$21,0))</f>
        <v>0</v>
      </c>
      <c r="AR713" s="417">
        <f>IF(AR712=0,0,((+$J237/$AZ712)*AR712)*VLOOKUP('1. SUMMARY'!$C$20,rate,Sheet1!AC$21,0))</f>
        <v>0</v>
      </c>
      <c r="AS713" s="417">
        <f>IF(AS712=0,0,((+$J237/$AZ712)*AS712)*VLOOKUP('1. SUMMARY'!$C$20,rate,Sheet1!AD$21,0))</f>
        <v>0</v>
      </c>
      <c r="AT713" s="417">
        <f>IF(AT712=0,0,((+$J237/$AZ712)*AT712)*VLOOKUP('1. SUMMARY'!$C$20,rate,Sheet1!AE$21,0))</f>
        <v>0</v>
      </c>
      <c r="AU713" s="417">
        <f>IF(AU712=0,0,((+$J237/$AZ712)*AU712)*VLOOKUP('1. SUMMARY'!$C$20,rate,Sheet1!AF$21,0))</f>
        <v>0</v>
      </c>
      <c r="AV713" s="417">
        <f>IF(AV712=0,0,((+$J237/$AZ712)*AV712)*VLOOKUP('1. SUMMARY'!$C$20,rate,Sheet1!AG$21,0))</f>
        <v>0</v>
      </c>
      <c r="AW713" s="417">
        <f>IF(AW712=0,0,((+$J237/$AZ712)*AW712)*VLOOKUP('1. SUMMARY'!$C$20,rate,Sheet1!AH$21,0))</f>
        <v>0</v>
      </c>
      <c r="AX713" s="417">
        <f>IF(AX712=0,0,((+$J237/$AZ712)*AX712)*VLOOKUP('1. SUMMARY'!$C$20,rate,Sheet1!AI$21,0))</f>
        <v>0</v>
      </c>
      <c r="AY713" s="417">
        <f>IF(AY712=0,0,((+$J237/$AZ712)*AY712)*VLOOKUP('1. SUMMARY'!$C$20,rate,Sheet1!AJ$21,0))</f>
        <v>0</v>
      </c>
      <c r="AZ713" s="417">
        <f>SUM(AI713:AY713)</f>
        <v>0</v>
      </c>
    </row>
    <row r="714" spans="17:52" ht="15" hidden="1" customHeight="1">
      <c r="Q714" s="417">
        <f>+Q713/VLOOKUP('1. SUMMARY'!$C$20,rate,Sheet1!T$21,0)</f>
        <v>0</v>
      </c>
      <c r="R714" s="417">
        <f>+R713/VLOOKUP('1. SUMMARY'!$C$20,rate,Sheet1!U$21,0)</f>
        <v>0</v>
      </c>
      <c r="S714" s="417">
        <f>+S713/VLOOKUP('1. SUMMARY'!$C$20,rate,Sheet1!V$21,0)</f>
        <v>0</v>
      </c>
      <c r="T714" s="417">
        <f>+T713/VLOOKUP('1. SUMMARY'!$C$20,rate,Sheet1!W$21,0)</f>
        <v>0</v>
      </c>
      <c r="U714" s="417">
        <f>+U713/VLOOKUP('1. SUMMARY'!$C$20,rate,Sheet1!X$21,0)</f>
        <v>0</v>
      </c>
      <c r="V714" s="417">
        <f>+V713/VLOOKUP('1. SUMMARY'!$C$20,rate,Sheet1!Y$21,0)</f>
        <v>0</v>
      </c>
      <c r="W714" s="417">
        <f>+W713/VLOOKUP('1. SUMMARY'!$C$20,rate,Sheet1!Z$21,0)</f>
        <v>0</v>
      </c>
      <c r="X714" s="417">
        <f>+X713/VLOOKUP('1. SUMMARY'!$C$20,rate,Sheet1!AA$21,0)</f>
        <v>0</v>
      </c>
      <c r="Y714" s="417">
        <f>+Y713/VLOOKUP('1. SUMMARY'!$C$20,rate,Sheet1!AB$21,0)</f>
        <v>0</v>
      </c>
      <c r="Z714" s="417">
        <f>+Z713/VLOOKUP('1. SUMMARY'!$C$20,rate,Sheet1!AC$21,0)</f>
        <v>0</v>
      </c>
      <c r="AA714" s="417">
        <f>+AA713/VLOOKUP('1. SUMMARY'!$C$20,rate,Sheet1!AD$21,0)</f>
        <v>0</v>
      </c>
      <c r="AB714" s="417">
        <f>+AB713/VLOOKUP('1. SUMMARY'!$C$20,rate,Sheet1!AE$21,0)</f>
        <v>0</v>
      </c>
      <c r="AC714" s="417">
        <f>+AC713/VLOOKUP('1. SUMMARY'!$C$20,rate,Sheet1!AF$21,0)</f>
        <v>0</v>
      </c>
      <c r="AD714" s="417">
        <f>+AD713/VLOOKUP('1. SUMMARY'!$C$20,rate,Sheet1!AG$21,0)</f>
        <v>0</v>
      </c>
      <c r="AE714" s="417">
        <f>+AE713/VLOOKUP('1. SUMMARY'!$C$20,rate,Sheet1!AH$21,0)</f>
        <v>0</v>
      </c>
      <c r="AF714" s="417">
        <f>+AF713/VLOOKUP('1. SUMMARY'!$C$20,rate,Sheet1!AI$21,0)</f>
        <v>0</v>
      </c>
      <c r="AG714" s="417">
        <f>+AG713/VLOOKUP('1. SUMMARY'!$C$20,rate,Sheet1!AJ$21,0)</f>
        <v>0</v>
      </c>
      <c r="AH714" s="219"/>
      <c r="AI714" s="417"/>
      <c r="AJ714" s="417"/>
      <c r="AK714" s="417"/>
      <c r="AL714" s="417"/>
      <c r="AM714" s="417"/>
      <c r="AN714" s="417"/>
      <c r="AO714" s="417"/>
      <c r="AP714" s="417"/>
      <c r="AQ714" s="417"/>
      <c r="AR714" s="417"/>
      <c r="AS714" s="417"/>
      <c r="AT714" s="417"/>
      <c r="AU714" s="417"/>
      <c r="AV714" s="417"/>
      <c r="AW714" s="417"/>
      <c r="AX714" s="417"/>
      <c r="AY714" s="417"/>
      <c r="AZ714" s="417"/>
    </row>
    <row r="715" spans="17:52" ht="15" hidden="1" customHeight="1">
      <c r="Q715" s="420">
        <f>Sheet1!$T$8</f>
        <v>44105</v>
      </c>
      <c r="R715" s="420">
        <f>Sheet1!$U$8</f>
        <v>44470</v>
      </c>
      <c r="S715" s="420">
        <f>Sheet1!$V$8</f>
        <v>44835</v>
      </c>
      <c r="T715" s="420">
        <f>Sheet1!$W$8</f>
        <v>45200</v>
      </c>
      <c r="U715" s="420">
        <f>Sheet1!$X$8</f>
        <v>45566</v>
      </c>
      <c r="V715" s="420">
        <f>Sheet1!$Y$8</f>
        <v>45931</v>
      </c>
      <c r="W715" s="420">
        <f>Sheet1!$Z$8</f>
        <v>46296</v>
      </c>
      <c r="X715" s="420">
        <f>Sheet1!$AA$8</f>
        <v>46661</v>
      </c>
      <c r="Y715" s="420">
        <f>Sheet1!$AB$8</f>
        <v>47027</v>
      </c>
      <c r="Z715" s="420">
        <f>Sheet1!$AC$8</f>
        <v>47392</v>
      </c>
      <c r="AA715" s="420">
        <f>$AA$5</f>
        <v>47757</v>
      </c>
      <c r="AB715" s="420">
        <f>$AB$5</f>
        <v>48122</v>
      </c>
      <c r="AC715" s="420">
        <f>$AC$5</f>
        <v>48488</v>
      </c>
      <c r="AD715" s="420">
        <f>$AD$5</f>
        <v>48853</v>
      </c>
      <c r="AE715" s="420">
        <f>$AE$5</f>
        <v>49218</v>
      </c>
      <c r="AF715" s="420">
        <f>$AF$5</f>
        <v>49583</v>
      </c>
      <c r="AG715" s="420">
        <f>$AG$5</f>
        <v>49949</v>
      </c>
      <c r="AH715" s="219"/>
      <c r="AI715" s="420">
        <f t="shared" ref="AI715:AR717" si="316">+Q715</f>
        <v>44105</v>
      </c>
      <c r="AJ715" s="420">
        <f t="shared" si="316"/>
        <v>44470</v>
      </c>
      <c r="AK715" s="420">
        <f t="shared" si="316"/>
        <v>44835</v>
      </c>
      <c r="AL715" s="420">
        <f t="shared" si="316"/>
        <v>45200</v>
      </c>
      <c r="AM715" s="420">
        <f t="shared" si="316"/>
        <v>45566</v>
      </c>
      <c r="AN715" s="420">
        <f t="shared" si="316"/>
        <v>45931</v>
      </c>
      <c r="AO715" s="420">
        <f t="shared" si="316"/>
        <v>46296</v>
      </c>
      <c r="AP715" s="420">
        <f t="shared" si="316"/>
        <v>46661</v>
      </c>
      <c r="AQ715" s="420">
        <f t="shared" si="316"/>
        <v>47027</v>
      </c>
      <c r="AR715" s="420">
        <f t="shared" si="316"/>
        <v>47392</v>
      </c>
      <c r="AS715" s="420">
        <f t="shared" ref="AS715:AY717" si="317">+AA715</f>
        <v>47757</v>
      </c>
      <c r="AT715" s="420">
        <f t="shared" si="317"/>
        <v>48122</v>
      </c>
      <c r="AU715" s="420">
        <f t="shared" si="317"/>
        <v>48488</v>
      </c>
      <c r="AV715" s="420">
        <f t="shared" si="317"/>
        <v>48853</v>
      </c>
      <c r="AW715" s="420">
        <f t="shared" si="317"/>
        <v>49218</v>
      </c>
      <c r="AX715" s="420">
        <f t="shared" si="317"/>
        <v>49583</v>
      </c>
      <c r="AY715" s="420">
        <f t="shared" si="317"/>
        <v>49949</v>
      </c>
      <c r="AZ715" s="420"/>
    </row>
    <row r="716" spans="17:52" ht="15" hidden="1" customHeight="1">
      <c r="Q716" s="420">
        <f>Sheet1!$T$9</f>
        <v>44469</v>
      </c>
      <c r="R716" s="420">
        <f>Sheet1!$U$9</f>
        <v>44834</v>
      </c>
      <c r="S716" s="420">
        <f>Sheet1!$V$9</f>
        <v>45199</v>
      </c>
      <c r="T716" s="420">
        <f>Sheet1!$W$9</f>
        <v>45565</v>
      </c>
      <c r="U716" s="420">
        <f>Sheet1!$X$9</f>
        <v>45930</v>
      </c>
      <c r="V716" s="420">
        <f>Sheet1!$Y$9</f>
        <v>46295</v>
      </c>
      <c r="W716" s="420">
        <f>Sheet1!$Z$9</f>
        <v>46660</v>
      </c>
      <c r="X716" s="420">
        <f>Sheet1!$AA$9</f>
        <v>47026</v>
      </c>
      <c r="Y716" s="420">
        <f>Sheet1!$AB$9</f>
        <v>47391</v>
      </c>
      <c r="Z716" s="420">
        <f>Sheet1!$AC$9</f>
        <v>47756</v>
      </c>
      <c r="AA716" s="420">
        <f>$AA$6</f>
        <v>48121</v>
      </c>
      <c r="AB716" s="420">
        <f>$AB$6</f>
        <v>48487</v>
      </c>
      <c r="AC716" s="420">
        <f>$AC$6</f>
        <v>48852</v>
      </c>
      <c r="AD716" s="420">
        <f>$AD$6</f>
        <v>49217</v>
      </c>
      <c r="AE716" s="420">
        <f>$AE$6</f>
        <v>49582</v>
      </c>
      <c r="AF716" s="420">
        <f>$AF$6</f>
        <v>49948</v>
      </c>
      <c r="AG716" s="420">
        <f>$AG$6</f>
        <v>50313</v>
      </c>
      <c r="AH716" s="219"/>
      <c r="AI716" s="420">
        <f t="shared" si="316"/>
        <v>44469</v>
      </c>
      <c r="AJ716" s="420">
        <f t="shared" si="316"/>
        <v>44834</v>
      </c>
      <c r="AK716" s="420">
        <f t="shared" si="316"/>
        <v>45199</v>
      </c>
      <c r="AL716" s="420">
        <f t="shared" si="316"/>
        <v>45565</v>
      </c>
      <c r="AM716" s="420">
        <f t="shared" si="316"/>
        <v>45930</v>
      </c>
      <c r="AN716" s="420">
        <f t="shared" si="316"/>
        <v>46295</v>
      </c>
      <c r="AO716" s="420">
        <f t="shared" si="316"/>
        <v>46660</v>
      </c>
      <c r="AP716" s="420">
        <f t="shared" si="316"/>
        <v>47026</v>
      </c>
      <c r="AQ716" s="420">
        <f t="shared" si="316"/>
        <v>47391</v>
      </c>
      <c r="AR716" s="420">
        <f t="shared" si="316"/>
        <v>47756</v>
      </c>
      <c r="AS716" s="420">
        <f t="shared" si="317"/>
        <v>48121</v>
      </c>
      <c r="AT716" s="420">
        <f t="shared" si="317"/>
        <v>48487</v>
      </c>
      <c r="AU716" s="420">
        <f t="shared" si="317"/>
        <v>48852</v>
      </c>
      <c r="AV716" s="420">
        <f t="shared" si="317"/>
        <v>49217</v>
      </c>
      <c r="AW716" s="420">
        <f t="shared" si="317"/>
        <v>49582</v>
      </c>
      <c r="AX716" s="420">
        <f t="shared" si="317"/>
        <v>49948</v>
      </c>
      <c r="AY716" s="420">
        <f t="shared" si="317"/>
        <v>50313</v>
      </c>
      <c r="AZ716" s="420"/>
    </row>
    <row r="717" spans="17:52" ht="15" hidden="1" customHeight="1">
      <c r="Q717" s="421">
        <f>IF(IF(Q716&lt;$K$27,0,DATEDIF($K$27,Q716+1,"m"))&lt;0,0,IF(Q716&lt;$K$27,0,DATEDIF($K$27,Q716+1,"m")))</f>
        <v>0</v>
      </c>
      <c r="R717" s="421">
        <f>IF(IF(Q717=12,0,IF(R716&gt;$K$28,12-DATEDIF($K$28,R716+1,"m"),IF(R716&lt;$K$27,0,DATEDIF($K$27,R716+1,"m"))))&lt;0,0,IF(Q717=12,0,IF(R716&gt;$K$28,12-DATEDIF($K$28,R716+1,"m"),IF(R716&lt;$K$27,0,DATEDIF($K$27,R716+1,"m")))))</f>
        <v>0</v>
      </c>
      <c r="S717" s="421">
        <f>IF(IF(Q717+R717=12,0,IF(S716&gt;$K$28,12-DATEDIF($K$28,S716+1,"m"),IF(S716&lt;$K$27,0,DATEDIF($K$27,S716+1,"m"))))&lt;0,0,IF(Q717+R717=12,0,IF(S716&gt;$K$28,12-DATEDIF($K$28,S716+1,"m"),IF(S716&lt;$K$27,0,DATEDIF($K$27,S716+1,"m")))))</f>
        <v>0</v>
      </c>
      <c r="T717" s="421">
        <f>IF(IF(R717+S717+Q717=12,0,IF(T716&gt;$K$28,12-DATEDIF($K$28,T716+1,"m"),IF(T716&lt;$K$27,0,DATEDIF($K$27,T716+1,"m"))))&lt;0,0,IF(R717+S717+Q717=12,0,IF(T716&gt;$K$28,12-DATEDIF($K$28,T716+1,"m"),IF(T716&lt;$K$27,0,DATEDIF($K$27,T716+1,"m")))))</f>
        <v>0</v>
      </c>
      <c r="U717" s="421">
        <f>IF(IF(S717+T717+R717+Q717=12,0,IF(U716&gt;$K$28,12-DATEDIF($K$28,U716+1,"m"),IF(U716&lt;$K$27,0,DATEDIF($K$27,U716+1,"m"))))&lt;0,0,IF(S717+T717+R717+Q717=12,0,IF(U716&gt;$K$28,12-DATEDIF($K$28,U716+1,"m"),IF(U716&lt;$K$27,0,DATEDIF($K$27,U716+1,"m")))))</f>
        <v>0</v>
      </c>
      <c r="V717" s="421">
        <f>IF(IF(T717+U717+S717+R717+Q717=12,0,IF(V716&gt;$K$28,12-DATEDIF($K$28,V716+1,"m"),IF(V716&lt;$K$27,0,DATEDIF($K$27,V716+1,"m"))))&lt;0,0,IF(T717+U717+S717+R717+Q717=12,0,IF(V716&gt;$K$28,12-DATEDIF($K$28,V716+1,"m"),IF(V716&lt;$K$27,0,DATEDIF($K$27,V716+1,"m")))))</f>
        <v>0</v>
      </c>
      <c r="W717" s="421">
        <f>IF(IF(U717+V717+T717+S717+R717+Q717=12,0,IF(W716&gt;$K$28,12-DATEDIF($K$28,W716+1,"m"),IF(W716&lt;$K$27,0,DATEDIF($K$27,W716+1,"m"))))&lt;0,0,IF(U717+V717+T717+S717+R717+Q717=12,0,IF(W716&gt;$K$28,12-DATEDIF($K$28,W716+1,"m"),IF(W716&lt;$K$27,0,DATEDIF($K$27,W716+1,"m")))))</f>
        <v>0</v>
      </c>
      <c r="X717" s="421">
        <f>IF(IF(V717+W717+U717+T717+S717+R717+Q717=12,0,IF(X716&gt;$K$28,12-DATEDIF($K$28,X716+1,"m"),IF(X716&lt;$K$27,0,DATEDIF($K$27,X716+1,"m"))))&lt;0,0,IF(V717+W717+U717+T717+S717+R717+Q717=12,0,IF(X716&gt;$K$28,12-DATEDIF($K$28,X716+1,"m"),IF(X716&lt;$K$27,0,DATEDIF($K$27,X716+1,"m")))))</f>
        <v>0</v>
      </c>
      <c r="Y717" s="421">
        <f>IF(IF(W717+X717+V717+U717+T717+S717+R717+Q717=12,0,IF(Y716&gt;$K$28,12-DATEDIF($K$28,Y716+1,"m"),IF(Y716&lt;$K$27,0,DATEDIF($K$27,Y716+1,"m"))))&lt;0,0,IF(W717+X717+V717+U717+T717+S717+R717+Q717=12,0,IF(Y716&gt;$K$28,12-DATEDIF($K$28,Y716+1,"m"),IF(Y716&lt;$K$27,0,DATEDIF($K$27,Y716+1,"m")))))</f>
        <v>0</v>
      </c>
      <c r="Z717" s="421">
        <f>IF(IF(X717+Y717+W717+V717+U717+T717+S717+R717+Q717=12,0,IF(Z716&gt;$K$28,12-DATEDIF($K$28,Z716+1,"m"),IF(Z716&lt;$K$27,0,DATEDIF($K$27,Z716+1,"m"))))&lt;0,0,IF(X717+Y717+W717+V717+U717+T717+S717+R717+Q717=12,0,IF(Z716&gt;$K$28,12-DATEDIF($K$28,Z716+1,"m"),IF(Z716&lt;$K$27,0,DATEDIF($K$27,Z716+1,"m")))))</f>
        <v>0</v>
      </c>
      <c r="AA717" s="421">
        <f>IF(IF(Q717+R717+S717+Y717+Z717+X717+W717+V717+U717+T717=12,0,IF(AA716&gt;$K$28,12-DATEDIF($K$28,AA716+1,"m"),IF(AA716&lt;$K$27,0,DATEDIF($K$27,AA716+1,"m"))))&lt;0,0,IF(Q717+R717+S717+Y717+Z717+X717+W717+V717+U717+T717=12,0,IF(AA716&gt;$K$28,12-DATEDIF($K$28,AA716+1,"m"),IF(AA716&lt;$K$27,0,DATEDIF($K$27,AA716+1,"m")))))</f>
        <v>0</v>
      </c>
      <c r="AB717" s="421">
        <f>IF(IF(Q717+R717+S717+T717+Z717+AA717+Y717+X717+W717+V717+U717=12,0,IF(AB716&gt;$K$28,12-DATEDIF($K$28,AB716+1,"m"),IF(AB716&lt;$K$27,0,DATEDIF($K$27,AB716+1,"m"))))&lt;0,0,IF(Q717+R717+S717+T717+Z717+AA717+Y717+X717+W717+V717+U717=12,0,IF(AB716&gt;$K$28,12-DATEDIF($K$28,AB716+1,"m"),IF(AB716&lt;$K$27,0,DATEDIF($K$27,AB716+1,"m")))))</f>
        <v>0</v>
      </c>
      <c r="AC717" s="421">
        <f>IF(IF(Q717+R717+S717+T717+U717+AA717+AB717+Z717+Y717+X717+W717+V717=12,0,IF(AC716&gt;$K$28,12-DATEDIF($K$28,AC716+1,"m"),IF(AC716&lt;$K$27,0,DATEDIF($K$27,AC716+1,"m"))))&lt;0,0,IF(Q717+R717+S717+T717+U717+AA717+AB717+Z717+Y717+X717+W717+V717=12,0,IF(AC716&gt;$K$28,12-DATEDIF($K$28,AC716+1,"m"),IF(AC716&lt;$K$27,0,DATEDIF($K$27,AC716+1,"m")))))</f>
        <v>0</v>
      </c>
      <c r="AD717" s="421">
        <f>IF(IF(Q717+R717+S717+T717+U717+V717+AB717+AC717+AA717+Z717+Y717+X717+W717=12,0,IF(AD716&gt;$K$28,12-DATEDIF($K$28,AD716+1,"m"),IF(AD716&lt;$K$27,0,DATEDIF($K$27,AD716+1,"m"))))&lt;0,0,IF(Q717+R717+S717+T717+U717+V717+AB717+AC717+AA717+Z717+Y717+X717+W717=12,0,IF(AD716&gt;$K$28,12-DATEDIF($K$28,AD716+1,"m"),IF(AD716&lt;$K$27,0,DATEDIF($K$27,AD716+1,"m")))))</f>
        <v>0</v>
      </c>
      <c r="AE717" s="421">
        <f>IF(IF(Q717+R717+S717+T717+U717+V717+W717+AC717+AD717+AB717+AA717+Z717+Y717+X717=12,0,IF(AE716&gt;$K$28,12-DATEDIF($K$28,AE716+1,"m"),IF(AE716&lt;$K$27,0,DATEDIF($K$27,AE716+1,"m"))))&lt;0,0,IF(Q717+R717+S717+T717+U717+V717+W717+AC717+AD717+AB717+AA717+Z717+Y717+X717=12,0,IF(AE716&gt;$K$28,12-DATEDIF($K$28,AE716+1,"m"),IF(AE716&lt;$K$27,0,DATEDIF($K$27,AE716+1,"m")))))</f>
        <v>0</v>
      </c>
      <c r="AF717" s="421">
        <f>IF(IF(Q717+R717+S717+T717+U717+V717+W717+X717+AD717+AE717+AC717+AB717+AA717+Z717+Y717=12,0,IF(AF716&gt;$K$28,12-DATEDIF($K$28,AF716+1,"m"),IF(AF716&lt;$K$27,0,DATEDIF($K$27,AF716+1,"m"))))&lt;0,0,IF(Q717+R717+S717+T717+U717+V717+W717+X717+AD717+AE717+AC717+AB717+AA717+Z717+Y717=12,0,IF(AF716&gt;$K$28,12-DATEDIF($K$28,AF716+1,"m"),IF(AF716&lt;$K$27,0,DATEDIF($K$27,AF716+1,"m")))))</f>
        <v>0</v>
      </c>
      <c r="AG717" s="421">
        <f>IF(IF(Q717+R717+S717+T717+U717+V717+W717+X717+Y717+AE717+AF717+AD717+AC717+AB717+AA717+Z717=12,0,IF(AG716&gt;$K$28,12-DATEDIF($K$28,AG716+1,"m"),IF(AG716&lt;$K$27,0,DATEDIF($K$27,AG716+1,"m"))))&lt;0,0,IF(Q717+R717+S717+T717+U717+V717+W717+X717+Y717+AE717+AF717+AD717+AC717+AB717+AA717+Z717=12,0,IF(AG716&gt;$K$28,12-DATEDIF($K$28,AG716+1,"m"),IF(AG716&lt;$K$27,0,DATEDIF($K$27,AG716+1,"m")))))</f>
        <v>0</v>
      </c>
      <c r="AH717" s="423">
        <f>SUM(Q717:AG717)</f>
        <v>0</v>
      </c>
      <c r="AI717" s="428">
        <f t="shared" si="316"/>
        <v>0</v>
      </c>
      <c r="AJ717" s="428">
        <f t="shared" si="316"/>
        <v>0</v>
      </c>
      <c r="AK717" s="428">
        <f t="shared" si="316"/>
        <v>0</v>
      </c>
      <c r="AL717" s="428">
        <f t="shared" si="316"/>
        <v>0</v>
      </c>
      <c r="AM717" s="428">
        <f t="shared" si="316"/>
        <v>0</v>
      </c>
      <c r="AN717" s="428">
        <f t="shared" si="316"/>
        <v>0</v>
      </c>
      <c r="AO717" s="428">
        <f t="shared" si="316"/>
        <v>0</v>
      </c>
      <c r="AP717" s="428">
        <f t="shared" si="316"/>
        <v>0</v>
      </c>
      <c r="AQ717" s="428">
        <f t="shared" si="316"/>
        <v>0</v>
      </c>
      <c r="AR717" s="428">
        <f t="shared" si="316"/>
        <v>0</v>
      </c>
      <c r="AS717" s="428">
        <f t="shared" si="317"/>
        <v>0</v>
      </c>
      <c r="AT717" s="428">
        <f t="shared" si="317"/>
        <v>0</v>
      </c>
      <c r="AU717" s="428">
        <f t="shared" si="317"/>
        <v>0</v>
      </c>
      <c r="AV717" s="428">
        <f t="shared" si="317"/>
        <v>0</v>
      </c>
      <c r="AW717" s="428">
        <f t="shared" si="317"/>
        <v>0</v>
      </c>
      <c r="AX717" s="428">
        <f t="shared" si="317"/>
        <v>0</v>
      </c>
      <c r="AY717" s="428">
        <f t="shared" si="317"/>
        <v>0</v>
      </c>
      <c r="AZ717" s="428">
        <f>SUM(AI717:AY717)</f>
        <v>0</v>
      </c>
    </row>
    <row r="718" spans="17:52" ht="15" hidden="1" customHeight="1">
      <c r="Q718" s="421">
        <f>IF(Q717=0,0,(IF(($B$237+$C$237+$D$237+$E$237+$F$237+$G$237+$H$237+$I$237+$J$237+$K$237)&lt;=25000,(($K$237/+$AH717)*Q717)*VLOOKUP('1. SUMMARY'!$C$20,rate,Sheet1!T$21,0),((IF(($F$237+$B$237+$C$237+$D$237+$E$237+$G$237+$H$237+$I$237+$J$237)&gt;=25000,0,(((25000-($B$237+$C$237+$D$237+$E$237+$F$237+$G$237+$H$237+$I$237+$J$237))/+$AH717)*Q717)*(VLOOKUP('1. SUMMARY'!$C$20,rate,Sheet1!T$21,0))))))))</f>
        <v>0</v>
      </c>
      <c r="R718" s="421">
        <f>IF(R717=0,0,(IF(($B$237+$C$237+$D$237+$E$237+$F$237+$G$237+$H$237+$I$237+$J$237+$K$237)&lt;=25000,(($K$237/+$AH717)*R717)*VLOOKUP('1. SUMMARY'!$C$20,rate,Sheet1!U$21,0),((IF(($F$237+$B$237+$C$237+$D$237+$E$237+$G$237+$H$237+$I$237+$J$237)&gt;=25000,0,(((25000-($B$237+$C$237+$D$237+$E$237+$F$237+$G$237+$H$237+$I$237+$J$237))/+$AH717)*R717)*(VLOOKUP('1. SUMMARY'!$C$20,rate,Sheet1!U$21,0))))))))</f>
        <v>0</v>
      </c>
      <c r="S718" s="421">
        <f>IF(S717=0,0,(IF(($B$237+$C$237+$D$237+$E$237+$F$237+$G$237+$H$237+$I$237+$J$237+$K$237)&lt;=25000,(($K$237/+$AH717)*S717)*VLOOKUP('1. SUMMARY'!$C$20,rate,Sheet1!V$21,0),((IF(($F$237+$B$237+$C$237+$D$237+$E$237+$G$237+$H$237+$I$237+$J$237)&gt;=25000,0,(((25000-($B$237+$C$237+$D$237+$E$237+$F$237+$G$237+$H$237+$I$237+$J$237))/+$AH717)*S717)*(VLOOKUP('1. SUMMARY'!$C$20,rate,Sheet1!V$21,0))))))))</f>
        <v>0</v>
      </c>
      <c r="T718" s="421">
        <f>IF(T717=0,0,(IF(($B$237+$C$237+$D$237+$E$237+$F$237+$G$237+$H$237+$I$237+$J$237+$K$237)&lt;=25000,(($K$237/+$AH717)*T717)*VLOOKUP('1. SUMMARY'!$C$20,rate,Sheet1!W$21,0),((IF(($F$237+$B$237+$C$237+$D$237+$E$237+$G$237+$H$237+$I$237+$J$237)&gt;=25000,0,(((25000-($B$237+$C$237+$D$237+$E$237+$F$237+$G$237+$H$237+$I$237+$J$237))/+$AH717)*T717)*(VLOOKUP('1. SUMMARY'!$C$20,rate,Sheet1!W$21,0))))))))</f>
        <v>0</v>
      </c>
      <c r="U718" s="421">
        <f>IF(U717=0,0,(IF(($B$237+$C$237+$D$237+$E$237+$F$237+$G$237+$H$237+$I$237+$J$237+$K$237)&lt;=25000,(($K$237/+$AH717)*U717)*VLOOKUP('1. SUMMARY'!$C$20,rate,Sheet1!X$21,0),((IF(($F$237+$B$237+$C$237+$D$237+$E$237+$G$237+$H$237+$I$237+$J$237)&gt;=25000,0,(((25000-($B$237+$C$237+$D$237+$E$237+$F$237+$G$237+$H$237+$I$237+$J$237))/+$AH717)*U717)*(VLOOKUP('1. SUMMARY'!$C$20,rate,Sheet1!X$21,0))))))))</f>
        <v>0</v>
      </c>
      <c r="V718" s="421">
        <f>IF(V717=0,0,(IF(($B$237+$C$237+$D$237+$E$237+$F$237+$G$237+$H$237+$I$237+$J$237+$K$237)&lt;=25000,(($K$237/+$AH717)*V717)*VLOOKUP('1. SUMMARY'!$C$20,rate,Sheet1!Y$21,0),((IF(($F$237+$B$237+$C$237+$D$237+$E$237+$G$237+$H$237+$I$237+$J$237)&gt;=25000,0,(((25000-($B$237+$C$237+$D$237+$E$237+$F$237+$G$237+$H$237+$I$237+$J$237))/+$AH717)*V717)*(VLOOKUP('1. SUMMARY'!$C$20,rate,Sheet1!Y$21,0))))))))</f>
        <v>0</v>
      </c>
      <c r="W718" s="421">
        <f>IF(W717=0,0,(IF(($B$237+$C$237+$D$237+$E$237+$F$237+$G$237+$H$237+$I$237+$J$237+$K$237)&lt;=25000,(($K$237/+$AH717)*W717)*VLOOKUP('1. SUMMARY'!$C$20,rate,Sheet1!Z$21,0),((IF(($F$237+$B$237+$C$237+$D$237+$E$237+$G$237+$H$237+$I$237+$J$237)&gt;=25000,0,(((25000-($B$237+$C$237+$D$237+$E$237+$F$237+$G$237+$H$237+$I$237+$J$237))/+$AH717)*W717)*(VLOOKUP('1. SUMMARY'!$C$20,rate,Sheet1!Z$21,0))))))))</f>
        <v>0</v>
      </c>
      <c r="X718" s="421">
        <f>IF(X717=0,0,(IF(($B$237+$C$237+$D$237+$E$237+$F$237+$G$237+$H$237+$I$237+$J$237+$K$237)&lt;=25000,(($K$237/+$AH717)*X717)*VLOOKUP('1. SUMMARY'!$C$20,rate,Sheet1!AA$21,0),((IF(($F$237+$B$237+$C$237+$D$237+$E$237+$G$237+$H$237+$I$237+$J$237)&gt;=25000,0,(((25000-($B$237+$C$237+$D$237+$E$237+$F$237+$G$237+$H$237+$I$237+$J$237))/+$AH717)*X717)*(VLOOKUP('1. SUMMARY'!$C$20,rate,Sheet1!AA$21,0))))))))</f>
        <v>0</v>
      </c>
      <c r="Y718" s="421">
        <f>IF(Y717=0,0,(IF(($B$237+$C$237+$D$237+$E$237+$F$237+$G$237+$H$237+$I$237+$J$237+$K$237)&lt;=25000,(($K$237/+$AH717)*Y717)*VLOOKUP('1. SUMMARY'!$C$20,rate,Sheet1!AB$21,0),((IF(($F$237+$B$237+$C$237+$D$237+$E$237+$G$237+$H$237+$I$237+$J$237)&gt;=25000,0,(((25000-($B$237+$C$237+$D$237+$E$237+$F$237+$G$237+$H$237+$I$237+$J$237))/+$AH717)*Y717)*(VLOOKUP('1. SUMMARY'!$C$20,rate,Sheet1!AB$21,0))))))))</f>
        <v>0</v>
      </c>
      <c r="Z718" s="421">
        <f>IF(Z717=0,0,(IF(($B$237+$C$237+$D$237+$E$237+$F$237+$G$237+$H$237+$I$237+$J$237+$K$237)&lt;=25000,(($K$237/+$AH717)*Z717)*VLOOKUP('1. SUMMARY'!$C$20,rate,Sheet1!AC$21,0),((IF(($F$237+$B$237+$C$237+$D$237+$E$237+$G$237+$H$237+$I$237+$J$237)&gt;=25000,0,(((25000-($B$237+$C$237+$D$237+$E$237+$F$237+$G$237+$H$237+$I$237+$J$237))/+$AH717)*Z717)*(VLOOKUP('1. SUMMARY'!$C$20,rate,Sheet1!AC$21,0))))))))</f>
        <v>0</v>
      </c>
      <c r="AA718" s="421">
        <f>IF(AA717=0,0,(IF(($B$237+$C$237+$D$237+$E$237+$F$237+$G$237+$H$237+$I$237+$J$237+$K$237)&lt;=25000,(($K$237/+$AH717)*AA717)*VLOOKUP('1. SUMMARY'!$C$20,rate,Sheet1!AD$21,0),((IF(($F$237+$B$237+$C$237+$D$237+$E$237+$G$237+$H$237+$I$237+$J$237)&gt;=25000,0,(((25000-($B$237+$C$237+$D$237+$E$237+$F$237+$G$237+$H$237+$I$237+$J$237))/+$AH717)*AA717)*(VLOOKUP('1. SUMMARY'!$C$20,rate,Sheet1!AD$21,0))))))))</f>
        <v>0</v>
      </c>
      <c r="AB718" s="421">
        <f>IF(AB717=0,0,(IF(($B$237+$C$237+$D$237+$E$237+$F$237+$G$237+$H$237+$I$237+$J$237+$K$237)&lt;=25000,(($K$237/+$AH717)*AB717)*VLOOKUP('1. SUMMARY'!$C$20,rate,Sheet1!AE$21,0),((IF(($F$237+$B$237+$C$237+$D$237+$E$237+$G$237+$H$237+$I$237+$J$237)&gt;=25000,0,(((25000-($B$237+$C$237+$D$237+$E$237+$F$237+$G$237+$H$237+$I$237+$J$237))/+$AH717)*AB717)*(VLOOKUP('1. SUMMARY'!$C$20,rate,Sheet1!AE$21,0))))))))</f>
        <v>0</v>
      </c>
      <c r="AC718" s="421">
        <f>IF(AC717=0,0,(IF(($B$237+$C$237+$D$237+$E$237+$F$237+$G$237+$H$237+$I$237+$J$237+$K$237)&lt;=25000,(($K$237/+$AH717)*AC717)*VLOOKUP('1. SUMMARY'!$C$20,rate,Sheet1!AF$21,0),((IF(($F$237+$B$237+$C$237+$D$237+$E$237+$G$237+$H$237+$I$237+$J$237)&gt;=25000,0,(((25000-($B$237+$C$237+$D$237+$E$237+$F$237+$G$237+$H$237+$I$237+$J$237))/+$AH717)*AC717)*(VLOOKUP('1. SUMMARY'!$C$20,rate,Sheet1!AF$21,0))))))))</f>
        <v>0</v>
      </c>
      <c r="AD718" s="421">
        <f>IF(AD717=0,0,(IF(($B$237+$C$237+$D$237+$E$237+$F$237+$G$237+$H$237+$I$237+$J$237+$K$237)&lt;=25000,(($K$237/+$AH717)*AD717)*VLOOKUP('1. SUMMARY'!$C$20,rate,Sheet1!AG$21,0),((IF(($F$237+$B$237+$C$237+$D$237+$E$237+$G$237+$H$237+$I$237+$J$237)&gt;=25000,0,(((25000-($B$237+$C$237+$D$237+$E$237+$F$237+$G$237+$H$237+$I$237+$J$237))/+$AH717)*AD717)*(VLOOKUP('1. SUMMARY'!$C$20,rate,Sheet1!AG$21,0))))))))</f>
        <v>0</v>
      </c>
      <c r="AE718" s="421">
        <f>IF(AE717=0,0,(IF(($B$237+$C$237+$D$237+$E$237+$F$237+$G$237+$H$237+$I$237+$J$237+$K$237)&lt;=25000,(($K$237/+$AH717)*AE717)*VLOOKUP('1. SUMMARY'!$C$20,rate,Sheet1!AH$21,0),((IF(($F$237+$B$237+$C$237+$D$237+$E$237+$G$237+$H$237+$I$237+$J$237)&gt;=25000,0,(((25000-($B$237+$C$237+$D$237+$E$237+$F$237+$G$237+$H$237+$I$237+$J$237))/+$AH717)*AE717)*(VLOOKUP('1. SUMMARY'!$C$20,rate,Sheet1!AH$21,0))))))))</f>
        <v>0</v>
      </c>
      <c r="AF718" s="421">
        <f>IF(AF717=0,0,(IF(($B$237+$C$237+$D$237+$E$237+$F$237+$G$237+$H$237+$I$237+$J$237+$K$237)&lt;=25000,(($K$237/+$AH717)*AF717)*VLOOKUP('1. SUMMARY'!$C$20,rate,Sheet1!AI$21,0),((IF(($F$237+$B$237+$C$237+$D$237+$E$237+$G$237+$H$237+$I$237+$J$237)&gt;=25000,0,(((25000-($B$237+$C$237+$D$237+$E$237+$F$237+$G$237+$H$237+$I$237+$J$237))/+$AH717)*AF717)*(VLOOKUP('1. SUMMARY'!$C$20,rate,Sheet1!AI$21,0))))))))</f>
        <v>0</v>
      </c>
      <c r="AG718" s="421">
        <f>IF(AG717=0,0,(IF(($B$237+$C$237+$D$237+$E$237+$F$237+$G$237+$H$237+$I$237+$J$237+$K$237)&lt;=25000,(($K$237/+$AH717)*AG717)*VLOOKUP('1. SUMMARY'!$C$20,rate,Sheet1!AJ$21,0),((IF(($F$237+$B$237+$C$237+$D$237+$E$237+$G$237+$H$237+$I$237+$J$237)&gt;=25000,0,(((25000-($B$237+$C$237+$D$237+$E$237+$F$237+$G$237+$H$237+$I$237+$J$237))/+$AH717)*AG717)*(VLOOKUP('1. SUMMARY'!$C$20,rate,Sheet1!AJ$21,0))))))))</f>
        <v>0</v>
      </c>
      <c r="AH718" s="219">
        <f>SUM(Q718:AG718)</f>
        <v>0</v>
      </c>
      <c r="AI718" s="421">
        <f>IF(AI717=0,0,((+$K237/$AZ717)*AI717)*VLOOKUP('1. SUMMARY'!$C$20,rate,Sheet1!T$21,0))</f>
        <v>0</v>
      </c>
      <c r="AJ718" s="421">
        <f>IF(AJ717=0,0,((+$K237/$AZ717)*AJ717)*VLOOKUP('1. SUMMARY'!$C$20,rate,Sheet1!U$21,0))</f>
        <v>0</v>
      </c>
      <c r="AK718" s="421">
        <f>IF(AK717=0,0,((+$K237/$AZ717)*AK717)*VLOOKUP('1. SUMMARY'!$C$20,rate,Sheet1!V$21,0))</f>
        <v>0</v>
      </c>
      <c r="AL718" s="421">
        <f>IF(AL717=0,0,((+$K237/$AZ717)*AL717)*VLOOKUP('1. SUMMARY'!$C$20,rate,Sheet1!W$21,0))</f>
        <v>0</v>
      </c>
      <c r="AM718" s="421">
        <f>IF(AM717=0,0,((+$K237/$AZ717)*AM717)*VLOOKUP('1. SUMMARY'!$C$20,rate,Sheet1!X$21,0))</f>
        <v>0</v>
      </c>
      <c r="AN718" s="421">
        <f>IF(AN717=0,0,((+$K237/$AZ717)*AN717)*VLOOKUP('1. SUMMARY'!$C$20,rate,Sheet1!Y$21,0))</f>
        <v>0</v>
      </c>
      <c r="AO718" s="421">
        <f>IF(AO717=0,0,((+$K237/$AZ717)*AO717)*VLOOKUP('1. SUMMARY'!$C$20,rate,Sheet1!Z$21,0))</f>
        <v>0</v>
      </c>
      <c r="AP718" s="421">
        <f>IF(AP717=0,0,((+$K237/$AZ717)*AP717)*VLOOKUP('1. SUMMARY'!$C$20,rate,Sheet1!AA$21,0))</f>
        <v>0</v>
      </c>
      <c r="AQ718" s="421">
        <f>IF(AQ717=0,0,((+$K237/$AZ717)*AQ717)*VLOOKUP('1. SUMMARY'!$C$20,rate,Sheet1!AB$21,0))</f>
        <v>0</v>
      </c>
      <c r="AR718" s="421">
        <f>IF(AR717=0,0,((+$K237/$AZ717)*AR717)*VLOOKUP('1. SUMMARY'!$C$20,rate,Sheet1!AC$21,0))</f>
        <v>0</v>
      </c>
      <c r="AS718" s="421">
        <f>IF(AS717=0,0,((+$K237/$AZ717)*AS717)*VLOOKUP('1. SUMMARY'!$C$20,rate,Sheet1!AD$21,0))</f>
        <v>0</v>
      </c>
      <c r="AT718" s="421">
        <f>IF(AT717=0,0,((+$K237/$AZ717)*AT717)*VLOOKUP('1. SUMMARY'!$C$20,rate,Sheet1!AE$21,0))</f>
        <v>0</v>
      </c>
      <c r="AU718" s="421">
        <f>IF(AU717=0,0,((+$K237/$AZ717)*AU717)*VLOOKUP('1. SUMMARY'!$C$20,rate,Sheet1!AF$21,0))</f>
        <v>0</v>
      </c>
      <c r="AV718" s="421">
        <f>IF(AV717=0,0,((+$K237/$AZ717)*AV717)*VLOOKUP('1. SUMMARY'!$C$20,rate,Sheet1!AG$21,0))</f>
        <v>0</v>
      </c>
      <c r="AW718" s="421">
        <f>IF(AW717=0,0,((+$K237/$AZ717)*AW717)*VLOOKUP('1. SUMMARY'!$C$20,rate,Sheet1!AH$21,0))</f>
        <v>0</v>
      </c>
      <c r="AX718" s="421">
        <f>IF(AX717=0,0,((+$K237/$AZ717)*AX717)*VLOOKUP('1. SUMMARY'!$C$20,rate,Sheet1!AI$21,0))</f>
        <v>0</v>
      </c>
      <c r="AY718" s="421">
        <f>IF(AY717=0,0,((+$K237/$AZ717)*AY717)*VLOOKUP('1. SUMMARY'!$C$20,rate,Sheet1!AJ$21,0))</f>
        <v>0</v>
      </c>
      <c r="AZ718" s="421">
        <f>SUM(AI718:AY718)</f>
        <v>0</v>
      </c>
    </row>
    <row r="719" spans="17:52" ht="15" hidden="1" customHeight="1">
      <c r="Q719" s="421">
        <f>+Q718/VLOOKUP('1. SUMMARY'!$C$20,rate,Sheet1!T$21,0)</f>
        <v>0</v>
      </c>
      <c r="R719" s="421">
        <f>+R718/VLOOKUP('1. SUMMARY'!$C$20,rate,Sheet1!U$21,0)</f>
        <v>0</v>
      </c>
      <c r="S719" s="421">
        <f>+S718/VLOOKUP('1. SUMMARY'!$C$20,rate,Sheet1!V$21,0)</f>
        <v>0</v>
      </c>
      <c r="T719" s="421">
        <f>+T718/VLOOKUP('1. SUMMARY'!$C$20,rate,Sheet1!W$21,0)</f>
        <v>0</v>
      </c>
      <c r="U719" s="421">
        <f>+U718/VLOOKUP('1. SUMMARY'!$C$20,rate,Sheet1!X$21,0)</f>
        <v>0</v>
      </c>
      <c r="V719" s="421">
        <f>+V718/VLOOKUP('1. SUMMARY'!$C$20,rate,Sheet1!Y$21,0)</f>
        <v>0</v>
      </c>
      <c r="W719" s="421">
        <f>+W718/VLOOKUP('1. SUMMARY'!$C$20,rate,Sheet1!Z$21,0)</f>
        <v>0</v>
      </c>
      <c r="X719" s="421">
        <f>+X718/VLOOKUP('1. SUMMARY'!$C$20,rate,Sheet1!AA$21,0)</f>
        <v>0</v>
      </c>
      <c r="Y719" s="421">
        <f>+Y718/VLOOKUP('1. SUMMARY'!$C$20,rate,Sheet1!AB$21,0)</f>
        <v>0</v>
      </c>
      <c r="Z719" s="421">
        <f>+Z718/VLOOKUP('1. SUMMARY'!$C$20,rate,Sheet1!AC$21,0)</f>
        <v>0</v>
      </c>
      <c r="AA719" s="421">
        <f>+AA718/VLOOKUP('1. SUMMARY'!$C$20,rate,Sheet1!AD$21,0)</f>
        <v>0</v>
      </c>
      <c r="AB719" s="421">
        <f>+AB718/VLOOKUP('1. SUMMARY'!$C$20,rate,Sheet1!AE$21,0)</f>
        <v>0</v>
      </c>
      <c r="AC719" s="421">
        <f>+AC718/VLOOKUP('1. SUMMARY'!$C$20,rate,Sheet1!AF$21,0)</f>
        <v>0</v>
      </c>
      <c r="AD719" s="421">
        <f>+AD718/VLOOKUP('1. SUMMARY'!$C$20,rate,Sheet1!AG$21,0)</f>
        <v>0</v>
      </c>
      <c r="AE719" s="421">
        <f>+AE718/VLOOKUP('1. SUMMARY'!$C$20,rate,Sheet1!AH$21,0)</f>
        <v>0</v>
      </c>
      <c r="AF719" s="421">
        <f>+AF718/VLOOKUP('1. SUMMARY'!$C$20,rate,Sheet1!AI$21,0)</f>
        <v>0</v>
      </c>
      <c r="AG719" s="421">
        <f>+AG718/VLOOKUP('1. SUMMARY'!$C$20,rate,Sheet1!AJ$21,0)</f>
        <v>0</v>
      </c>
      <c r="AH719" s="219"/>
      <c r="AI719" s="421"/>
      <c r="AJ719" s="421"/>
      <c r="AK719" s="421"/>
      <c r="AL719" s="421"/>
      <c r="AM719" s="421"/>
      <c r="AN719" s="421"/>
      <c r="AO719" s="421"/>
      <c r="AP719" s="421"/>
      <c r="AQ719" s="421"/>
      <c r="AR719" s="421"/>
      <c r="AS719" s="421"/>
      <c r="AT719" s="421"/>
      <c r="AU719" s="421"/>
      <c r="AV719" s="421"/>
      <c r="AW719" s="421"/>
      <c r="AX719" s="421"/>
      <c r="AY719" s="421"/>
      <c r="AZ719" s="421"/>
    </row>
    <row r="720" spans="17:52" hidden="1">
      <c r="Q720" s="396">
        <f>Sheet1!$T$8</f>
        <v>44105</v>
      </c>
      <c r="R720" s="396">
        <f>Sheet1!$U$8</f>
        <v>44470</v>
      </c>
      <c r="S720" s="396">
        <f>Sheet1!$V$8</f>
        <v>44835</v>
      </c>
      <c r="T720" s="396">
        <f>Sheet1!$W$8</f>
        <v>45200</v>
      </c>
      <c r="U720" s="396">
        <f>Sheet1!$X$8</f>
        <v>45566</v>
      </c>
      <c r="V720" s="396">
        <f>Sheet1!$Y$8</f>
        <v>45931</v>
      </c>
      <c r="W720" s="396">
        <f>Sheet1!$Z$8</f>
        <v>46296</v>
      </c>
      <c r="X720" s="396">
        <f>Sheet1!$AA$8</f>
        <v>46661</v>
      </c>
      <c r="Y720" s="396">
        <f>Sheet1!$AB$8</f>
        <v>47027</v>
      </c>
      <c r="Z720" s="396">
        <f>Sheet1!$AC$8</f>
        <v>47392</v>
      </c>
      <c r="AA720" s="396">
        <f>$AA$5</f>
        <v>47757</v>
      </c>
      <c r="AB720" s="396">
        <f>$AB$5</f>
        <v>48122</v>
      </c>
      <c r="AC720" s="396">
        <f>$AC$5</f>
        <v>48488</v>
      </c>
      <c r="AD720" s="396">
        <f>$AD$5</f>
        <v>48853</v>
      </c>
      <c r="AE720" s="396">
        <f>$AE$5</f>
        <v>49218</v>
      </c>
      <c r="AF720" s="396">
        <f>$AF$5</f>
        <v>49583</v>
      </c>
      <c r="AG720" s="396">
        <f>$AG$5</f>
        <v>49949</v>
      </c>
      <c r="AH720" s="211"/>
      <c r="AI720" s="396">
        <f t="shared" ref="AI720:AR722" si="318">+Q720</f>
        <v>44105</v>
      </c>
      <c r="AJ720" s="396">
        <f t="shared" si="318"/>
        <v>44470</v>
      </c>
      <c r="AK720" s="396">
        <f t="shared" si="318"/>
        <v>44835</v>
      </c>
      <c r="AL720" s="396">
        <f t="shared" si="318"/>
        <v>45200</v>
      </c>
      <c r="AM720" s="396">
        <f t="shared" si="318"/>
        <v>45566</v>
      </c>
      <c r="AN720" s="396">
        <f t="shared" si="318"/>
        <v>45931</v>
      </c>
      <c r="AO720" s="396">
        <f t="shared" si="318"/>
        <v>46296</v>
      </c>
      <c r="AP720" s="396">
        <f t="shared" si="318"/>
        <v>46661</v>
      </c>
      <c r="AQ720" s="396">
        <f t="shared" si="318"/>
        <v>47027</v>
      </c>
      <c r="AR720" s="396">
        <f t="shared" si="318"/>
        <v>47392</v>
      </c>
      <c r="AS720" s="396">
        <f t="shared" ref="AS720:AY722" si="319">+AA720</f>
        <v>47757</v>
      </c>
      <c r="AT720" s="396">
        <f t="shared" si="319"/>
        <v>48122</v>
      </c>
      <c r="AU720" s="396">
        <f t="shared" si="319"/>
        <v>48488</v>
      </c>
      <c r="AV720" s="396">
        <f t="shared" si="319"/>
        <v>48853</v>
      </c>
      <c r="AW720" s="396">
        <f t="shared" si="319"/>
        <v>49218</v>
      </c>
      <c r="AX720" s="396">
        <f t="shared" si="319"/>
        <v>49583</v>
      </c>
      <c r="AY720" s="396">
        <f t="shared" si="319"/>
        <v>49949</v>
      </c>
      <c r="AZ720" s="396"/>
    </row>
    <row r="721" spans="17:52" hidden="1">
      <c r="Q721" s="396">
        <f>Sheet1!$T$9</f>
        <v>44469</v>
      </c>
      <c r="R721" s="396">
        <f>Sheet1!$U$9</f>
        <v>44834</v>
      </c>
      <c r="S721" s="396">
        <f>Sheet1!$V$9</f>
        <v>45199</v>
      </c>
      <c r="T721" s="396">
        <f>Sheet1!$W$9</f>
        <v>45565</v>
      </c>
      <c r="U721" s="396">
        <f>Sheet1!$X$9</f>
        <v>45930</v>
      </c>
      <c r="V721" s="396">
        <f>Sheet1!$Y$9</f>
        <v>46295</v>
      </c>
      <c r="W721" s="396">
        <f>Sheet1!$Z$9</f>
        <v>46660</v>
      </c>
      <c r="X721" s="396">
        <f>Sheet1!$AA$9</f>
        <v>47026</v>
      </c>
      <c r="Y721" s="396">
        <f>Sheet1!$AB$9</f>
        <v>47391</v>
      </c>
      <c r="Z721" s="396">
        <f>Sheet1!$AC$9</f>
        <v>47756</v>
      </c>
      <c r="AA721" s="396">
        <f>$AA$6</f>
        <v>48121</v>
      </c>
      <c r="AB721" s="396">
        <f>$AB$6</f>
        <v>48487</v>
      </c>
      <c r="AC721" s="396">
        <f>$AC$6</f>
        <v>48852</v>
      </c>
      <c r="AD721" s="396">
        <f>$AD$6</f>
        <v>49217</v>
      </c>
      <c r="AE721" s="396">
        <f>$AE$6</f>
        <v>49582</v>
      </c>
      <c r="AF721" s="396">
        <f>$AF$6</f>
        <v>49948</v>
      </c>
      <c r="AG721" s="396">
        <f>$AG$6</f>
        <v>50313</v>
      </c>
      <c r="AH721" s="211"/>
      <c r="AI721" s="396">
        <f t="shared" si="318"/>
        <v>44469</v>
      </c>
      <c r="AJ721" s="396">
        <f t="shared" si="318"/>
        <v>44834</v>
      </c>
      <c r="AK721" s="396">
        <f t="shared" si="318"/>
        <v>45199</v>
      </c>
      <c r="AL721" s="396">
        <f t="shared" si="318"/>
        <v>45565</v>
      </c>
      <c r="AM721" s="396">
        <f t="shared" si="318"/>
        <v>45930</v>
      </c>
      <c r="AN721" s="396">
        <f t="shared" si="318"/>
        <v>46295</v>
      </c>
      <c r="AO721" s="396">
        <f t="shared" si="318"/>
        <v>46660</v>
      </c>
      <c r="AP721" s="396">
        <f t="shared" si="318"/>
        <v>47026</v>
      </c>
      <c r="AQ721" s="396">
        <f t="shared" si="318"/>
        <v>47391</v>
      </c>
      <c r="AR721" s="396">
        <f t="shared" si="318"/>
        <v>47756</v>
      </c>
      <c r="AS721" s="396">
        <f t="shared" si="319"/>
        <v>48121</v>
      </c>
      <c r="AT721" s="396">
        <f t="shared" si="319"/>
        <v>48487</v>
      </c>
      <c r="AU721" s="396">
        <f t="shared" si="319"/>
        <v>48852</v>
      </c>
      <c r="AV721" s="396">
        <f t="shared" si="319"/>
        <v>49217</v>
      </c>
      <c r="AW721" s="396">
        <f t="shared" si="319"/>
        <v>49582</v>
      </c>
      <c r="AX721" s="396">
        <f t="shared" si="319"/>
        <v>49948</v>
      </c>
      <c r="AY721" s="396">
        <f t="shared" si="319"/>
        <v>50313</v>
      </c>
      <c r="AZ721" s="396"/>
    </row>
    <row r="722" spans="17:52" hidden="1">
      <c r="Q722" s="397">
        <f>IF(IF(Q721&lt;$B$27,0,DATEDIF($B$27,Q721+1,"m"))&lt;0,0,IF(Q721&lt;$B$27,0,DATEDIF($B$27,Q721+1,"m")))</f>
        <v>1461</v>
      </c>
      <c r="R722" s="397">
        <f>IF(IF(Q722=12,0,IF(R721&gt;$B$28,12-DATEDIF($B$28,R721+1,"m"),IF(R721&lt;$B$27,0,DATEDIF($B$27,R721+1,"m"))))&lt;0,0,IF(Q722=12,0,IF(R721&gt;$B$28,12-DATEDIF($B$28,R721+1,"m"),IF(R721&lt;$B$27,0,DATEDIF($B$27,R721+1,"m")))))</f>
        <v>0</v>
      </c>
      <c r="S722" s="397">
        <f>IF(IF(Q722+R722=12,0,IF(S721&gt;$B$28,12-DATEDIF($B$28,S721+1,"m"),IF(S721&lt;$B$27,0,DATEDIF($B$27,S721+1,"m"))))&lt;0,0,IF(Q722+R722=12,0,IF(S721&gt;$B$28,12-DATEDIF($B$28,S721+1,"m"),IF(S721&lt;$B$27,0,DATEDIF($B$27,S721+1,"m")))))</f>
        <v>0</v>
      </c>
      <c r="T722" s="397">
        <f>IF(IF(R722+S722+Q722=12,0,IF(T721&gt;$B$28,12-DATEDIF($B$28,T721+1,"m"),IF(T721&lt;$B$27,0,DATEDIF($B$27,T721+1,"m"))))&lt;0,0,IF(R722+S722+Q722=12,0,IF(T721&gt;$B$28,12-DATEDIF($B$28,T721+1,"m"),IF(T721&lt;$B$27,0,DATEDIF($B$27,T721+1,"m")))))</f>
        <v>0</v>
      </c>
      <c r="U722" s="397">
        <f>IF(IF(S722+T722+R722+Q722=12,0,IF(U721&gt;$B$28,12-DATEDIF($B$28,U721+1,"m"),IF(U721&lt;$B$27,0,DATEDIF($B$27,U721+1,"m"))))&lt;0,0,IF(S722+T722+R722+Q722=12,0,IF(U721&gt;$B$28,12-DATEDIF($B$28,U721+1,"m"),IF(U721&lt;$B$27,0,DATEDIF($B$27,U721+1,"m")))))</f>
        <v>0</v>
      </c>
      <c r="V722" s="397">
        <f>IF(IF(T722+U722+S722+R722+Q722=12,0,IF(V721&gt;$B$28,12-DATEDIF($B$28,V721+1,"m"),IF(V721&lt;$B$27,0,DATEDIF($B$27,V721+1,"m"))))&lt;0,0,IF(T722+U722+S722+R722+Q722=12,0,IF(V721&gt;$B$28,12-DATEDIF($B$28,V721+1,"m"),IF(V721&lt;$B$27,0,DATEDIF($B$27,V721+1,"m")))))</f>
        <v>0</v>
      </c>
      <c r="W722" s="397">
        <f>IF(IF(U722+V722+T722+S722+R722+Q722=12,0,IF(W721&gt;$B$28,12-DATEDIF($B$28,W721+1,"m"),IF(W721&lt;$B$27,0,DATEDIF($B$27,W721+1,"m"))))&lt;0,0,IF(U722+V722+T722+S722+R722+Q722=12,0,IF(W721&gt;$B$28,12-DATEDIF($B$28,W721+1,"m"),IF(W721&lt;$B$27,0,DATEDIF($B$27,W721+1,"m")))))</f>
        <v>0</v>
      </c>
      <c r="X722" s="397">
        <f>IF(IF(V722+W722+U722+T722+S722+R722+Q722=12,0,IF(X721&gt;$B$28,12-DATEDIF($B$28,X721+1,"m"),IF(X721&lt;$B$27,0,DATEDIF($B$27,X721+1,"m"))))&lt;0,0,IF(V722+W722+U722+T722+S722+R722+Q722=12,0,IF(X721&gt;$B$28,12-DATEDIF($B$28,X721+1,"m"),IF(X721&lt;$B$27,0,DATEDIF($B$27,X721+1,"m")))))</f>
        <v>0</v>
      </c>
      <c r="Y722" s="397">
        <f>IF(IF(W722+X722+V722+U722+T722+S722+R722=12,0,IF(Y721&gt;$B$28,12-DATEDIF($B$28,Y721+1,"m"),IF(Y721&lt;$B$27,0,DATEDIF($B$27,Y721+1,"m"))))&lt;0,0,IF(W722+X722+V722+U722+T722+S722+R722=12,0,IF(Y721&gt;$B$28,12-DATEDIF($B$28,Y721+1,"m"),IF(Y721&lt;$B$27,0,DATEDIF($B$27,Y721+1,"m")))))</f>
        <v>0</v>
      </c>
      <c r="Z722" s="397">
        <f>IF(IF(X722+Y722+W722+V722+U722+T722+S722=12,0,IF(Z721&gt;$B$28,12-DATEDIF($B$28,Z721+1,"m"),IF(Z721&lt;$B$27,0,DATEDIF($B$27,Z721+1,"m"))))&lt;0,0,IF(X722+Y722+W722+V722+U722+T722+S722=12,0,IF(Z721&gt;$B$28,12-DATEDIF($B$28,Z721+1,"m"),IF(Z721&lt;$B$27,0,DATEDIF($B$27,Z721+1,"m")))))</f>
        <v>0</v>
      </c>
      <c r="AA722" s="397"/>
      <c r="AB722" s="397"/>
      <c r="AC722" s="397"/>
      <c r="AD722" s="397"/>
      <c r="AE722" s="397"/>
      <c r="AF722" s="397"/>
      <c r="AG722" s="397"/>
      <c r="AH722" s="423">
        <f>SUM(Q722:AG722)</f>
        <v>1461</v>
      </c>
      <c r="AI722" s="397">
        <f t="shared" si="318"/>
        <v>1461</v>
      </c>
      <c r="AJ722" s="397">
        <f t="shared" si="318"/>
        <v>0</v>
      </c>
      <c r="AK722" s="397">
        <f t="shared" si="318"/>
        <v>0</v>
      </c>
      <c r="AL722" s="397">
        <f t="shared" si="318"/>
        <v>0</v>
      </c>
      <c r="AM722" s="397">
        <f t="shared" si="318"/>
        <v>0</v>
      </c>
      <c r="AN722" s="397">
        <f t="shared" si="318"/>
        <v>0</v>
      </c>
      <c r="AO722" s="397">
        <f t="shared" si="318"/>
        <v>0</v>
      </c>
      <c r="AP722" s="397">
        <f t="shared" si="318"/>
        <v>0</v>
      </c>
      <c r="AQ722" s="397">
        <f t="shared" si="318"/>
        <v>0</v>
      </c>
      <c r="AR722" s="397">
        <f t="shared" si="318"/>
        <v>0</v>
      </c>
      <c r="AS722" s="397">
        <f t="shared" si="319"/>
        <v>0</v>
      </c>
      <c r="AT722" s="397">
        <f t="shared" si="319"/>
        <v>0</v>
      </c>
      <c r="AU722" s="397">
        <f t="shared" si="319"/>
        <v>0</v>
      </c>
      <c r="AV722" s="397">
        <f t="shared" si="319"/>
        <v>0</v>
      </c>
      <c r="AW722" s="397">
        <f t="shared" si="319"/>
        <v>0</v>
      </c>
      <c r="AX722" s="397">
        <f t="shared" si="319"/>
        <v>0</v>
      </c>
      <c r="AY722" s="397">
        <f t="shared" si="319"/>
        <v>0</v>
      </c>
      <c r="AZ722" s="397">
        <f>SUM(AI722:AY722)</f>
        <v>1461</v>
      </c>
    </row>
    <row r="723" spans="17:52" hidden="1">
      <c r="Q723" s="398">
        <f>IF(Q722=0,0,(IF($B$254&gt;25000,((25000/+$AH722)*Q722)*VLOOKUP('1. SUMMARY'!$C$20,rate,Sheet1!T$21,0),(($B$254/+$AH722)*Q722)*VLOOKUP('1. SUMMARY'!$C$20,rate,Sheet1!T$21,0))))</f>
        <v>0</v>
      </c>
      <c r="R723" s="398">
        <f>IF(R722=0,0,(IF($B$254&gt;25000,((25000/+$AH722)*R722)*VLOOKUP('1. SUMMARY'!$C$20,rate,Sheet1!U$21,0),(($B$254/+$AH722)*R722)*VLOOKUP('1. SUMMARY'!$C$20,rate,Sheet1!U$21,0))))</f>
        <v>0</v>
      </c>
      <c r="S723" s="398">
        <f>IF(S722=0,0,(IF($B$254&gt;25000,((25000/+$AH722)*S722)*VLOOKUP('1. SUMMARY'!$C$20,rate,Sheet1!V$21,0),(($B$254/+$AH722)*S722)*VLOOKUP('1. SUMMARY'!$C$20,rate,Sheet1!V$21,0))))</f>
        <v>0</v>
      </c>
      <c r="T723" s="398">
        <f>IF(T722=0,0,(IF($B$254&gt;25000,((25000/+$AH722)*T722)*VLOOKUP('1. SUMMARY'!$C$20,rate,Sheet1!W$21,0),(($B$254/+$AH722)*T722)*VLOOKUP('1. SUMMARY'!$C$20,rate,Sheet1!W$21,0))))</f>
        <v>0</v>
      </c>
      <c r="U723" s="398">
        <f>IF(U722=0,0,(IF($B$254&gt;25000,((25000/+$AH722)*U722)*VLOOKUP('1. SUMMARY'!$C$20,rate,Sheet1!X$21,0),(($B$254/+$AH722)*U722)*VLOOKUP('1. SUMMARY'!$C$20,rate,Sheet1!X$21,0))))</f>
        <v>0</v>
      </c>
      <c r="V723" s="398">
        <f>IF(V722=0,0,(IF($B$254&gt;25000,((25000/+$AH722)*V722)*VLOOKUP('1. SUMMARY'!$C$20,rate,Sheet1!Y$21,0),(($B$254/+$AH722)*V722)*VLOOKUP('1. SUMMARY'!$C$20,rate,Sheet1!Y$21,0))))</f>
        <v>0</v>
      </c>
      <c r="W723" s="398">
        <f>IF(W722=0,0,(IF($B$254&gt;25000,((25000/+$AH722)*W722)*VLOOKUP('1. SUMMARY'!$C$20,rate,Sheet1!Z$21,0),(($B$254/+$AH722)*W722)*VLOOKUP('1. SUMMARY'!$C$20,rate,Sheet1!Z$21,0))))</f>
        <v>0</v>
      </c>
      <c r="X723" s="398">
        <f>IF(X722=0,0,(IF($B$254&gt;25000,((25000/+$AH722)*X722)*VLOOKUP('1. SUMMARY'!$C$20,rate,Sheet1!AA$21,0),(($B$254/+$AH722)*X722)*VLOOKUP('1. SUMMARY'!$C$20,rate,Sheet1!AA$21,0))))</f>
        <v>0</v>
      </c>
      <c r="Y723" s="398">
        <f>IF(Y722=0,0,(IF($B$254&gt;25000,((25000/+$AH722)*Y722)*VLOOKUP('1. SUMMARY'!$C$20,rate,Sheet1!AB$21,0),(($B$254/+$AH722)*Y722)*VLOOKUP('1. SUMMARY'!$C$20,rate,Sheet1!AB$21,0))))</f>
        <v>0</v>
      </c>
      <c r="Z723" s="398">
        <f>IF(Z722=0,0,(IF($B$254&gt;25000,((25000/+$AH722)*Z722)*VLOOKUP('1. SUMMARY'!$C$20,rate,Sheet1!AC$21,0),(($B$254/+$AH722)*Z722)*VLOOKUP('1. SUMMARY'!$C$20,rate,Sheet1!AC$21,0))))</f>
        <v>0</v>
      </c>
      <c r="AA723" s="398">
        <f>IF(AA722=0,0,(IF($B$254&gt;25000,((25000/+$AH722)*AA722)*VLOOKUP('1. SUMMARY'!$C$20,rate,Sheet1!AD$21,0),(($B$254/+$AH722)*AA722)*VLOOKUP('1. SUMMARY'!$C$20,rate,Sheet1!AD$21,0))))</f>
        <v>0</v>
      </c>
      <c r="AB723" s="398">
        <f>IF(AB722=0,0,(IF($B$254&gt;25000,((25000/+$AH722)*AB722)*VLOOKUP('1. SUMMARY'!$C$20,rate,Sheet1!AE$21,0),(($B$254/+$AH722)*AB722)*VLOOKUP('1. SUMMARY'!$C$20,rate,Sheet1!AE$21,0))))</f>
        <v>0</v>
      </c>
      <c r="AC723" s="398">
        <f>IF(AC722=0,0,(IF($B$254&gt;25000,((25000/+$AH722)*AC722)*VLOOKUP('1. SUMMARY'!$C$20,rate,Sheet1!AF$21,0),(($B$254/+$AH722)*AC722)*VLOOKUP('1. SUMMARY'!$C$20,rate,Sheet1!AF$21,0))))</f>
        <v>0</v>
      </c>
      <c r="AD723" s="398">
        <f>IF(AD722=0,0,(IF($B$254&gt;25000,((25000/+$AH722)*AD722)*VLOOKUP('1. SUMMARY'!$C$20,rate,Sheet1!AG$21,0),(($B$254/+$AH722)*AD722)*VLOOKUP('1. SUMMARY'!$C$20,rate,Sheet1!AG$21,0))))</f>
        <v>0</v>
      </c>
      <c r="AE723" s="398">
        <f>IF(AE722=0,0,(IF($B$254&gt;25000,((25000/+$AH722)*AE722)*VLOOKUP('1. SUMMARY'!$C$20,rate,Sheet1!AH$21,0),(($B$254/+$AH722)*AE722)*VLOOKUP('1. SUMMARY'!$C$20,rate,Sheet1!AH$21,0))))</f>
        <v>0</v>
      </c>
      <c r="AF723" s="398">
        <f>IF(AF722=0,0,(IF($B$254&gt;25000,((25000/+$AH722)*AF722)*VLOOKUP('1. SUMMARY'!$C$20,rate,Sheet1!AI$21,0),(($B$254/+$AH722)*AF722)*VLOOKUP('1. SUMMARY'!$C$20,rate,Sheet1!AI$21,0))))</f>
        <v>0</v>
      </c>
      <c r="AG723" s="398">
        <f>IF(AG722=0,0,(IF($B$254&gt;25000,((25000/+$AH722)*AG722)*VLOOKUP('1. SUMMARY'!$C$20,rate,Sheet1!AJ$21,0),(($B$254/+$AH722)*AG722)*VLOOKUP('1. SUMMARY'!$C$20,rate,Sheet1!AJ$21,0))))</f>
        <v>0</v>
      </c>
      <c r="AH723" s="219">
        <f>SUM(Q723:AG723)</f>
        <v>0</v>
      </c>
      <c r="AI723" s="398">
        <f>IF(Q722=0,0,((+$B254/$AZ722)*AI722)*VLOOKUP('1. SUMMARY'!$C$20,rate,Sheet1!T$21,0))</f>
        <v>0</v>
      </c>
      <c r="AJ723" s="398">
        <f>IF(R722=0,0,((+$B254/$AZ722)*AJ722)*VLOOKUP('1. SUMMARY'!$C$20,rate,Sheet1!U$21,0))</f>
        <v>0</v>
      </c>
      <c r="AK723" s="398">
        <f>IF(S722=0,0,((+$B254/$AZ722)*AK722)*VLOOKUP('1. SUMMARY'!$C$20,rate,Sheet1!V$21,0))</f>
        <v>0</v>
      </c>
      <c r="AL723" s="398">
        <f>IF(T722=0,0,((+$B254/$AZ722)*AL722)*VLOOKUP('1. SUMMARY'!$C$20,rate,Sheet1!W$21,0))</f>
        <v>0</v>
      </c>
      <c r="AM723" s="398">
        <f>IF(U722=0,0,((+$B254/$AZ722)*AM722)*VLOOKUP('1. SUMMARY'!$C$20,rate,Sheet1!X$21,0))</f>
        <v>0</v>
      </c>
      <c r="AN723" s="398">
        <f>IF(V722=0,0,((+$B254/$AZ722)*AN722)*VLOOKUP('1. SUMMARY'!$C$20,rate,Sheet1!Y$21,0))</f>
        <v>0</v>
      </c>
      <c r="AO723" s="398">
        <f>IF(W722=0,0,((+$B254/$AZ722)*AO722)*VLOOKUP('1. SUMMARY'!$C$20,rate,Sheet1!Z$21,0))</f>
        <v>0</v>
      </c>
      <c r="AP723" s="398">
        <f>IF(X722=0,0,((+$B254/$AZ722)*AP722)*VLOOKUP('1. SUMMARY'!$C$20,rate,Sheet1!AA$21,0))</f>
        <v>0</v>
      </c>
      <c r="AQ723" s="398">
        <f>IF(Y722=0,0,((+$B254/$AZ722)*AQ722)*VLOOKUP('1. SUMMARY'!$C$20,rate,Sheet1!AB$21,0))</f>
        <v>0</v>
      </c>
      <c r="AR723" s="398">
        <f>IF(Z722=0,0,((+$B254/$AZ722)*AR722)*VLOOKUP('1. SUMMARY'!$C$20,rate,Sheet1!AC$21,0))</f>
        <v>0</v>
      </c>
      <c r="AS723" s="398">
        <f>IF(AA722=0,0,((+$B254/$AZ722)*AS722)*VLOOKUP('1. SUMMARY'!$C$20,rate,Sheet1!AD$21,0))</f>
        <v>0</v>
      </c>
      <c r="AT723" s="398">
        <f>IF(AB722=0,0,((+$B254/$AZ722)*AT722)*VLOOKUP('1. SUMMARY'!$C$20,rate,Sheet1!AE$21,0))</f>
        <v>0</v>
      </c>
      <c r="AU723" s="398">
        <f>IF(AC722=0,0,((+$B254/$AZ722)*AU722)*VLOOKUP('1. SUMMARY'!$C$20,rate,Sheet1!AF$21,0))</f>
        <v>0</v>
      </c>
      <c r="AV723" s="398">
        <f>IF(AD722=0,0,((+$B254/$AZ722)*AV722)*VLOOKUP('1. SUMMARY'!$C$20,rate,Sheet1!AG$21,0))</f>
        <v>0</v>
      </c>
      <c r="AW723" s="398">
        <f>IF(AE722=0,0,((+$B254/$AZ722)*AW722)*VLOOKUP('1. SUMMARY'!$C$20,rate,Sheet1!AH$21,0))</f>
        <v>0</v>
      </c>
      <c r="AX723" s="398">
        <f>IF(AF722=0,0,((+$B254/$AZ722)*AX722)*VLOOKUP('1. SUMMARY'!$C$20,rate,Sheet1!AI$21,0))</f>
        <v>0</v>
      </c>
      <c r="AY723" s="398">
        <f>IF(AG722=0,0,((+$B254/$AZ722)*AY722)*VLOOKUP('1. SUMMARY'!$C$20,rate,Sheet1!AJ$21,0))</f>
        <v>0</v>
      </c>
      <c r="AZ723" s="398">
        <f>SUM(AI723:AY723)</f>
        <v>0</v>
      </c>
    </row>
    <row r="724" spans="17:52" hidden="1">
      <c r="Q724" s="398">
        <f>+Q723/VLOOKUP('1. SUMMARY'!$C$20,rate,Sheet1!T$21,0)</f>
        <v>0</v>
      </c>
      <c r="R724" s="398">
        <f>+R723/VLOOKUP('1. SUMMARY'!$C$20,rate,Sheet1!U$21,0)</f>
        <v>0</v>
      </c>
      <c r="S724" s="398">
        <f>+S723/VLOOKUP('1. SUMMARY'!$C$20,rate,Sheet1!V$21,0)</f>
        <v>0</v>
      </c>
      <c r="T724" s="398">
        <f>+T723/VLOOKUP('1. SUMMARY'!$C$20,rate,Sheet1!W$21,0)</f>
        <v>0</v>
      </c>
      <c r="U724" s="398">
        <f>+U723/VLOOKUP('1. SUMMARY'!$C$20,rate,Sheet1!X$21,0)</f>
        <v>0</v>
      </c>
      <c r="V724" s="398">
        <f>+V723/VLOOKUP('1. SUMMARY'!$C$20,rate,Sheet1!Y$21,0)</f>
        <v>0</v>
      </c>
      <c r="W724" s="398">
        <f>+W723/VLOOKUP('1. SUMMARY'!$C$20,rate,Sheet1!Z$21,0)</f>
        <v>0</v>
      </c>
      <c r="X724" s="398">
        <f>+X723/VLOOKUP('1. SUMMARY'!$C$20,rate,Sheet1!AA$21,0)</f>
        <v>0</v>
      </c>
      <c r="Y724" s="398">
        <f>+Y723/VLOOKUP('1. SUMMARY'!$C$20,rate,Sheet1!AB$21,0)</f>
        <v>0</v>
      </c>
      <c r="Z724" s="398">
        <f>+Z723/VLOOKUP('1. SUMMARY'!$C$20,rate,Sheet1!AC$21,0)</f>
        <v>0</v>
      </c>
      <c r="AA724" s="398">
        <f>+AA723/VLOOKUP('1. SUMMARY'!$C$20,rate,Sheet1!AD$21,0)</f>
        <v>0</v>
      </c>
      <c r="AB724" s="398">
        <f>+AB723/VLOOKUP('1. SUMMARY'!$C$20,rate,Sheet1!AE$21,0)</f>
        <v>0</v>
      </c>
      <c r="AC724" s="398">
        <f>+AC723/VLOOKUP('1. SUMMARY'!$C$20,rate,Sheet1!AF$21,0)</f>
        <v>0</v>
      </c>
      <c r="AD724" s="398">
        <f>+AD723/VLOOKUP('1. SUMMARY'!$C$20,rate,Sheet1!AG$21,0)</f>
        <v>0</v>
      </c>
      <c r="AE724" s="398">
        <f>+AE723/VLOOKUP('1. SUMMARY'!$C$20,rate,Sheet1!AH$21,0)</f>
        <v>0</v>
      </c>
      <c r="AF724" s="398">
        <f>+AF723/VLOOKUP('1. SUMMARY'!$C$20,rate,Sheet1!AI$21,0)</f>
        <v>0</v>
      </c>
      <c r="AG724" s="398">
        <f>+AG723/VLOOKUP('1. SUMMARY'!$C$20,rate,Sheet1!AJ$21,0)</f>
        <v>0</v>
      </c>
      <c r="AH724" s="219"/>
      <c r="AI724" s="398">
        <v>0</v>
      </c>
      <c r="AJ724" s="398">
        <v>0</v>
      </c>
      <c r="AK724" s="398">
        <v>0</v>
      </c>
      <c r="AL724" s="398">
        <v>0</v>
      </c>
      <c r="AM724" s="398">
        <v>0</v>
      </c>
      <c r="AN724" s="398">
        <v>0</v>
      </c>
      <c r="AO724" s="398">
        <v>0</v>
      </c>
      <c r="AP724" s="398">
        <v>0</v>
      </c>
      <c r="AQ724" s="398"/>
      <c r="AR724" s="398"/>
      <c r="AS724" s="398"/>
      <c r="AT724" s="398"/>
      <c r="AU724" s="398"/>
      <c r="AV724" s="398"/>
      <c r="AW724" s="398"/>
      <c r="AX724" s="398"/>
      <c r="AY724" s="398"/>
      <c r="AZ724" s="398"/>
    </row>
    <row r="725" spans="17:52" hidden="1">
      <c r="Q725" s="402">
        <f>Sheet1!$T$8</f>
        <v>44105</v>
      </c>
      <c r="R725" s="402">
        <f>Sheet1!$U$8</f>
        <v>44470</v>
      </c>
      <c r="S725" s="402">
        <f>Sheet1!$V$8</f>
        <v>44835</v>
      </c>
      <c r="T725" s="402">
        <f>Sheet1!$W$8</f>
        <v>45200</v>
      </c>
      <c r="U725" s="402">
        <f>Sheet1!$X$8</f>
        <v>45566</v>
      </c>
      <c r="V725" s="402">
        <f>Sheet1!$Y$8</f>
        <v>45931</v>
      </c>
      <c r="W725" s="402">
        <f>Sheet1!$Z$8</f>
        <v>46296</v>
      </c>
      <c r="X725" s="402">
        <f>Sheet1!$AA$8</f>
        <v>46661</v>
      </c>
      <c r="Y725" s="402">
        <f>Sheet1!$AB$8</f>
        <v>47027</v>
      </c>
      <c r="Z725" s="402">
        <f>Sheet1!$AC$8</f>
        <v>47392</v>
      </c>
      <c r="AA725" s="402">
        <f>$AA$5</f>
        <v>47757</v>
      </c>
      <c r="AB725" s="402">
        <f>$AB$5</f>
        <v>48122</v>
      </c>
      <c r="AC725" s="402">
        <f>$AC$5</f>
        <v>48488</v>
      </c>
      <c r="AD725" s="402">
        <f>$AD$5</f>
        <v>48853</v>
      </c>
      <c r="AE725" s="402">
        <f>$AE$5</f>
        <v>49218</v>
      </c>
      <c r="AF725" s="402">
        <f>$AF$5</f>
        <v>49583</v>
      </c>
      <c r="AG725" s="402">
        <f>$AG$5</f>
        <v>49949</v>
      </c>
      <c r="AH725" s="211"/>
      <c r="AI725" s="402">
        <f t="shared" ref="AI725:AR727" si="320">+Q725</f>
        <v>44105</v>
      </c>
      <c r="AJ725" s="402">
        <f t="shared" si="320"/>
        <v>44470</v>
      </c>
      <c r="AK725" s="402">
        <f t="shared" si="320"/>
        <v>44835</v>
      </c>
      <c r="AL725" s="402">
        <f t="shared" si="320"/>
        <v>45200</v>
      </c>
      <c r="AM725" s="402">
        <f t="shared" si="320"/>
        <v>45566</v>
      </c>
      <c r="AN725" s="402">
        <f t="shared" si="320"/>
        <v>45931</v>
      </c>
      <c r="AO725" s="402">
        <f t="shared" si="320"/>
        <v>46296</v>
      </c>
      <c r="AP725" s="402">
        <f t="shared" si="320"/>
        <v>46661</v>
      </c>
      <c r="AQ725" s="402">
        <f t="shared" si="320"/>
        <v>47027</v>
      </c>
      <c r="AR725" s="402">
        <f t="shared" si="320"/>
        <v>47392</v>
      </c>
      <c r="AS725" s="402">
        <f t="shared" ref="AS725:AY727" si="321">+AA725</f>
        <v>47757</v>
      </c>
      <c r="AT725" s="402">
        <f t="shared" si="321"/>
        <v>48122</v>
      </c>
      <c r="AU725" s="402">
        <f t="shared" si="321"/>
        <v>48488</v>
      </c>
      <c r="AV725" s="402">
        <f t="shared" si="321"/>
        <v>48853</v>
      </c>
      <c r="AW725" s="402">
        <f t="shared" si="321"/>
        <v>49218</v>
      </c>
      <c r="AX725" s="402">
        <f t="shared" si="321"/>
        <v>49583</v>
      </c>
      <c r="AY725" s="402">
        <f t="shared" si="321"/>
        <v>49949</v>
      </c>
      <c r="AZ725" s="402"/>
    </row>
    <row r="726" spans="17:52" hidden="1">
      <c r="Q726" s="402">
        <f>Sheet1!$T$9</f>
        <v>44469</v>
      </c>
      <c r="R726" s="402">
        <f>Sheet1!$U$9</f>
        <v>44834</v>
      </c>
      <c r="S726" s="402">
        <f>Sheet1!$V$9</f>
        <v>45199</v>
      </c>
      <c r="T726" s="402">
        <f>Sheet1!$W$9</f>
        <v>45565</v>
      </c>
      <c r="U726" s="402">
        <f>Sheet1!$X$9</f>
        <v>45930</v>
      </c>
      <c r="V726" s="402">
        <f>Sheet1!$Y$9</f>
        <v>46295</v>
      </c>
      <c r="W726" s="402">
        <f>Sheet1!$Z$9</f>
        <v>46660</v>
      </c>
      <c r="X726" s="402">
        <f>Sheet1!$AA$9</f>
        <v>47026</v>
      </c>
      <c r="Y726" s="402">
        <f>Sheet1!$AB$9</f>
        <v>47391</v>
      </c>
      <c r="Z726" s="402">
        <f>Sheet1!$AC$9</f>
        <v>47756</v>
      </c>
      <c r="AA726" s="402">
        <f>$AA$6</f>
        <v>48121</v>
      </c>
      <c r="AB726" s="402">
        <f>$AB$6</f>
        <v>48487</v>
      </c>
      <c r="AC726" s="402">
        <f>$AC$6</f>
        <v>48852</v>
      </c>
      <c r="AD726" s="402">
        <f>$AD$6</f>
        <v>49217</v>
      </c>
      <c r="AE726" s="402">
        <f>$AE$6</f>
        <v>49582</v>
      </c>
      <c r="AF726" s="402">
        <f>$AF$6</f>
        <v>49948</v>
      </c>
      <c r="AG726" s="402">
        <f>$AG$6</f>
        <v>50313</v>
      </c>
      <c r="AH726" s="211"/>
      <c r="AI726" s="402">
        <f t="shared" si="320"/>
        <v>44469</v>
      </c>
      <c r="AJ726" s="402">
        <f t="shared" si="320"/>
        <v>44834</v>
      </c>
      <c r="AK726" s="402">
        <f t="shared" si="320"/>
        <v>45199</v>
      </c>
      <c r="AL726" s="402">
        <f t="shared" si="320"/>
        <v>45565</v>
      </c>
      <c r="AM726" s="402">
        <f t="shared" si="320"/>
        <v>45930</v>
      </c>
      <c r="AN726" s="402">
        <f t="shared" si="320"/>
        <v>46295</v>
      </c>
      <c r="AO726" s="402">
        <f t="shared" si="320"/>
        <v>46660</v>
      </c>
      <c r="AP726" s="402">
        <f t="shared" si="320"/>
        <v>47026</v>
      </c>
      <c r="AQ726" s="402">
        <f t="shared" si="320"/>
        <v>47391</v>
      </c>
      <c r="AR726" s="402">
        <f t="shared" si="320"/>
        <v>47756</v>
      </c>
      <c r="AS726" s="402">
        <f t="shared" si="321"/>
        <v>48121</v>
      </c>
      <c r="AT726" s="402">
        <f t="shared" si="321"/>
        <v>48487</v>
      </c>
      <c r="AU726" s="402">
        <f t="shared" si="321"/>
        <v>48852</v>
      </c>
      <c r="AV726" s="402">
        <f t="shared" si="321"/>
        <v>49217</v>
      </c>
      <c r="AW726" s="402">
        <f t="shared" si="321"/>
        <v>49582</v>
      </c>
      <c r="AX726" s="402">
        <f t="shared" si="321"/>
        <v>49948</v>
      </c>
      <c r="AY726" s="402">
        <f t="shared" si="321"/>
        <v>50313</v>
      </c>
      <c r="AZ726" s="402"/>
    </row>
    <row r="727" spans="17:52" hidden="1">
      <c r="Q727" s="403">
        <f>IF(IF(Q726&lt;$C$27,0,DATEDIF($C$27,Q726+1,"m"))&lt;0,0,IF(Q726&lt;$C$27,0,DATEDIF($C$27,Q726+1,"m")))</f>
        <v>0</v>
      </c>
      <c r="R727" s="403">
        <f>IF(IF(Q727=12,0,IF(R726&gt;$C$28,12-DATEDIF($C$28,R726+1,"m"),IF(R726&lt;$C$27,0,DATEDIF($C$27,R726+1,"m"))))&lt;0,0,IF(Q727=12,0,IF(R726&gt;$C$28,12-DATEDIF($C$28,R726+1,"m"),IF(R726&lt;$C$27,0,DATEDIF($C$27,R726+1,"m")))))</f>
        <v>0</v>
      </c>
      <c r="S727" s="403">
        <f>IF(IF(Q727+R727=12,0,IF(S726&gt;$C$28,12-DATEDIF($C$28,S726+1,"m"),IF(S726&lt;$C$27,0,DATEDIF($C$27,S726+1,"m"))))&lt;0,0,IF(Q727+R727=12,0,IF(S726&gt;$C$28,12-DATEDIF($C$28,S726+1,"m"),IF(S726&lt;$C$27,0,DATEDIF($C$27,S726+1,"m")))))</f>
        <v>0</v>
      </c>
      <c r="T727" s="403">
        <f>IF(IF(R727+S727+Q727=12,0,IF(T726&gt;$C$28,12-DATEDIF($C$28,T726+1,"m"),IF(T726&lt;$C$27,0,DATEDIF($C$27,T726+1,"m"))))&lt;0,0,IF(R727+S727+Q727=12,0,IF(T726&gt;$C$28,12-DATEDIF($C$28,T726+1,"m"),IF(T726&lt;$C$27,0,DATEDIF($C$27,T726+1,"m")))))</f>
        <v>0</v>
      </c>
      <c r="U727" s="403">
        <f>IF(IF(S727+T727+R727+Q727=12,0,IF(U726&gt;$C$28,12-DATEDIF($C$28,U726+1,"m"),IF(U726&lt;$C$27,0,DATEDIF($C$27,U726+1,"m"))))&lt;0,0,IF(S727+T727+R727+Q727=12,0,IF(U726&gt;$C$28,12-DATEDIF($C$28,U726+1,"m"),IF(U726&lt;$C$27,0,DATEDIF($C$27,U726+1,"m")))))</f>
        <v>0</v>
      </c>
      <c r="V727" s="403">
        <f>IF(IF(T727+U727+S727+R727+Q727=12,0,IF(V726&gt;$C$28,12-DATEDIF($C$28,V726+1,"m"),IF(V726&lt;$C$27,0,DATEDIF($C$27,V726+1,"m"))))&lt;0,0,IF(T727+U727+S727+R727+Q727=12,0,IF(V726&gt;$C$28,12-DATEDIF($C$28,V726+1,"m"),IF(V726&lt;$C$27,0,DATEDIF($C$27,V726+1,"m")))))</f>
        <v>0</v>
      </c>
      <c r="W727" s="403">
        <f>IF(IF(U727+V727+T727+S727+R727+Q727=12,0,IF(W726&gt;$C$28,12-DATEDIF($C$28,W726+1,"m"),IF(W726&lt;$C$27,0,DATEDIF($C$27,W726+1,"m"))))&lt;0,0,IF(U727+V727+T727+S727+R727+Q727=12,0,IF(W726&gt;$C$28,12-DATEDIF($C$28,W726+1,"m"),IF(W726&lt;$C$27,0,DATEDIF($C$27,W726+1,"m")))))</f>
        <v>0</v>
      </c>
      <c r="X727" s="403">
        <f>IF(IF(V727+W727+U727+T727+S727+R727+Q727=12,0,IF(X726&gt;$C$28,12-DATEDIF($C$28,X726+1,"m"),IF(X726&lt;$C$27,0,DATEDIF($C$27,X726+1,"m"))))&lt;0,0,IF(V727+W727+U727+T727+S727+R727+Q727=12,0,IF(X726&gt;$C$28,12-DATEDIF($C$28,X726+1,"m"),IF(X726&lt;$C$27,0,DATEDIF($C$27,X726+1,"m")))))</f>
        <v>0</v>
      </c>
      <c r="Y727" s="403">
        <f>IF(IF(Q727+W727+X727+V727+U727+T727+S727+R727=12,0,IF(Y726&gt;$C$28,12-DATEDIF($C$28,Y726+1,"m"),IF(Y726&lt;$C$27,0,DATEDIF($C$27,Y726+1,"m"))))&lt;0,0,IF(Q727+W727+X727+V727+U727+T727+S727+R727=12,0,IF(Y726&gt;$C$28,12-DATEDIF($C$28,Y726+1,"m"),IF(Y726&lt;$C$27,0,DATEDIF($C$27,Y726+1,"m")))))</f>
        <v>0</v>
      </c>
      <c r="Z727" s="403">
        <f>IF(IF(Q727+R727+X727+Y727+W727+V727+U727+T727+S727=12,0,IF(Z726&gt;$C$28,12-DATEDIF($C$28,Z726+1,"m"),IF(Z726&lt;$C$27,0,DATEDIF($C$27,Z726+1,"m"))))&lt;0,0,IF(+Q727+R727+X727+Y727+W727+V727+U727+T727+S727=12,0,IF(Z726&gt;$C$28,12-DATEDIF($C$28,Z726+1,"m"),IF(Z726&lt;$C$27,0,DATEDIF($C$27,Z726+1,"m")))))</f>
        <v>0</v>
      </c>
      <c r="AA727" s="403"/>
      <c r="AB727" s="403"/>
      <c r="AC727" s="403"/>
      <c r="AD727" s="403"/>
      <c r="AE727" s="403"/>
      <c r="AF727" s="403"/>
      <c r="AG727" s="403"/>
      <c r="AH727" s="423">
        <f>SUM(Q727:AG727)</f>
        <v>0</v>
      </c>
      <c r="AI727" s="403">
        <f t="shared" si="320"/>
        <v>0</v>
      </c>
      <c r="AJ727" s="403">
        <f t="shared" si="320"/>
        <v>0</v>
      </c>
      <c r="AK727" s="403">
        <f t="shared" si="320"/>
        <v>0</v>
      </c>
      <c r="AL727" s="403">
        <f t="shared" si="320"/>
        <v>0</v>
      </c>
      <c r="AM727" s="403">
        <f t="shared" si="320"/>
        <v>0</v>
      </c>
      <c r="AN727" s="403">
        <f t="shared" si="320"/>
        <v>0</v>
      </c>
      <c r="AO727" s="403">
        <f t="shared" si="320"/>
        <v>0</v>
      </c>
      <c r="AP727" s="403">
        <f t="shared" si="320"/>
        <v>0</v>
      </c>
      <c r="AQ727" s="403">
        <f t="shared" si="320"/>
        <v>0</v>
      </c>
      <c r="AR727" s="403">
        <f t="shared" si="320"/>
        <v>0</v>
      </c>
      <c r="AS727" s="403">
        <f t="shared" si="321"/>
        <v>0</v>
      </c>
      <c r="AT727" s="403">
        <f t="shared" si="321"/>
        <v>0</v>
      </c>
      <c r="AU727" s="403">
        <f t="shared" si="321"/>
        <v>0</v>
      </c>
      <c r="AV727" s="403">
        <f t="shared" si="321"/>
        <v>0</v>
      </c>
      <c r="AW727" s="403">
        <f t="shared" si="321"/>
        <v>0</v>
      </c>
      <c r="AX727" s="403">
        <f t="shared" si="321"/>
        <v>0</v>
      </c>
      <c r="AY727" s="403">
        <f t="shared" si="321"/>
        <v>0</v>
      </c>
      <c r="AZ727" s="403">
        <f>SUM(AI727:AY727)</f>
        <v>0</v>
      </c>
    </row>
    <row r="728" spans="17:52" hidden="1">
      <c r="Q728" s="404">
        <f>IF(Q727=0,0,(IF(($C$254+$B$254)&lt;=25000,(($C$254/+$AH727)*Q727)*VLOOKUP('1. SUMMARY'!$C$20,rate,Sheet1!T$21,0),((IF($B$254&gt;=25000,0,((25000-$B$254)/+$AH727)*Q727)*VLOOKUP('1. SUMMARY'!$C$20,rate,Sheet1!T$21,0))))))</f>
        <v>0</v>
      </c>
      <c r="R728" s="404">
        <f>IF(R727=0,0,(IF(($C$254+$B$254)&lt;=25000,(($C$254/+$AH727)*R727)*VLOOKUP('1. SUMMARY'!$C$20,rate,Sheet1!U$21,0),((IF($B$254&gt;=25000,0,((25000-$B$254)/+$AH727)*R727)*VLOOKUP('1. SUMMARY'!$C$20,rate,Sheet1!U$21,0))))))</f>
        <v>0</v>
      </c>
      <c r="S728" s="404">
        <f>IF(S727=0,0,(IF(($C$254+$B$254)&lt;=25000,(($C$254/+$AH727)*S727)*VLOOKUP('1. SUMMARY'!$C$20,rate,Sheet1!V$21,0),((IF($B$254&gt;=25000,0,((25000-$B$254)/+$AH727)*S727)*VLOOKUP('1. SUMMARY'!$C$20,rate,Sheet1!V$21,0))))))</f>
        <v>0</v>
      </c>
      <c r="T728" s="404">
        <f>IF(T727=0,0,(IF(($C$254+$B$254)&lt;=25000,(($C$254/+$AH727)*T727)*VLOOKUP('1. SUMMARY'!$C$20,rate,Sheet1!W$21,0),((IF($B$254&gt;=25000,0,((25000-$B$254)/+$AH727)*T727)*VLOOKUP('1. SUMMARY'!$C$20,rate,Sheet1!W$21,0))))))</f>
        <v>0</v>
      </c>
      <c r="U728" s="404">
        <f>IF(U727=0,0,(IF(($C$254+$B$254)&lt;=25000,(($C$254/+$AH727)*U727)*VLOOKUP('1. SUMMARY'!$C$20,rate,Sheet1!X$21,0),((IF($B$254&gt;=25000,0,((25000-$B$254)/+$AH727)*U727)*VLOOKUP('1. SUMMARY'!$C$20,rate,Sheet1!X$21,0))))))</f>
        <v>0</v>
      </c>
      <c r="V728" s="404">
        <f>IF(V727=0,0,(IF(($C$254+$B$254)&lt;=25000,(($C$254/+$AH727)*V727)*VLOOKUP('1. SUMMARY'!$C$20,rate,Sheet1!Y$21,0),((IF($B$254&gt;=25000,0,((25000-$B$254)/+$AH727)*V727)*VLOOKUP('1. SUMMARY'!$C$20,rate,Sheet1!Y$21,0))))))</f>
        <v>0</v>
      </c>
      <c r="W728" s="404">
        <f>IF(W727=0,0,(IF(($C$254+$B$254)&lt;=25000,(($C$254/+$AH727)*W727)*VLOOKUP('1. SUMMARY'!$C$20,rate,Sheet1!Z$21,0),((IF($B$254&gt;=25000,0,((25000-$B$254)/+$AH727)*W727)*VLOOKUP('1. SUMMARY'!$C$20,rate,Sheet1!Z$21,0))))))</f>
        <v>0</v>
      </c>
      <c r="X728" s="404">
        <f>IF(X727=0,0,(IF(($C$254+$B$254)&lt;=25000,(($C$254/+$AH727)*X727)*VLOOKUP('1. SUMMARY'!$C$20,rate,Sheet1!AA$21,0),((IF($B$254&gt;=25000,0,((25000-$B$254)/+$AH727)*X727)*VLOOKUP('1. SUMMARY'!$C$20,rate,Sheet1!AA$21,0))))))</f>
        <v>0</v>
      </c>
      <c r="Y728" s="404">
        <f>IF(Y727=0,0,(IF(($C$254+$B$254)&lt;=25000,(($C$254/+$AH727)*Y727)*VLOOKUP('1. SUMMARY'!$C$20,rate,Sheet1!AB$21,0),((IF($B$254&gt;=25000,0,((25000-$B$254)/+$AH727)*Y727)*VLOOKUP('1. SUMMARY'!$C$20,rate,Sheet1!AB$21,0))))))</f>
        <v>0</v>
      </c>
      <c r="Z728" s="404">
        <f>IF(Z727=0,0,(IF(($C$254+$B$254)&lt;=25000,(($C$254/+$AH727)*Z727)*VLOOKUP('1. SUMMARY'!$C$20,rate,Sheet1!AC$21,0),((IF($B$254&gt;=25000,0,((25000-$B$254)/+$AH727)*Z727)*VLOOKUP('1. SUMMARY'!$C$20,rate,Sheet1!AC$21,0))))))</f>
        <v>0</v>
      </c>
      <c r="AA728" s="404">
        <f>IF(AA727=0,0,(IF(($C$254+$B$254)&lt;=25000,(($C$254/+$AH727)*AA727)*VLOOKUP('1. SUMMARY'!$C$20,rate,Sheet1!AD$21,0),((IF($B$254&gt;=25000,0,((25000-$B$254)/+$AH727)*AA727)*VLOOKUP('1. SUMMARY'!$C$20,rate,Sheet1!AD$21,0))))))</f>
        <v>0</v>
      </c>
      <c r="AB728" s="404">
        <f>IF(AB727=0,0,(IF(($C$254+$B$254)&lt;=25000,(($C$254/+$AH727)*AB727)*VLOOKUP('1. SUMMARY'!$C$20,rate,Sheet1!AE$21,0),((IF($B$254&gt;=25000,0,((25000-$B$254)/+$AH727)*AB727)*VLOOKUP('1. SUMMARY'!$C$20,rate,Sheet1!AE$21,0))))))</f>
        <v>0</v>
      </c>
      <c r="AC728" s="404">
        <f>IF(AC727=0,0,(IF(($C$254+$B$254)&lt;=25000,(($C$254/+$AH727)*AC727)*VLOOKUP('1. SUMMARY'!$C$20,rate,Sheet1!AF$21,0),((IF($B$254&gt;=25000,0,((25000-$B$254)/+$AH727)*AC727)*VLOOKUP('1. SUMMARY'!$C$20,rate,Sheet1!AF$21,0))))))</f>
        <v>0</v>
      </c>
      <c r="AD728" s="404">
        <f>IF(AD727=0,0,(IF(($C$254+$B$254)&lt;=25000,(($C$254/+$AH727)*AD727)*VLOOKUP('1. SUMMARY'!$C$20,rate,Sheet1!AG$21,0),((IF($B$254&gt;=25000,0,((25000-$B$254)/+$AH727)*AD727)*VLOOKUP('1. SUMMARY'!$C$20,rate,Sheet1!AG$21,0))))))</f>
        <v>0</v>
      </c>
      <c r="AE728" s="404">
        <f>IF(AE727=0,0,(IF(($C$254+$B$254)&lt;=25000,(($C$254/+$AH727)*AE727)*VLOOKUP('1. SUMMARY'!$C$20,rate,Sheet1!AH$21,0),((IF($B$254&gt;=25000,0,((25000-$B$254)/+$AH727)*AE727)*VLOOKUP('1. SUMMARY'!$C$20,rate,Sheet1!AH$21,0))))))</f>
        <v>0</v>
      </c>
      <c r="AF728" s="404">
        <f>IF(AF727=0,0,(IF(($C$254+$B$254)&lt;=25000,(($C$254/+$AH727)*AF727)*VLOOKUP('1. SUMMARY'!$C$20,rate,Sheet1!AI$21,0),((IF($B$254&gt;=25000,0,((25000-$B$254)/+$AH727)*AF727)*VLOOKUP('1. SUMMARY'!$C$20,rate,Sheet1!AI$21,0))))))</f>
        <v>0</v>
      </c>
      <c r="AG728" s="404">
        <f>IF(AG727=0,0,(IF(($C$254+$B$254)&lt;=25000,(($C$254/+$AH727)*AG727)*VLOOKUP('1. SUMMARY'!$C$20,rate,Sheet1!AJ$21,0),((IF($B$254&gt;=25000,0,((25000-$B$254)/+$AH727)*AG727)*VLOOKUP('1. SUMMARY'!$C$20,rate,Sheet1!AJ$21,0))))))</f>
        <v>0</v>
      </c>
      <c r="AH728" s="219">
        <f>SUM(Q728:AG728)</f>
        <v>0</v>
      </c>
      <c r="AI728" s="404">
        <f>IF(AI727=0,0,((+$C254/$AZ727)*AI727)*VLOOKUP('1. SUMMARY'!$C$20,rate,Sheet1!T$21,0))</f>
        <v>0</v>
      </c>
      <c r="AJ728" s="404">
        <f>IF(AJ727=0,0,((+$C254/$AZ727)*AJ727)*VLOOKUP('1. SUMMARY'!$C$20,rate,Sheet1!U$21,0))</f>
        <v>0</v>
      </c>
      <c r="AK728" s="404">
        <f>IF(AK727=0,0,((+$C254/$AZ727)*AK727)*VLOOKUP('1. SUMMARY'!$C$20,rate,Sheet1!V$21,0))</f>
        <v>0</v>
      </c>
      <c r="AL728" s="404">
        <f>IF(AL727=0,0,((+$C254/$AZ727)*AL727)*VLOOKUP('1. SUMMARY'!$C$20,rate,Sheet1!W$21,0))</f>
        <v>0</v>
      </c>
      <c r="AM728" s="404">
        <f>IF(AM727=0,0,((+$C254/$AZ727)*AM727)*VLOOKUP('1. SUMMARY'!$C$20,rate,Sheet1!X$21,0))</f>
        <v>0</v>
      </c>
      <c r="AN728" s="404">
        <f>IF(AN727=0,0,((+$C254/$AZ727)*AN727)*VLOOKUP('1. SUMMARY'!$C$20,rate,Sheet1!Y$21,0))</f>
        <v>0</v>
      </c>
      <c r="AO728" s="404">
        <f>IF(AO727=0,0,((+$C254/$AZ727)*AO727)*VLOOKUP('1. SUMMARY'!$C$20,rate,Sheet1!Z$21,0))</f>
        <v>0</v>
      </c>
      <c r="AP728" s="404">
        <f>IF(AP727=0,0,((+$C254/$AZ727)*AP727)*VLOOKUP('1. SUMMARY'!$C$20,rate,Sheet1!AA$21,0))</f>
        <v>0</v>
      </c>
      <c r="AQ728" s="404">
        <f>IF(AQ727=0,0,((+$C254/$AZ727)*AQ727)*VLOOKUP('1. SUMMARY'!$C$20,rate,Sheet1!AB$21,0))</f>
        <v>0</v>
      </c>
      <c r="AR728" s="404">
        <f>IF(AR727=0,0,((+$C254/$AZ727)*AR727)*VLOOKUP('1. SUMMARY'!$C$20,rate,Sheet1!AC$21,0))</f>
        <v>0</v>
      </c>
      <c r="AS728" s="404">
        <f>IF(AS727=0,0,((+$C254/$AZ727)*AS727)*VLOOKUP('1. SUMMARY'!$C$20,rate,Sheet1!AD$21,0))</f>
        <v>0</v>
      </c>
      <c r="AT728" s="404">
        <f>IF(AT727=0,0,((+$C254/$AZ727)*AT727)*VLOOKUP('1. SUMMARY'!$C$20,rate,Sheet1!AE$21,0))</f>
        <v>0</v>
      </c>
      <c r="AU728" s="404">
        <f>IF(AU727=0,0,((+$C254/$AZ727)*AU727)*VLOOKUP('1. SUMMARY'!$C$20,rate,Sheet1!AF$21,0))</f>
        <v>0</v>
      </c>
      <c r="AV728" s="404">
        <f>IF(AV727=0,0,((+$C254/$AZ727)*AV727)*VLOOKUP('1. SUMMARY'!$C$20,rate,Sheet1!AG$21,0))</f>
        <v>0</v>
      </c>
      <c r="AW728" s="404">
        <f>IF(AW727=0,0,((+$C254/$AZ727)*AW727)*VLOOKUP('1. SUMMARY'!$C$20,rate,Sheet1!AH$21,0))</f>
        <v>0</v>
      </c>
      <c r="AX728" s="404">
        <f>IF(AX727=0,0,((+$C254/$AZ727)*AX727)*VLOOKUP('1. SUMMARY'!$C$20,rate,Sheet1!AI$21,0))</f>
        <v>0</v>
      </c>
      <c r="AY728" s="404">
        <f>IF(AY727=0,0,((+$C254/$AZ727)*AY727)*VLOOKUP('1. SUMMARY'!$C$20,rate,Sheet1!AJ$21,0))</f>
        <v>0</v>
      </c>
      <c r="AZ728" s="404">
        <f>SUM(AI728:AY728)</f>
        <v>0</v>
      </c>
    </row>
    <row r="729" spans="17:52" hidden="1">
      <c r="Q729" s="404">
        <f>+Q728/VLOOKUP('1. SUMMARY'!$C$20,rate,Sheet1!T$21,0)</f>
        <v>0</v>
      </c>
      <c r="R729" s="404">
        <f>+R728/VLOOKUP('1. SUMMARY'!$C$20,rate,Sheet1!U$21,0)</f>
        <v>0</v>
      </c>
      <c r="S729" s="404">
        <f>+S728/VLOOKUP('1. SUMMARY'!$C$20,rate,Sheet1!V$21,0)</f>
        <v>0</v>
      </c>
      <c r="T729" s="404">
        <f>+T728/VLOOKUP('1. SUMMARY'!$C$20,rate,Sheet1!W$21,0)</f>
        <v>0</v>
      </c>
      <c r="U729" s="404">
        <f>+U728/VLOOKUP('1. SUMMARY'!$C$20,rate,Sheet1!X$21,0)</f>
        <v>0</v>
      </c>
      <c r="V729" s="404">
        <f>+V728/VLOOKUP('1. SUMMARY'!$C$20,rate,Sheet1!Y$21,0)</f>
        <v>0</v>
      </c>
      <c r="W729" s="404">
        <f>+W728/VLOOKUP('1. SUMMARY'!$C$20,rate,Sheet1!Z$21,0)</f>
        <v>0</v>
      </c>
      <c r="X729" s="404">
        <f>+X728/VLOOKUP('1. SUMMARY'!$C$20,rate,Sheet1!AA$21,0)</f>
        <v>0</v>
      </c>
      <c r="Y729" s="404">
        <f>+Y728/VLOOKUP('1. SUMMARY'!$C$20,rate,Sheet1!AB$21,0)</f>
        <v>0</v>
      </c>
      <c r="Z729" s="404">
        <f>+Z728/VLOOKUP('1. SUMMARY'!$C$20,rate,Sheet1!AC$21,0)</f>
        <v>0</v>
      </c>
      <c r="AA729" s="404">
        <f>+AA728/VLOOKUP('1. SUMMARY'!$C$20,rate,Sheet1!AD$21,0)</f>
        <v>0</v>
      </c>
      <c r="AB729" s="404">
        <f>+AB728/VLOOKUP('1. SUMMARY'!$C$20,rate,Sheet1!AE$21,0)</f>
        <v>0</v>
      </c>
      <c r="AC729" s="404">
        <f>+AC728/VLOOKUP('1. SUMMARY'!$C$20,rate,Sheet1!AF$21,0)</f>
        <v>0</v>
      </c>
      <c r="AD729" s="404">
        <f>+AD728/VLOOKUP('1. SUMMARY'!$C$20,rate,Sheet1!AG$21,0)</f>
        <v>0</v>
      </c>
      <c r="AE729" s="404">
        <f>+AE728/VLOOKUP('1. SUMMARY'!$C$20,rate,Sheet1!AH$21,0)</f>
        <v>0</v>
      </c>
      <c r="AF729" s="404">
        <f>+AF728/VLOOKUP('1. SUMMARY'!$C$20,rate,Sheet1!AI$21,0)</f>
        <v>0</v>
      </c>
      <c r="AG729" s="404">
        <f>+AG728/VLOOKUP('1. SUMMARY'!$C$20,rate,Sheet1!AJ$21,0)</f>
        <v>0</v>
      </c>
      <c r="AH729" s="219"/>
      <c r="AI729" s="404">
        <v>0</v>
      </c>
      <c r="AJ729" s="404">
        <v>0</v>
      </c>
      <c r="AK729" s="404">
        <v>0</v>
      </c>
      <c r="AL729" s="404">
        <v>0</v>
      </c>
      <c r="AM729" s="404">
        <v>0</v>
      </c>
      <c r="AN729" s="404">
        <v>0</v>
      </c>
      <c r="AO729" s="404">
        <v>0</v>
      </c>
      <c r="AP729" s="404">
        <v>0</v>
      </c>
      <c r="AQ729" s="404"/>
      <c r="AR729" s="404"/>
      <c r="AS729" s="404"/>
      <c r="AT729" s="404"/>
      <c r="AU729" s="404"/>
      <c r="AV729" s="404"/>
      <c r="AW729" s="404"/>
      <c r="AX729" s="404"/>
      <c r="AY729" s="404"/>
      <c r="AZ729" s="404"/>
    </row>
    <row r="730" spans="17:52" hidden="1">
      <c r="Q730" s="399">
        <f>Sheet1!$T$8</f>
        <v>44105</v>
      </c>
      <c r="R730" s="399">
        <f>Sheet1!$U$8</f>
        <v>44470</v>
      </c>
      <c r="S730" s="399">
        <f>Sheet1!$V$8</f>
        <v>44835</v>
      </c>
      <c r="T730" s="399">
        <f>Sheet1!$W$8</f>
        <v>45200</v>
      </c>
      <c r="U730" s="399">
        <f>Sheet1!$X$8</f>
        <v>45566</v>
      </c>
      <c r="V730" s="399">
        <f>Sheet1!$Y$8</f>
        <v>45931</v>
      </c>
      <c r="W730" s="399">
        <f>Sheet1!$Z$8</f>
        <v>46296</v>
      </c>
      <c r="X730" s="399">
        <f>Sheet1!$AA$8</f>
        <v>46661</v>
      </c>
      <c r="Y730" s="399">
        <f>Sheet1!$AB$8</f>
        <v>47027</v>
      </c>
      <c r="Z730" s="399">
        <f>Sheet1!$AC$8</f>
        <v>47392</v>
      </c>
      <c r="AA730" s="399">
        <f>$AA$5</f>
        <v>47757</v>
      </c>
      <c r="AB730" s="399">
        <f>$AB$5</f>
        <v>48122</v>
      </c>
      <c r="AC730" s="399">
        <f>$AC$5</f>
        <v>48488</v>
      </c>
      <c r="AD730" s="399">
        <f>$AD$5</f>
        <v>48853</v>
      </c>
      <c r="AE730" s="399">
        <f>$AE$5</f>
        <v>49218</v>
      </c>
      <c r="AF730" s="399">
        <f>$AF$5</f>
        <v>49583</v>
      </c>
      <c r="AG730" s="399">
        <f>$AG$5</f>
        <v>49949</v>
      </c>
      <c r="AH730" s="211"/>
      <c r="AI730" s="399">
        <f t="shared" ref="AI730:AR732" si="322">+Q730</f>
        <v>44105</v>
      </c>
      <c r="AJ730" s="399">
        <f t="shared" si="322"/>
        <v>44470</v>
      </c>
      <c r="AK730" s="399">
        <f t="shared" si="322"/>
        <v>44835</v>
      </c>
      <c r="AL730" s="399">
        <f t="shared" si="322"/>
        <v>45200</v>
      </c>
      <c r="AM730" s="399">
        <f t="shared" si="322"/>
        <v>45566</v>
      </c>
      <c r="AN730" s="399">
        <f t="shared" si="322"/>
        <v>45931</v>
      </c>
      <c r="AO730" s="399">
        <f t="shared" si="322"/>
        <v>46296</v>
      </c>
      <c r="AP730" s="399">
        <f t="shared" si="322"/>
        <v>46661</v>
      </c>
      <c r="AQ730" s="399">
        <f t="shared" si="322"/>
        <v>47027</v>
      </c>
      <c r="AR730" s="399">
        <f t="shared" si="322"/>
        <v>47392</v>
      </c>
      <c r="AS730" s="399">
        <f t="shared" ref="AS730:AY732" si="323">+AA730</f>
        <v>47757</v>
      </c>
      <c r="AT730" s="399">
        <f t="shared" si="323"/>
        <v>48122</v>
      </c>
      <c r="AU730" s="399">
        <f t="shared" si="323"/>
        <v>48488</v>
      </c>
      <c r="AV730" s="399">
        <f t="shared" si="323"/>
        <v>48853</v>
      </c>
      <c r="AW730" s="399">
        <f t="shared" si="323"/>
        <v>49218</v>
      </c>
      <c r="AX730" s="399">
        <f t="shared" si="323"/>
        <v>49583</v>
      </c>
      <c r="AY730" s="399">
        <f t="shared" si="323"/>
        <v>49949</v>
      </c>
      <c r="AZ730" s="399"/>
    </row>
    <row r="731" spans="17:52" hidden="1">
      <c r="Q731" s="399">
        <f>Sheet1!$T$9</f>
        <v>44469</v>
      </c>
      <c r="R731" s="399">
        <f>Sheet1!$U$9</f>
        <v>44834</v>
      </c>
      <c r="S731" s="399">
        <f>Sheet1!$V$9</f>
        <v>45199</v>
      </c>
      <c r="T731" s="399">
        <f>Sheet1!$W$9</f>
        <v>45565</v>
      </c>
      <c r="U731" s="399">
        <f>Sheet1!$X$9</f>
        <v>45930</v>
      </c>
      <c r="V731" s="399">
        <f>Sheet1!$Y$9</f>
        <v>46295</v>
      </c>
      <c r="W731" s="399">
        <f>Sheet1!$Z$9</f>
        <v>46660</v>
      </c>
      <c r="X731" s="399">
        <f>Sheet1!$AA$9</f>
        <v>47026</v>
      </c>
      <c r="Y731" s="399">
        <f>Sheet1!$AB$9</f>
        <v>47391</v>
      </c>
      <c r="Z731" s="399">
        <f>Sheet1!$AC$9</f>
        <v>47756</v>
      </c>
      <c r="AA731" s="399">
        <f>$AA$6</f>
        <v>48121</v>
      </c>
      <c r="AB731" s="399">
        <f>$AB$6</f>
        <v>48487</v>
      </c>
      <c r="AC731" s="399">
        <f>$AC$6</f>
        <v>48852</v>
      </c>
      <c r="AD731" s="399">
        <f>$AD$6</f>
        <v>49217</v>
      </c>
      <c r="AE731" s="399">
        <f>$AE$6</f>
        <v>49582</v>
      </c>
      <c r="AF731" s="399">
        <f>$AF$6</f>
        <v>49948</v>
      </c>
      <c r="AG731" s="399">
        <f>$AG$6</f>
        <v>50313</v>
      </c>
      <c r="AH731" s="211"/>
      <c r="AI731" s="399">
        <f t="shared" si="322"/>
        <v>44469</v>
      </c>
      <c r="AJ731" s="399">
        <f t="shared" si="322"/>
        <v>44834</v>
      </c>
      <c r="AK731" s="399">
        <f t="shared" si="322"/>
        <v>45199</v>
      </c>
      <c r="AL731" s="399">
        <f t="shared" si="322"/>
        <v>45565</v>
      </c>
      <c r="AM731" s="399">
        <f t="shared" si="322"/>
        <v>45930</v>
      </c>
      <c r="AN731" s="399">
        <f t="shared" si="322"/>
        <v>46295</v>
      </c>
      <c r="AO731" s="399">
        <f t="shared" si="322"/>
        <v>46660</v>
      </c>
      <c r="AP731" s="399">
        <f t="shared" si="322"/>
        <v>47026</v>
      </c>
      <c r="AQ731" s="399">
        <f t="shared" si="322"/>
        <v>47391</v>
      </c>
      <c r="AR731" s="399">
        <f t="shared" si="322"/>
        <v>47756</v>
      </c>
      <c r="AS731" s="399">
        <f t="shared" si="323"/>
        <v>48121</v>
      </c>
      <c r="AT731" s="399">
        <f t="shared" si="323"/>
        <v>48487</v>
      </c>
      <c r="AU731" s="399">
        <f t="shared" si="323"/>
        <v>48852</v>
      </c>
      <c r="AV731" s="399">
        <f t="shared" si="323"/>
        <v>49217</v>
      </c>
      <c r="AW731" s="399">
        <f t="shared" si="323"/>
        <v>49582</v>
      </c>
      <c r="AX731" s="399">
        <f t="shared" si="323"/>
        <v>49948</v>
      </c>
      <c r="AY731" s="399">
        <f t="shared" si="323"/>
        <v>50313</v>
      </c>
      <c r="AZ731" s="399"/>
    </row>
    <row r="732" spans="17:52" hidden="1">
      <c r="Q732" s="400">
        <f>IF(IF(Q731&lt;$D$27,0,DATEDIF($D$27,Q731+1,"m"))&lt;0,0,IF(Q731&lt;$D$27,0,DATEDIF($D$27,Q731+1,"m")))</f>
        <v>0</v>
      </c>
      <c r="R732" s="400">
        <f>IF(IF(Q732=12,0,IF(R731&gt;$D$28,12-DATEDIF($D$28,R731+1,"m"),IF(R731&lt;$D$27,0,DATEDIF($D$27,R731+1,"m"))))&lt;0,0,IF(Q732=12,0,IF(R731&gt;$D$28,12-DATEDIF($D$28,R731+1,"m"),IF(R731&lt;$D$27,0,DATEDIF($D$27,R731+1,"m")))))</f>
        <v>0</v>
      </c>
      <c r="S732" s="400">
        <f>IF(IF(Q732+R732=12,0,IF(S731&gt;$D$28,12-DATEDIF($D$28,S731+1,"m"),IF(S731&lt;$D$27,0,DATEDIF($D$27,S731+1,"m"))))&lt;0,0,IF(Q732+R732=12,0,IF(S731&gt;$D$28,12-DATEDIF($D$28,S731+1,"m"),IF(S731&lt;$D$27,0,DATEDIF($D$27,S731+1,"m")))))</f>
        <v>0</v>
      </c>
      <c r="T732" s="400">
        <f>IF(IF(R732+S732+Q732=12,0,IF(T731&gt;$D$28,12-DATEDIF($D$28,T731+1,"m"),IF(T731&lt;$D$27,0,DATEDIF($D$27,T731+1,"m"))))&lt;0,0,IF(R732+S732+Q732=12,0,IF(T731&gt;$D$28,12-DATEDIF($D$28,T731+1,"m"),IF(T731&lt;$D$27,0,DATEDIF($D$27,T731+1,"m")))))</f>
        <v>0</v>
      </c>
      <c r="U732" s="400">
        <f>IF(IF(S732+T732+R732+Q732=12,0,IF(U731&gt;$D$28,12-DATEDIF($D$28,U731+1,"m"),IF(U731&lt;$D$27,0,DATEDIF($D$27,U731+1,"m"))))&lt;0,0,IF(S732+T732+R732+Q732=12,0,IF(U731&gt;$D$28,12-DATEDIF($D$28,U731+1,"m"),IF(U731&lt;$D$27,0,DATEDIF($D$27,U731+1,"m")))))</f>
        <v>0</v>
      </c>
      <c r="V732" s="400">
        <f>IF(IF(T732+U732+S732+R732+Q732=12,0,IF(V731&gt;$D$28,12-DATEDIF($D$28,V731+1,"m"),IF(V731&lt;$D$27,0,DATEDIF($D$27,V731+1,"m"))))&lt;0,0,IF(T732+U732+S732+R732+Q732=12,0,IF(V731&gt;$D$28,12-DATEDIF($D$28,V731+1,"m"),IF(V731&lt;$D$27,0,DATEDIF($D$27,V731+1,"m")))))</f>
        <v>0</v>
      </c>
      <c r="W732" s="400">
        <f>IF(IF(U732+V732+T732+S732+R732+Q732=12,0,IF(W731&gt;$D$28,12-DATEDIF($D$28,W731+1,"m"),IF(W731&lt;$D$27,0,DATEDIF($D$27,W731+1,"m"))))&lt;0,0,IF(U732+V732+T732+S732+R732+Q732=12,0,IF(W731&gt;$D$28,12-DATEDIF($D$28,W731+1,"m"),IF(W731&lt;$D$27,0,DATEDIF($D$27,W731+1,"m")))))</f>
        <v>0</v>
      </c>
      <c r="X732" s="400">
        <f>IF(IF(V732+W732+U732+T732+S732+R732+Q732=12,0,IF(X731&gt;$D$28,12-DATEDIF($D$28,X731+1,"m"),IF(X731&lt;$D$27,0,DATEDIF($D$27,X731+1,"m"))))&lt;0,0,IF(V732+W732+U732+T732+S732+R732+Q732=12,0,IF(X731&gt;$D$28,1-DATEDIF($D$28,X731+1,"m"),IF(X731&lt;$D$27,0,DATEDIF($D$27,X731+1,"m")))))</f>
        <v>0</v>
      </c>
      <c r="Y732" s="400">
        <f>IF(IF(Q732+W732+X732+V732+U732+T732+S732+R732=12,0,IF(Y731&gt;E556,12-DATEDIF(E556,Y731+1,"m"),IF(Y731&lt;E555,0,DATEDIF(E555,Y731+1,"m"))))&lt;0,0,IF(Q732+W732+X732+V732+U732+T732+S732+R732=12,0,IF(Y731&gt;E556,12-DATEDIF(E556,Y731+1,"m"),IF(Y731&lt;E555,0,DATEDIF(E555,Y731+1,"m")))))</f>
        <v>0</v>
      </c>
      <c r="Z732" s="400">
        <f>IF(IF(Q732+R732+X732+Y732+W732+V732+U732+T732+S732=12,0,IF(Z731&gt;F556,12-DATEDIF(F556,Z731+1,"m"),IF(Z731&lt;F555,0,DATEDIF(F555,Z731+1,"m"))))&lt;0,0,IF(Q732+R732+X732+Y732+W732+V732+U732+T732+S732=12,0,IF(Z731&gt;F556,12-DATEDIF(F556,Z731+1,"m"),IF(Z731&lt;F555,0,DATEDIF(F555,Z731+1,"m")))))</f>
        <v>0</v>
      </c>
      <c r="AA732" s="400"/>
      <c r="AB732" s="400"/>
      <c r="AC732" s="400"/>
      <c r="AD732" s="400"/>
      <c r="AE732" s="400"/>
      <c r="AF732" s="400"/>
      <c r="AG732" s="400"/>
      <c r="AH732" s="423">
        <f>SUM(Q732:AG732)</f>
        <v>0</v>
      </c>
      <c r="AI732" s="400">
        <f t="shared" si="322"/>
        <v>0</v>
      </c>
      <c r="AJ732" s="400">
        <f t="shared" si="322"/>
        <v>0</v>
      </c>
      <c r="AK732" s="400">
        <f t="shared" si="322"/>
        <v>0</v>
      </c>
      <c r="AL732" s="400">
        <f t="shared" si="322"/>
        <v>0</v>
      </c>
      <c r="AM732" s="400">
        <f t="shared" si="322"/>
        <v>0</v>
      </c>
      <c r="AN732" s="400">
        <f t="shared" si="322"/>
        <v>0</v>
      </c>
      <c r="AO732" s="400">
        <f t="shared" si="322"/>
        <v>0</v>
      </c>
      <c r="AP732" s="400">
        <f t="shared" si="322"/>
        <v>0</v>
      </c>
      <c r="AQ732" s="400">
        <f t="shared" si="322"/>
        <v>0</v>
      </c>
      <c r="AR732" s="400">
        <f t="shared" si="322"/>
        <v>0</v>
      </c>
      <c r="AS732" s="400">
        <f t="shared" si="323"/>
        <v>0</v>
      </c>
      <c r="AT732" s="400">
        <f t="shared" si="323"/>
        <v>0</v>
      </c>
      <c r="AU732" s="400">
        <f t="shared" si="323"/>
        <v>0</v>
      </c>
      <c r="AV732" s="400">
        <f t="shared" si="323"/>
        <v>0</v>
      </c>
      <c r="AW732" s="400">
        <f t="shared" si="323"/>
        <v>0</v>
      </c>
      <c r="AX732" s="400">
        <f t="shared" si="323"/>
        <v>0</v>
      </c>
      <c r="AY732" s="400">
        <f t="shared" si="323"/>
        <v>0</v>
      </c>
      <c r="AZ732" s="400">
        <f>SUM(AI732:AY732)</f>
        <v>0</v>
      </c>
    </row>
    <row r="733" spans="17:52" hidden="1">
      <c r="Q733" s="401">
        <f>IF(Q732=0,0,(IF(($C$254+$B$254+$D$254)&lt;=25000,(($D$254/+$AH732)*Q732)*VLOOKUP('1. SUMMARY'!$C$20,rate,Sheet1!T$21,0),((IF(($B$254+$C$254)&gt;=25000,0,(((25000-($B$254+$C$254))/+$AH732)*Q732)*VLOOKUP('1. SUMMARY'!$C$20,rate,Sheet1!T$21,0)))))))</f>
        <v>0</v>
      </c>
      <c r="R733" s="401">
        <f>IF(R732=0,0,(IF(($C$254+$B$254+$D$254)&lt;=25000,(($D$254/+$AH732)*R732)*VLOOKUP('1. SUMMARY'!$C$20,rate,Sheet1!U$21,0),((IF(($B$254+$C$254)&gt;=25000,0,(((25000-($B$254+$C$254))/+$AH732)*R732)*VLOOKUP('1. SUMMARY'!$C$20,rate,Sheet1!U$21,0)))))))</f>
        <v>0</v>
      </c>
      <c r="S733" s="401">
        <f>IF(S732=0,0,(IF(($C$254+$B$254+$D$254)&lt;=25000,(($D$254/+$AH732)*S732)*VLOOKUP('1. SUMMARY'!$C$20,rate,Sheet1!V$21,0),((IF(($B$254+$C$254)&gt;=25000,0,(((25000-($B$254+$C$254))/+$AH732)*S732)*VLOOKUP('1. SUMMARY'!$C$20,rate,Sheet1!V$21,0)))))))</f>
        <v>0</v>
      </c>
      <c r="T733" s="401">
        <f>IF(T732=0,0,(IF(($C$254+$B$254+$D$254)&lt;=25000,(($D$254/+$AH732)*T732)*VLOOKUP('1. SUMMARY'!$C$20,rate,Sheet1!W$21,0),((IF(($B$254+$C$254)&gt;=25000,0,(((25000-($B$254+$C$254))/+$AH732)*T732)*VLOOKUP('1. SUMMARY'!$C$20,rate,Sheet1!W$21,0)))))))</f>
        <v>0</v>
      </c>
      <c r="U733" s="401">
        <f>IF(U732=0,0,(IF(($C$254+$B$254+$D$254)&lt;=25000,(($D$254/+$AH732)*U732)*VLOOKUP('1. SUMMARY'!$C$20,rate,Sheet1!X$21,0),((IF(($B$254+$C$254)&gt;=25000,0,(((25000-($B$254+$C$254))/+$AH732)*U732)*VLOOKUP('1. SUMMARY'!$C$20,rate,Sheet1!X$21,0)))))))</f>
        <v>0</v>
      </c>
      <c r="V733" s="401">
        <f>IF(V732=0,0,(IF(($C$254+$B$254+$D$254)&lt;=25000,(($D$254/+$AH732)*V732)*VLOOKUP('1. SUMMARY'!$C$20,rate,Sheet1!Y$21,0),((IF(($B$254+$C$254)&gt;=25000,0,(((25000-($B$254+$C$254))/+$AH732)*V732)*VLOOKUP('1. SUMMARY'!$C$20,rate,Sheet1!Y$21,0)))))))</f>
        <v>0</v>
      </c>
      <c r="W733" s="401">
        <f>IF(W732=0,0,(IF(($C$254+$B$254+$D$254)&lt;=25000,(($D$254/+$AH732)*W732)*VLOOKUP('1. SUMMARY'!$C$20,rate,Sheet1!Z$21,0),((IF(($B$254+$C$254)&gt;=25000,0,(((25000-($B$254+$C$254))/+$AH732)*W732)*VLOOKUP('1. SUMMARY'!$C$20,rate,Sheet1!Z$21,0)))))))</f>
        <v>0</v>
      </c>
      <c r="X733" s="401">
        <f>IF(X732=0,0,(IF(($C$254+$B$254+$D$254)&lt;=25000,(($D$254/+$AH732)*X732)*VLOOKUP('1. SUMMARY'!$C$20,rate,Sheet1!AA$21,0),((IF(($B$254+$C$254)&gt;=25000,0,(((25000-($B$254+$C$254))/+$AH732)*X732)*VLOOKUP('1. SUMMARY'!$C$20,rate,Sheet1!AA$21,0)))))))</f>
        <v>0</v>
      </c>
      <c r="Y733" s="401">
        <f>IF(Y732=0,0,(IF(($C$254+$B$254+$D$254)&lt;=25000,(($D$254/+$AH732)*Y732)*VLOOKUP('1. SUMMARY'!$C$20,rate,Sheet1!AB$21,0),((IF(($B$254+$C$254)&gt;=25000,0,(((25000-($B$254+$C$254))/+$AH732)*Y732)*VLOOKUP('1. SUMMARY'!$C$20,rate,Sheet1!AB$21,0)))))))</f>
        <v>0</v>
      </c>
      <c r="Z733" s="401">
        <f>IF(Z732=0,0,(IF(($C$254+$B$254+$D$254)&lt;=25000,(($D$254/+$AH732)*Z732)*VLOOKUP('1. SUMMARY'!$C$20,rate,Sheet1!AC$21,0),((IF(($B$254+$C$254)&gt;=25000,0,(((25000-($B$254+$C$254))/+$AH732)*Z732)*VLOOKUP('1. SUMMARY'!$C$20,rate,Sheet1!AC$21,0)))))))</f>
        <v>0</v>
      </c>
      <c r="AA733" s="401">
        <f>IF(AA732=0,0,(IF(($C$254+$B$254+$D$254)&lt;=25000,(($D$254/+$AH732)*AA732)*VLOOKUP('1. SUMMARY'!$C$20,rate,Sheet1!AD$21,0),((IF(($B$254+$C$254)&gt;=25000,0,(((25000-($B$254+$C$254))/+$AH732)*AA732)*VLOOKUP('1. SUMMARY'!$C$20,rate,Sheet1!AD$21,0)))))))</f>
        <v>0</v>
      </c>
      <c r="AB733" s="401">
        <f>IF(AB732=0,0,(IF(($C$254+$B$254+$D$254)&lt;=25000,(($D$254/+$AH732)*AB732)*VLOOKUP('1. SUMMARY'!$C$20,rate,Sheet1!AE$21,0),((IF(($B$254+$C$254)&gt;=25000,0,(((25000-($B$254+$C$254))/+$AH732)*AB732)*VLOOKUP('1. SUMMARY'!$C$20,rate,Sheet1!AE$21,0)))))))</f>
        <v>0</v>
      </c>
      <c r="AC733" s="401">
        <f>IF(AC732=0,0,(IF(($C$254+$B$254+$D$254)&lt;=25000,(($D$254/+$AH732)*AC732)*VLOOKUP('1. SUMMARY'!$C$20,rate,Sheet1!AF$21,0),((IF(($B$254+$C$254)&gt;=25000,0,(((25000-($B$254+$C$254))/+$AH732)*AC732)*VLOOKUP('1. SUMMARY'!$C$20,rate,Sheet1!AF$21,0)))))))</f>
        <v>0</v>
      </c>
      <c r="AD733" s="401">
        <f>IF(AD732=0,0,(IF(($C$254+$B$254+$D$254)&lt;=25000,(($D$254/+$AH732)*AD732)*VLOOKUP('1. SUMMARY'!$C$20,rate,Sheet1!AG$21,0),((IF(($B$254+$C$254)&gt;=25000,0,(((25000-($B$254+$C$254))/+$AH732)*AD732)*VLOOKUP('1. SUMMARY'!$C$20,rate,Sheet1!AG$21,0)))))))</f>
        <v>0</v>
      </c>
      <c r="AE733" s="401">
        <f>IF(AE732=0,0,(IF(($C$254+$B$254+$D$254)&lt;=25000,(($D$254/+$AH732)*AE732)*VLOOKUP('1. SUMMARY'!$C$20,rate,Sheet1!AH$21,0),((IF(($B$254+$C$254)&gt;=25000,0,(((25000-($B$254+$C$254))/+$AH732)*AE732)*VLOOKUP('1. SUMMARY'!$C$20,rate,Sheet1!AH$21,0)))))))</f>
        <v>0</v>
      </c>
      <c r="AF733" s="401">
        <f>IF(AF732=0,0,(IF(($C$254+$B$254+$D$254)&lt;=25000,(($D$254/+$AH732)*AF732)*VLOOKUP('1. SUMMARY'!$C$20,rate,Sheet1!AI$21,0),((IF(($B$254+$C$254)&gt;=25000,0,(((25000-($B$254+$C$254))/+$AH732)*AF732)*VLOOKUP('1. SUMMARY'!$C$20,rate,Sheet1!AI$21,0)))))))</f>
        <v>0</v>
      </c>
      <c r="AG733" s="401">
        <f>IF(AG732=0,0,(IF(($C$254+$B$254+$D$254)&lt;=25000,(($D$254/+$AH732)*AG732)*VLOOKUP('1. SUMMARY'!$C$20,rate,Sheet1!AJ$21,0),((IF(($B$254+$C$254)&gt;=25000,0,(((25000-($B$254+$C$254))/+$AH732)*AG732)*VLOOKUP('1. SUMMARY'!$C$20,rate,Sheet1!AJ$21,0)))))))</f>
        <v>0</v>
      </c>
      <c r="AH733" s="219">
        <f>SUM(Q733:AG733)</f>
        <v>0</v>
      </c>
      <c r="AI733" s="401">
        <f>IF(Q732=0,0,((+$D254/$AZ$17)*AI732)*VLOOKUP('1. SUMMARY'!$C$20,rate,Sheet1!T$21,0))</f>
        <v>0</v>
      </c>
      <c r="AJ733" s="401">
        <f>IF(R732=0,0,((+$D254/$AZ$17)*AJ732)*VLOOKUP('1. SUMMARY'!$C$20,rate,Sheet1!U$21,0))</f>
        <v>0</v>
      </c>
      <c r="AK733" s="401">
        <f>IF(S732=0,0,((+$D254/$AZ$17)*AK732)*VLOOKUP('1. SUMMARY'!$C$20,rate,Sheet1!V$21,0))</f>
        <v>0</v>
      </c>
      <c r="AL733" s="401">
        <f>IF(T732=0,0,((+$D254/$AZ$17)*AL732)*VLOOKUP('1. SUMMARY'!$C$20,rate,Sheet1!W$21,0))</f>
        <v>0</v>
      </c>
      <c r="AM733" s="401">
        <f>IF(U732=0,0,((+$D254/$AZ$17)*AM732)*VLOOKUP('1. SUMMARY'!$C$20,rate,Sheet1!X$21,0))</f>
        <v>0</v>
      </c>
      <c r="AN733" s="401">
        <f>IF(V732=0,0,((+$D254/$AZ$17)*AN732)*VLOOKUP('1. SUMMARY'!$C$20,rate,Sheet1!Y$21,0))</f>
        <v>0</v>
      </c>
      <c r="AO733" s="401">
        <f>IF(W732=0,0,((+$D254/$AZ$17)*AO732)*VLOOKUP('1. SUMMARY'!$C$20,rate,Sheet1!Z$21,0))</f>
        <v>0</v>
      </c>
      <c r="AP733" s="401">
        <f>IF(X732=0,0,((+$D254/$AZ$17)*AP732)*VLOOKUP('1. SUMMARY'!$C$20,rate,Sheet1!AA$21,0))</f>
        <v>0</v>
      </c>
      <c r="AQ733" s="401">
        <f>IF(Y732=0,0,((+$D254/$AZ$17)*AQ732)*VLOOKUP('1. SUMMARY'!$C$20,rate,Sheet1!AB$21,0))</f>
        <v>0</v>
      </c>
      <c r="AR733" s="401">
        <f>IF(Z732=0,0,((+$D254/$AZ$17)*AR732)*VLOOKUP('1. SUMMARY'!$C$20,rate,Sheet1!AC$21,0))</f>
        <v>0</v>
      </c>
      <c r="AS733" s="401">
        <f>IF(AA732=0,0,((+$D254/$AZ$17)*AS732)*VLOOKUP('1. SUMMARY'!$C$20,rate,Sheet1!AD$21,0))</f>
        <v>0</v>
      </c>
      <c r="AT733" s="401">
        <f>IF(AB732=0,0,((+$D254/$AZ$17)*AT732)*VLOOKUP('1. SUMMARY'!$C$20,rate,Sheet1!AE$21,0))</f>
        <v>0</v>
      </c>
      <c r="AU733" s="401">
        <f>IF(AC732=0,0,((+$D254/$AZ$17)*AU732)*VLOOKUP('1. SUMMARY'!$C$20,rate,Sheet1!AF$21,0))</f>
        <v>0</v>
      </c>
      <c r="AV733" s="401">
        <f>IF(AD732=0,0,((+$D254/$AZ$17)*AV732)*VLOOKUP('1. SUMMARY'!$C$20,rate,Sheet1!AG$21,0))</f>
        <v>0</v>
      </c>
      <c r="AW733" s="401">
        <f>IF(AE732=0,0,((+$D254/$AZ$17)*AW732)*VLOOKUP('1. SUMMARY'!$C$20,rate,Sheet1!AH$21,0))</f>
        <v>0</v>
      </c>
      <c r="AX733" s="401">
        <f>IF(AF732=0,0,((+$D254/$AZ$17)*AX732)*VLOOKUP('1. SUMMARY'!$C$20,rate,Sheet1!AI$21,0))</f>
        <v>0</v>
      </c>
      <c r="AY733" s="401">
        <f>IF(AG732=0,0,((+$D254/$AZ$17)*AY732)*VLOOKUP('1. SUMMARY'!$C$20,rate,Sheet1!AJ$21,0))</f>
        <v>0</v>
      </c>
      <c r="AZ733" s="401">
        <f>SUM(AI733:AY733)</f>
        <v>0</v>
      </c>
    </row>
    <row r="734" spans="17:52" hidden="1">
      <c r="Q734" s="401">
        <f>+Q733/VLOOKUP('1. SUMMARY'!$C$20,rate,Sheet1!T$21,0)</f>
        <v>0</v>
      </c>
      <c r="R734" s="401">
        <f>+R733/VLOOKUP('1. SUMMARY'!$C$20,rate,Sheet1!U$21,0)</f>
        <v>0</v>
      </c>
      <c r="S734" s="401">
        <f>+S733/VLOOKUP('1. SUMMARY'!$C$20,rate,Sheet1!V$21,0)</f>
        <v>0</v>
      </c>
      <c r="T734" s="401">
        <f>+T733/VLOOKUP('1. SUMMARY'!$C$20,rate,Sheet1!W$21,0)</f>
        <v>0</v>
      </c>
      <c r="U734" s="401">
        <f>+U733/VLOOKUP('1. SUMMARY'!$C$20,rate,Sheet1!X$21,0)</f>
        <v>0</v>
      </c>
      <c r="V734" s="401">
        <f>+V733/VLOOKUP('1. SUMMARY'!$C$20,rate,Sheet1!Y$21,0)</f>
        <v>0</v>
      </c>
      <c r="W734" s="401">
        <f>+W733/VLOOKUP('1. SUMMARY'!$C$20,rate,Sheet1!Z$21,0)</f>
        <v>0</v>
      </c>
      <c r="X734" s="401">
        <f>+X733/VLOOKUP('1. SUMMARY'!$C$20,rate,Sheet1!AA$21,0)</f>
        <v>0</v>
      </c>
      <c r="Y734" s="401">
        <f>+Y733/VLOOKUP('1. SUMMARY'!$C$20,rate,Sheet1!AB$21,0)</f>
        <v>0</v>
      </c>
      <c r="Z734" s="401">
        <f>+Z733/VLOOKUP('1. SUMMARY'!$C$20,rate,Sheet1!AC$21,0)</f>
        <v>0</v>
      </c>
      <c r="AA734" s="401">
        <f>+AA733/VLOOKUP('1. SUMMARY'!$C$20,rate,Sheet1!AD$21,0)</f>
        <v>0</v>
      </c>
      <c r="AB734" s="401">
        <f>+AB733/VLOOKUP('1. SUMMARY'!$C$20,rate,Sheet1!AE$21,0)</f>
        <v>0</v>
      </c>
      <c r="AC734" s="401">
        <f>+AC733/VLOOKUP('1. SUMMARY'!$C$20,rate,Sheet1!AF$21,0)</f>
        <v>0</v>
      </c>
      <c r="AD734" s="401">
        <f>+AD733/VLOOKUP('1. SUMMARY'!$C$20,rate,Sheet1!AG$21,0)</f>
        <v>0</v>
      </c>
      <c r="AE734" s="401">
        <f>+AE733/VLOOKUP('1. SUMMARY'!$C$20,rate,Sheet1!AH$21,0)</f>
        <v>0</v>
      </c>
      <c r="AF734" s="401">
        <f>+AF733/VLOOKUP('1. SUMMARY'!$C$20,rate,Sheet1!AI$21,0)</f>
        <v>0</v>
      </c>
      <c r="AG734" s="401">
        <f>+AG733/VLOOKUP('1. SUMMARY'!$C$20,rate,Sheet1!AJ$21,0)</f>
        <v>0</v>
      </c>
      <c r="AH734" s="219"/>
      <c r="AI734" s="401">
        <v>0</v>
      </c>
      <c r="AJ734" s="401">
        <v>0</v>
      </c>
      <c r="AK734" s="401">
        <v>0</v>
      </c>
      <c r="AL734" s="401">
        <v>0</v>
      </c>
      <c r="AM734" s="401">
        <v>0</v>
      </c>
      <c r="AN734" s="401">
        <v>0</v>
      </c>
      <c r="AO734" s="401">
        <v>0</v>
      </c>
      <c r="AP734" s="401">
        <v>0</v>
      </c>
      <c r="AQ734" s="401"/>
      <c r="AR734" s="401"/>
      <c r="AS734" s="401"/>
      <c r="AT734" s="401"/>
      <c r="AU734" s="401"/>
      <c r="AV734" s="401"/>
      <c r="AW734" s="401"/>
      <c r="AX734" s="401"/>
      <c r="AY734" s="401"/>
      <c r="AZ734" s="401"/>
    </row>
    <row r="735" spans="17:52" hidden="1">
      <c r="Q735" s="405">
        <f>Sheet1!$T$8</f>
        <v>44105</v>
      </c>
      <c r="R735" s="405">
        <f>Sheet1!$U$8</f>
        <v>44470</v>
      </c>
      <c r="S735" s="405">
        <f>Sheet1!$V$8</f>
        <v>44835</v>
      </c>
      <c r="T735" s="405">
        <f>Sheet1!$W$8</f>
        <v>45200</v>
      </c>
      <c r="U735" s="405">
        <f>Sheet1!$X$8</f>
        <v>45566</v>
      </c>
      <c r="V735" s="405">
        <f>Sheet1!$Y$8</f>
        <v>45931</v>
      </c>
      <c r="W735" s="405">
        <f>Sheet1!$Z$8</f>
        <v>46296</v>
      </c>
      <c r="X735" s="405">
        <f>Sheet1!$AA$8</f>
        <v>46661</v>
      </c>
      <c r="Y735" s="405">
        <f>Sheet1!$AB$8</f>
        <v>47027</v>
      </c>
      <c r="Z735" s="405">
        <f>Sheet1!$AC$8</f>
        <v>47392</v>
      </c>
      <c r="AA735" s="405">
        <f>$AA$5</f>
        <v>47757</v>
      </c>
      <c r="AB735" s="405">
        <f>$AB$5</f>
        <v>48122</v>
      </c>
      <c r="AC735" s="405">
        <f>$AC$5</f>
        <v>48488</v>
      </c>
      <c r="AD735" s="405">
        <f>$AD$5</f>
        <v>48853</v>
      </c>
      <c r="AE735" s="405">
        <f>$AE$5</f>
        <v>49218</v>
      </c>
      <c r="AF735" s="405">
        <f>$AF$5</f>
        <v>49583</v>
      </c>
      <c r="AG735" s="405">
        <f>$AG$5</f>
        <v>49949</v>
      </c>
      <c r="AH735" s="211"/>
      <c r="AI735" s="405">
        <f t="shared" ref="AI735:AR737" si="324">+Q735</f>
        <v>44105</v>
      </c>
      <c r="AJ735" s="405">
        <f t="shared" si="324"/>
        <v>44470</v>
      </c>
      <c r="AK735" s="405">
        <f t="shared" si="324"/>
        <v>44835</v>
      </c>
      <c r="AL735" s="405">
        <f t="shared" si="324"/>
        <v>45200</v>
      </c>
      <c r="AM735" s="405">
        <f t="shared" si="324"/>
        <v>45566</v>
      </c>
      <c r="AN735" s="405">
        <f t="shared" si="324"/>
        <v>45931</v>
      </c>
      <c r="AO735" s="405">
        <f t="shared" si="324"/>
        <v>46296</v>
      </c>
      <c r="AP735" s="405">
        <f t="shared" si="324"/>
        <v>46661</v>
      </c>
      <c r="AQ735" s="405">
        <f t="shared" si="324"/>
        <v>47027</v>
      </c>
      <c r="AR735" s="405">
        <f t="shared" si="324"/>
        <v>47392</v>
      </c>
      <c r="AS735" s="405">
        <f t="shared" ref="AS735:AY737" si="325">+AA735</f>
        <v>47757</v>
      </c>
      <c r="AT735" s="405">
        <f t="shared" si="325"/>
        <v>48122</v>
      </c>
      <c r="AU735" s="405">
        <f t="shared" si="325"/>
        <v>48488</v>
      </c>
      <c r="AV735" s="405">
        <f t="shared" si="325"/>
        <v>48853</v>
      </c>
      <c r="AW735" s="405">
        <f t="shared" si="325"/>
        <v>49218</v>
      </c>
      <c r="AX735" s="405">
        <f t="shared" si="325"/>
        <v>49583</v>
      </c>
      <c r="AY735" s="405">
        <f t="shared" si="325"/>
        <v>49949</v>
      </c>
      <c r="AZ735" s="405"/>
    </row>
    <row r="736" spans="17:52" hidden="1">
      <c r="Q736" s="405">
        <f>Sheet1!$T$9</f>
        <v>44469</v>
      </c>
      <c r="R736" s="405">
        <f>Sheet1!$U$9</f>
        <v>44834</v>
      </c>
      <c r="S736" s="405">
        <f>Sheet1!$V$9</f>
        <v>45199</v>
      </c>
      <c r="T736" s="405">
        <f>Sheet1!$W$9</f>
        <v>45565</v>
      </c>
      <c r="U736" s="405">
        <f>Sheet1!$X$9</f>
        <v>45930</v>
      </c>
      <c r="V736" s="405">
        <f>Sheet1!$Y$9</f>
        <v>46295</v>
      </c>
      <c r="W736" s="405">
        <f>Sheet1!$Z$9</f>
        <v>46660</v>
      </c>
      <c r="X736" s="405">
        <f>Sheet1!$AA$9</f>
        <v>47026</v>
      </c>
      <c r="Y736" s="405">
        <f>Sheet1!$AB$9</f>
        <v>47391</v>
      </c>
      <c r="Z736" s="405">
        <f>Sheet1!$AC$9</f>
        <v>47756</v>
      </c>
      <c r="AA736" s="405">
        <f>$AA$6</f>
        <v>48121</v>
      </c>
      <c r="AB736" s="405">
        <f>$AB$6</f>
        <v>48487</v>
      </c>
      <c r="AC736" s="405">
        <f>$AC$6</f>
        <v>48852</v>
      </c>
      <c r="AD736" s="405">
        <f>$AD$6</f>
        <v>49217</v>
      </c>
      <c r="AE736" s="405">
        <f>$AE$6</f>
        <v>49582</v>
      </c>
      <c r="AF736" s="405">
        <f>$AF$6</f>
        <v>49948</v>
      </c>
      <c r="AG736" s="405">
        <f>$AG$6</f>
        <v>50313</v>
      </c>
      <c r="AH736" s="211"/>
      <c r="AI736" s="405">
        <f t="shared" si="324"/>
        <v>44469</v>
      </c>
      <c r="AJ736" s="405">
        <f t="shared" si="324"/>
        <v>44834</v>
      </c>
      <c r="AK736" s="405">
        <f t="shared" si="324"/>
        <v>45199</v>
      </c>
      <c r="AL736" s="405">
        <f t="shared" si="324"/>
        <v>45565</v>
      </c>
      <c r="AM736" s="405">
        <f t="shared" si="324"/>
        <v>45930</v>
      </c>
      <c r="AN736" s="405">
        <f t="shared" si="324"/>
        <v>46295</v>
      </c>
      <c r="AO736" s="405">
        <f t="shared" si="324"/>
        <v>46660</v>
      </c>
      <c r="AP736" s="405">
        <f t="shared" si="324"/>
        <v>47026</v>
      </c>
      <c r="AQ736" s="405">
        <f t="shared" si="324"/>
        <v>47391</v>
      </c>
      <c r="AR736" s="405">
        <f t="shared" si="324"/>
        <v>47756</v>
      </c>
      <c r="AS736" s="405">
        <f t="shared" si="325"/>
        <v>48121</v>
      </c>
      <c r="AT736" s="405">
        <f t="shared" si="325"/>
        <v>48487</v>
      </c>
      <c r="AU736" s="405">
        <f t="shared" si="325"/>
        <v>48852</v>
      </c>
      <c r="AV736" s="405">
        <f t="shared" si="325"/>
        <v>49217</v>
      </c>
      <c r="AW736" s="405">
        <f t="shared" si="325"/>
        <v>49582</v>
      </c>
      <c r="AX736" s="405">
        <f t="shared" si="325"/>
        <v>49948</v>
      </c>
      <c r="AY736" s="405">
        <f t="shared" si="325"/>
        <v>50313</v>
      </c>
      <c r="AZ736" s="405"/>
    </row>
    <row r="737" spans="17:52" hidden="1">
      <c r="Q737" s="406">
        <f>IF(IF(Q736&lt;$E$27,0,DATEDIF($E$27,Q736+1,"m"))&lt;0,0,IF(Q736&lt;$E$27,0,DATEDIF($E$27,Q736+1,"m")))</f>
        <v>0</v>
      </c>
      <c r="R737" s="406">
        <f>IF(IF(Q737=12,0,IF(R736&gt;$E$28,12-DATEDIF($E$28,R736+1,"m"),IF(R736&lt;$E$27,0,DATEDIF($E$27,R736+1,"m"))))&lt;0,0,IF(Q737=12,0,IF(R736&gt;$E$28,12-DATEDIF($E$28,R736+1,"m"),IF(R736&lt;$E$27,0,DATEDIF($E$27,R736+1,"m")))))</f>
        <v>0</v>
      </c>
      <c r="S737" s="406">
        <f>IF(IF(Q737+R737=12,0,IF(S736&gt;$E$28,12-DATEDIF($E$28,S736+1,"m"),IF(S736&lt;$E$27,0,DATEDIF($E$27,S736+1,"m"))))&lt;0,0,IF(Q737+R737=12,0,IF(S736&gt;$E$28,12-DATEDIF($E$28,S736+1,"m"),IF(S736&lt;$E$27,0,DATEDIF($E$27,S736+1,"m")))))</f>
        <v>0</v>
      </c>
      <c r="T737" s="406">
        <f>IF(IF(R737+S737+Q737=12,0,IF(T736&gt;$E$28,12-DATEDIF($E$28,T736+1,"m"),IF(T736&lt;$E$27,0,DATEDIF($E$27,T736+1,"m"))))&lt;0,0,IF(R737+S737+Q737=12,0,IF(T736&gt;$E$28,12-DATEDIF($E$28,T736+1,"m"),IF(T736&lt;$E$27,0,DATEDIF($E$27,T736+1,"m")))))</f>
        <v>0</v>
      </c>
      <c r="U737" s="406">
        <f>IF(IF(S737+T737+R737+Q737=12,0,IF(U736&gt;$E$28,12-DATEDIF($E$28,U736+1,"m"),IF(U736&lt;$E$27,0,DATEDIF($E$27,U736+1,"m"))))&lt;0,0,IF(S737+T737+R737+Q737=12,0,IF(U736&gt;$E$28,12-DATEDIF($E$28,U736+1,"m"),IF(U736&lt;$E$27,0,DATEDIF($E$27,U736+1,"m")))))</f>
        <v>0</v>
      </c>
      <c r="V737" s="406">
        <f>IF(IF(T737+U737+S737+R737+Q737=12,0,IF(V736&gt;$E$28,12-DATEDIF($E$28,V736+1,"m"),IF(V736&lt;$E$27,0,DATEDIF($E$27,V736+1,"m"))))&lt;0,0,IF(T737+U737+S737+R737+Q737=12,0,IF(V736&gt;$E$28,12-DATEDIF($E$28,V736+1,"m"),IF(V736&lt;$E$27,0,DATEDIF($E$27,V736+1,"m")))))</f>
        <v>0</v>
      </c>
      <c r="W737" s="406">
        <f>IF(IF(U737+V737+T737+S737+R737+Q737=12,0,IF(W736&gt;$E$28,12-DATEDIF($E$28,W736+1,"m"),IF(W736&lt;$E$27,0,DATEDIF($E$27,W736+1,"m"))))&lt;0,0,IF(U737+V737+T737+S737+R737+Q737=12,0,IF(W736&gt;$E$28,12-DATEDIF($E$28,W736+1,"m"),IF(W736&lt;$E$27,0,DATEDIF($E$27,W736+1,"m")))))</f>
        <v>0</v>
      </c>
      <c r="X737" s="406">
        <f>IF(IF(V737+W737+U737+T737+S737+R737+Q737=12,0,IF(X736&gt;$E$28,12-DATEDIF($E$28,X736+1,"m"),IF(X736&lt;$E$27,0,DATEDIF($E$27,X736+1,"m"))))&lt;0,0,IF(V737+W737+U737+T737+S737+R737+Q737=12,0,IF(X736&gt;$E$28,12-DATEDIF($E$28,X736+1,"m"),IF(X736&lt;$E$27,0,DATEDIF($E$27,X736+1,"m")))))</f>
        <v>0</v>
      </c>
      <c r="Y737" s="406">
        <f>IF(IF(Q737+W737+X737+V737+U737+T737+S737+R737=12,0,IF(Y736&gt;F556,12-DATEDIF(F556,Y736+1,"m"),IF(Y736&lt;F555,0,DATEDIF(F555,Y736+1,"m"))))&lt;0,0,IF(Q737+W737+X737+V737+U737+T737+S737+R737=12,0,IF(Y736&gt;F556,12-DATEDIF(F556,Y736+1,"m"),IF(Y736&lt;F555,0,DATEDIF(F555,Y736+1,"m")))))</f>
        <v>0</v>
      </c>
      <c r="Z737" s="406">
        <f>IF(IF(Q737+R737+X737+Y737+W737+V737+U737+T737+S737=12,0,IF(Z736&gt;G556,12-DATEDIF(G556,Z736+1,"m"),IF(Z736&lt;G555,0,DATEDIF(G555,Z736+1,"m"))))&lt;0,0,IF(Q737+R737+X737+Y737+W737+V737+U737+T737+S737=12,0,IF(Z736&gt;G556,12-DATEDIF(G556,Z736+1,"m"),IF(Z736&lt;G555,0,DATEDIF(G555,Z736+1,"m")))))</f>
        <v>0</v>
      </c>
      <c r="AA737" s="406"/>
      <c r="AB737" s="406"/>
      <c r="AC737" s="406"/>
      <c r="AD737" s="406"/>
      <c r="AE737" s="406"/>
      <c r="AF737" s="406"/>
      <c r="AG737" s="406"/>
      <c r="AH737" s="423">
        <f>SUM(Q737:AG737)</f>
        <v>0</v>
      </c>
      <c r="AI737" s="406">
        <f t="shared" si="324"/>
        <v>0</v>
      </c>
      <c r="AJ737" s="406">
        <f t="shared" si="324"/>
        <v>0</v>
      </c>
      <c r="AK737" s="406">
        <f t="shared" si="324"/>
        <v>0</v>
      </c>
      <c r="AL737" s="406">
        <f t="shared" si="324"/>
        <v>0</v>
      </c>
      <c r="AM737" s="406">
        <f t="shared" si="324"/>
        <v>0</v>
      </c>
      <c r="AN737" s="406">
        <f t="shared" si="324"/>
        <v>0</v>
      </c>
      <c r="AO737" s="406">
        <f t="shared" si="324"/>
        <v>0</v>
      </c>
      <c r="AP737" s="406">
        <f t="shared" si="324"/>
        <v>0</v>
      </c>
      <c r="AQ737" s="406">
        <f t="shared" si="324"/>
        <v>0</v>
      </c>
      <c r="AR737" s="406">
        <f t="shared" si="324"/>
        <v>0</v>
      </c>
      <c r="AS737" s="406">
        <f t="shared" si="325"/>
        <v>0</v>
      </c>
      <c r="AT737" s="406">
        <f t="shared" si="325"/>
        <v>0</v>
      </c>
      <c r="AU737" s="406">
        <f t="shared" si="325"/>
        <v>0</v>
      </c>
      <c r="AV737" s="406">
        <f t="shared" si="325"/>
        <v>0</v>
      </c>
      <c r="AW737" s="406">
        <f t="shared" si="325"/>
        <v>0</v>
      </c>
      <c r="AX737" s="406">
        <f t="shared" si="325"/>
        <v>0</v>
      </c>
      <c r="AY737" s="406">
        <f t="shared" si="325"/>
        <v>0</v>
      </c>
      <c r="AZ737" s="406">
        <f>SUM(AI737:AY737)</f>
        <v>0</v>
      </c>
    </row>
    <row r="738" spans="17:52" hidden="1">
      <c r="Q738" s="407">
        <f>IF(Q737=0,0,(IF(($C$254+$B$254+$D$254+$E$254)&lt;=25000,(($E$254/+$AH737)*Q737)*VLOOKUP('1. SUMMARY'!$C$20,rate,Sheet1!T$21,0),((IF(($B$254+$C$254+$D$254)&gt;=25000,0,(((25000-($B$254+$C$254+$D$254))/+$AH737)*Q737)*(VLOOKUP('1. SUMMARY'!$C$20,rate,Sheet1!T$21,0))))))))</f>
        <v>0</v>
      </c>
      <c r="R738" s="407">
        <f>IF(R737=0,0,(IF(($C$254+$B$254+$D$254+$E$254)&lt;=25000,(($E$254/+$AH737)*R737)*VLOOKUP('1. SUMMARY'!$C$20,rate,Sheet1!U$21,0),((IF(($B$254+$C$254+$D$254)&gt;=25000,0,(((25000-($B$254+$C$254+$D$254))/+$AH737)*R737)*(VLOOKUP('1. SUMMARY'!$C$20,rate,Sheet1!U$21,0))))))))</f>
        <v>0</v>
      </c>
      <c r="S738" s="407">
        <f>IF(S737=0,0,(IF(($C$254+$B$254+$D$254+$E$254)&lt;=25000,(($E$254/+$AH737)*S737)*VLOOKUP('1. SUMMARY'!$C$20,rate,Sheet1!V$21,0),((IF(($B$254+$C$254+$D$254)&gt;=25000,0,(((25000-($B$254+$C$254+$D$254))/+$AH737)*S737)*(VLOOKUP('1. SUMMARY'!$C$20,rate,Sheet1!V$21,0))))))))</f>
        <v>0</v>
      </c>
      <c r="T738" s="407">
        <f>IF(T737=0,0,(IF(($C$254+$B$254+$D$254+$E$254)&lt;=25000,(($E$254/+$AH737)*T737)*VLOOKUP('1. SUMMARY'!$C$20,rate,Sheet1!W$21,0),((IF(($B$254+$C$254+$D$254)&gt;=25000,0,(((25000-($B$254+$C$254+$D$254))/+$AH737)*T737)*(VLOOKUP('1. SUMMARY'!$C$20,rate,Sheet1!W$21,0))))))))</f>
        <v>0</v>
      </c>
      <c r="U738" s="407">
        <f>IF(U737=0,0,(IF(($C$254+$B$254+$D$254+$E$254)&lt;=25000,(($E$254/+$AH737)*U737)*VLOOKUP('1. SUMMARY'!$C$20,rate,Sheet1!X$21,0),((IF(($B$254+$C$254+$D$254)&gt;=25000,0,(((25000-($B$254+$C$254+$D$254))/+$AH737)*U737)*(VLOOKUP('1. SUMMARY'!$C$20,rate,Sheet1!X$21,0))))))))</f>
        <v>0</v>
      </c>
      <c r="V738" s="407">
        <f>IF(V737=0,0,(IF(($C$254+$B$254+$D$254+$E$254)&lt;=25000,(($E$254/+$AH737)*V737)*VLOOKUP('1. SUMMARY'!$C$20,rate,Sheet1!Y$21,0),((IF(($B$254+$C$254+$D$254)&gt;=25000,0,(((25000-($B$254+$C$254+$D$254))/+$AH737)*V737)*(VLOOKUP('1. SUMMARY'!$C$20,rate,Sheet1!Y$21,0))))))))</f>
        <v>0</v>
      </c>
      <c r="W738" s="407">
        <f>IF(W737=0,0,(IF(($C$254+$B$254+$D$254+$E$254)&lt;=25000,(($E$254/+$AH737)*W737)*VLOOKUP('1. SUMMARY'!$C$20,rate,Sheet1!Z$21,0),((IF(($B$254+$C$254+$D$254)&gt;=25000,0,(((25000-($B$254+$C$254+$D$254))/+$AH737)*W737)*(VLOOKUP('1. SUMMARY'!$C$20,rate,Sheet1!Z$21,0))))))))</f>
        <v>0</v>
      </c>
      <c r="X738" s="407">
        <f>IF(X737=0,0,(IF(($C$254+$B$254+$D$254+$E$254)&lt;=25000,(($E$254/+$AH737)*X737)*VLOOKUP('1. SUMMARY'!$C$20,rate,Sheet1!AA$21,0),((IF(($B$254+$C$254+$D$254)&gt;=25000,0,(((25000-($B$254+$C$254+$D$254))/+$AH737)*X737)*(VLOOKUP('1. SUMMARY'!$C$20,rate,Sheet1!AA$21,0))))))))</f>
        <v>0</v>
      </c>
      <c r="Y738" s="407">
        <f>IF(Y737=0,0,(IF(($C$254+$B$254+$D$254+$E$254)&lt;=25000,(($E$254/+$AH737)*Y737)*VLOOKUP('1. SUMMARY'!$C$20,rate,Sheet1!AB$21,0),((IF(($B$254+$C$254+$D$254)&gt;=25000,0,(((25000-($B$254+$C$254+$D$254))/+$AH737)*Y737)*(VLOOKUP('1. SUMMARY'!$C$20,rate,Sheet1!AB$21,0))))))))</f>
        <v>0</v>
      </c>
      <c r="Z738" s="407">
        <f>IF(Z737=0,0,(IF(($C$254+$B$254+$D$254+$E$254)&lt;=25000,(($E$254/+$AH737)*Z737)*VLOOKUP('1. SUMMARY'!$C$20,rate,Sheet1!AC$21,0),((IF(($B$254+$C$254+$D$254)&gt;=25000,0,(((25000-($B$254+$C$254+$D$254))/+$AH737)*Z737)*(VLOOKUP('1. SUMMARY'!$C$20,rate,Sheet1!AC$21,0))))))))</f>
        <v>0</v>
      </c>
      <c r="AA738" s="407">
        <f>IF(AA737=0,0,(IF(($C$254+$B$254+$D$254+$E$254)&lt;=25000,(($E$254/+$AH737)*AA737)*VLOOKUP('1. SUMMARY'!$C$20,rate,Sheet1!AD$21,0),((IF(($B$254+$C$254+$D$254)&gt;=25000,0,(((25000-($B$254+$C$254+$D$254))/+$AH737)*AA737)*(VLOOKUP('1. SUMMARY'!$C$20,rate,Sheet1!AD$21,0))))))))</f>
        <v>0</v>
      </c>
      <c r="AB738" s="407">
        <f>IF(AB737=0,0,(IF(($C$254+$B$254+$D$254+$E$254)&lt;=25000,(($E$254/+$AH737)*AB737)*VLOOKUP('1. SUMMARY'!$C$20,rate,Sheet1!AE$21,0),((IF(($B$254+$C$254+$D$254)&gt;=25000,0,(((25000-($B$254+$C$254+$D$254))/+$AH737)*AB737)*(VLOOKUP('1. SUMMARY'!$C$20,rate,Sheet1!AE$21,0))))))))</f>
        <v>0</v>
      </c>
      <c r="AC738" s="407">
        <f>IF(AC737=0,0,(IF(($C$254+$B$254+$D$254+$E$254)&lt;=25000,(($E$254/+$AH737)*AC737)*VLOOKUP('1. SUMMARY'!$C$20,rate,Sheet1!AF$21,0),((IF(($B$254+$C$254+$D$254)&gt;=25000,0,(((25000-($B$254+$C$254+$D$254))/+$AH737)*AC737)*(VLOOKUP('1. SUMMARY'!$C$20,rate,Sheet1!AF$21,0))))))))</f>
        <v>0</v>
      </c>
      <c r="AD738" s="407">
        <f>IF(AD737=0,0,(IF(($C$254+$B$254+$D$254+$E$254)&lt;=25000,(($E$254/+$AH737)*AD737)*VLOOKUP('1. SUMMARY'!$C$20,rate,Sheet1!AG$21,0),((IF(($B$254+$C$254+$D$254)&gt;=25000,0,(((25000-($B$254+$C$254+$D$254))/+$AH737)*AD737)*(VLOOKUP('1. SUMMARY'!$C$20,rate,Sheet1!AG$21,0))))))))</f>
        <v>0</v>
      </c>
      <c r="AE738" s="407">
        <f>IF(AE737=0,0,(IF(($C$254+$B$254+$D$254+$E$254)&lt;=25000,(($E$254/+$AH737)*AE737)*VLOOKUP('1. SUMMARY'!$C$20,rate,Sheet1!AH$21,0),((IF(($B$254+$C$254+$D$254)&gt;=25000,0,(((25000-($B$254+$C$254+$D$254))/+$AH737)*AE737)*(VLOOKUP('1. SUMMARY'!$C$20,rate,Sheet1!AH$21,0))))))))</f>
        <v>0</v>
      </c>
      <c r="AF738" s="407">
        <f>IF(AF737=0,0,(IF(($C$254+$B$254+$D$254+$E$254)&lt;=25000,(($E$254/+$AH737)*AF737)*VLOOKUP('1. SUMMARY'!$C$20,rate,Sheet1!AI$21,0),((IF(($B$254+$C$254+$D$254)&gt;=25000,0,(((25000-($B$254+$C$254+$D$254))/+$AH737)*AF737)*(VLOOKUP('1. SUMMARY'!$C$20,rate,Sheet1!AI$21,0))))))))</f>
        <v>0</v>
      </c>
      <c r="AG738" s="407">
        <f>IF(AG737=0,0,(IF(($C$254+$B$254+$D$254+$E$254)&lt;=25000,(($E$254/+$AH737)*AG737)*VLOOKUP('1. SUMMARY'!$C$20,rate,Sheet1!AJ$21,0),((IF(($B$254+$C$254+$D$254)&gt;=25000,0,(((25000-($B$254+$C$254+$D$254))/+$AH737)*AG737)*(VLOOKUP('1. SUMMARY'!$C$20,rate,Sheet1!AJ$21,0))))))))</f>
        <v>0</v>
      </c>
      <c r="AH738" s="219">
        <f>SUM(Q738:AG738)</f>
        <v>0</v>
      </c>
      <c r="AI738" s="407">
        <f>IF(AI737=0,0,((+$E254/$AZ$22)*AI737)*VLOOKUP('1. SUMMARY'!$C$20,rate,Sheet1!T$21,0))</f>
        <v>0</v>
      </c>
      <c r="AJ738" s="407">
        <f>IF(AJ737=0,0,((+$E254/$AZ$22)*AJ737)*VLOOKUP('1. SUMMARY'!$C$20,rate,Sheet1!U$21,0))</f>
        <v>0</v>
      </c>
      <c r="AK738" s="407">
        <f>IF(AK737=0,0,((+$E254/$AZ$22)*AK737)*VLOOKUP('1. SUMMARY'!$C$20,rate,Sheet1!V$21,0))</f>
        <v>0</v>
      </c>
      <c r="AL738" s="407">
        <f>IF(AL737=0,0,((+$E254/$AZ$22)*AL737)*VLOOKUP('1. SUMMARY'!$C$20,rate,Sheet1!W$21,0))</f>
        <v>0</v>
      </c>
      <c r="AM738" s="407">
        <f>IF(AM737=0,0,((+$E254/$AZ$22)*AM737)*VLOOKUP('1. SUMMARY'!$C$20,rate,Sheet1!X$21,0))</f>
        <v>0</v>
      </c>
      <c r="AN738" s="407">
        <f>IF(AN737=0,0,((+$E254/$AZ$22)*AN737)*VLOOKUP('1. SUMMARY'!$C$20,rate,Sheet1!Y$21,0))</f>
        <v>0</v>
      </c>
      <c r="AO738" s="407">
        <f>IF(AO737=0,0,((+$E254/$AZ$22)*AO737)*VLOOKUP('1. SUMMARY'!$C$20,rate,Sheet1!Z$21,0))</f>
        <v>0</v>
      </c>
      <c r="AP738" s="407">
        <f>IF(AP737=0,0,((+$E254/$AZ$22)*AP737)*VLOOKUP('1. SUMMARY'!$C$20,rate,Sheet1!AA$21,0))</f>
        <v>0</v>
      </c>
      <c r="AQ738" s="407">
        <f>IF(AQ737=0,0,((+$E254/$AZ$22)*AQ737)*VLOOKUP('1. SUMMARY'!$C$20,rate,Sheet1!AB$21,0))</f>
        <v>0</v>
      </c>
      <c r="AR738" s="407">
        <f>IF(AR737=0,0,((+$E254/$AZ$22)*AR737)*VLOOKUP('1. SUMMARY'!$C$20,rate,Sheet1!AC$21,0))</f>
        <v>0</v>
      </c>
      <c r="AS738" s="407">
        <f>IF(AS737=0,0,((+$E254/$AZ$22)*AS737)*VLOOKUP('1. SUMMARY'!$C$20,rate,Sheet1!AD$21,0))</f>
        <v>0</v>
      </c>
      <c r="AT738" s="407">
        <f>IF(AT737=0,0,((+$E254/$AZ$22)*AT737)*VLOOKUP('1. SUMMARY'!$C$20,rate,Sheet1!AE$21,0))</f>
        <v>0</v>
      </c>
      <c r="AU738" s="407">
        <f>IF(AU737=0,0,((+$E254/$AZ$22)*AU737)*VLOOKUP('1. SUMMARY'!$C$20,rate,Sheet1!AF$21,0))</f>
        <v>0</v>
      </c>
      <c r="AV738" s="407">
        <f>IF(AV737=0,0,((+$E254/$AZ$22)*AV737)*VLOOKUP('1. SUMMARY'!$C$20,rate,Sheet1!AG$21,0))</f>
        <v>0</v>
      </c>
      <c r="AW738" s="407">
        <f>IF(AW737=0,0,((+$E254/$AZ$22)*AW737)*VLOOKUP('1. SUMMARY'!$C$20,rate,Sheet1!AH$21,0))</f>
        <v>0</v>
      </c>
      <c r="AX738" s="407">
        <f>IF(AX737=0,0,((+$E254/$AZ$22)*AX737)*VLOOKUP('1. SUMMARY'!$C$20,rate,Sheet1!AI$21,0))</f>
        <v>0</v>
      </c>
      <c r="AY738" s="407">
        <f>IF(AY737=0,0,((+$E254/$AZ$22)*AY737)*VLOOKUP('1. SUMMARY'!$C$20,rate,Sheet1!AJ$21,0))</f>
        <v>0</v>
      </c>
      <c r="AZ738" s="407">
        <f>SUM(AI738:AY738)</f>
        <v>0</v>
      </c>
    </row>
    <row r="739" spans="17:52" hidden="1">
      <c r="Q739" s="407">
        <f>+Q738/VLOOKUP('1. SUMMARY'!$C$20,rate,Sheet1!T$21,0)</f>
        <v>0</v>
      </c>
      <c r="R739" s="407">
        <f>+R738/VLOOKUP('1. SUMMARY'!$C$20,rate,Sheet1!U$21,0)</f>
        <v>0</v>
      </c>
      <c r="S739" s="407">
        <f>+S738/VLOOKUP('1. SUMMARY'!$C$20,rate,Sheet1!V$21,0)</f>
        <v>0</v>
      </c>
      <c r="T739" s="407">
        <f>+T738/VLOOKUP('1. SUMMARY'!$C$20,rate,Sheet1!W$21,0)</f>
        <v>0</v>
      </c>
      <c r="U739" s="407">
        <f>+U738/VLOOKUP('1. SUMMARY'!$C$20,rate,Sheet1!X$21,0)</f>
        <v>0</v>
      </c>
      <c r="V739" s="407">
        <f>+V738/VLOOKUP('1. SUMMARY'!$C$20,rate,Sheet1!Y$21,0)</f>
        <v>0</v>
      </c>
      <c r="W739" s="407">
        <f>+W738/VLOOKUP('1. SUMMARY'!$C$20,rate,Sheet1!Z$21,0)</f>
        <v>0</v>
      </c>
      <c r="X739" s="407">
        <f>+X738/VLOOKUP('1. SUMMARY'!$C$20,rate,Sheet1!AA$21,0)</f>
        <v>0</v>
      </c>
      <c r="Y739" s="407">
        <f>+Y738/VLOOKUP('1. SUMMARY'!$C$20,rate,Sheet1!AB$21,0)</f>
        <v>0</v>
      </c>
      <c r="Z739" s="407">
        <f>+Z738/VLOOKUP('1. SUMMARY'!$C$20,rate,Sheet1!AC$21,0)</f>
        <v>0</v>
      </c>
      <c r="AA739" s="407">
        <f>+AA738/VLOOKUP('1. SUMMARY'!$C$20,rate,Sheet1!AD$21,0)</f>
        <v>0</v>
      </c>
      <c r="AB739" s="407">
        <f>+AB738/VLOOKUP('1. SUMMARY'!$C$20,rate,Sheet1!AE$21,0)</f>
        <v>0</v>
      </c>
      <c r="AC739" s="407">
        <f>+AC738/VLOOKUP('1. SUMMARY'!$C$20,rate,Sheet1!AF$21,0)</f>
        <v>0</v>
      </c>
      <c r="AD739" s="407">
        <f>+AD738/VLOOKUP('1. SUMMARY'!$C$20,rate,Sheet1!AG$21,0)</f>
        <v>0</v>
      </c>
      <c r="AE739" s="407">
        <f>+AE738/VLOOKUP('1. SUMMARY'!$C$20,rate,Sheet1!AH$21,0)</f>
        <v>0</v>
      </c>
      <c r="AF739" s="407">
        <f>+AF738/VLOOKUP('1. SUMMARY'!$C$20,rate,Sheet1!AI$21,0)</f>
        <v>0</v>
      </c>
      <c r="AG739" s="407">
        <f>+AG738/VLOOKUP('1. SUMMARY'!$C$20,rate,Sheet1!AJ$21,0)</f>
        <v>0</v>
      </c>
      <c r="AH739" s="219"/>
      <c r="AI739" s="407">
        <v>0</v>
      </c>
      <c r="AJ739" s="407">
        <v>0</v>
      </c>
      <c r="AK739" s="407">
        <v>0</v>
      </c>
      <c r="AL739" s="407">
        <v>0</v>
      </c>
      <c r="AM739" s="407">
        <v>0</v>
      </c>
      <c r="AN739" s="407">
        <v>0</v>
      </c>
      <c r="AO739" s="407">
        <v>0</v>
      </c>
      <c r="AP739" s="407">
        <v>0</v>
      </c>
      <c r="AQ739" s="407"/>
      <c r="AR739" s="407"/>
      <c r="AS739" s="407"/>
      <c r="AT739" s="407"/>
      <c r="AU739" s="407"/>
      <c r="AV739" s="407"/>
      <c r="AW739" s="407"/>
      <c r="AX739" s="407"/>
      <c r="AY739" s="407"/>
      <c r="AZ739" s="407"/>
    </row>
    <row r="740" spans="17:52" hidden="1">
      <c r="Q740" s="408">
        <f>Sheet1!$T$8</f>
        <v>44105</v>
      </c>
      <c r="R740" s="408">
        <f>Sheet1!$U$8</f>
        <v>44470</v>
      </c>
      <c r="S740" s="408">
        <f>Sheet1!$V$8</f>
        <v>44835</v>
      </c>
      <c r="T740" s="408">
        <f>Sheet1!$W$8</f>
        <v>45200</v>
      </c>
      <c r="U740" s="408">
        <f>Sheet1!$X$8</f>
        <v>45566</v>
      </c>
      <c r="V740" s="408">
        <f>Sheet1!$Y$8</f>
        <v>45931</v>
      </c>
      <c r="W740" s="408">
        <f>Sheet1!$Z$8</f>
        <v>46296</v>
      </c>
      <c r="X740" s="408">
        <f>Sheet1!$AA$8</f>
        <v>46661</v>
      </c>
      <c r="Y740" s="408">
        <f>Sheet1!$AB$8</f>
        <v>47027</v>
      </c>
      <c r="Z740" s="408">
        <f>Sheet1!$AC$8</f>
        <v>47392</v>
      </c>
      <c r="AA740" s="408">
        <f>$AA$5</f>
        <v>47757</v>
      </c>
      <c r="AB740" s="408">
        <f>$AB$5</f>
        <v>48122</v>
      </c>
      <c r="AC740" s="408">
        <f>$AC$5</f>
        <v>48488</v>
      </c>
      <c r="AD740" s="408">
        <f>$AD$5</f>
        <v>48853</v>
      </c>
      <c r="AE740" s="408">
        <f>$AE$5</f>
        <v>49218</v>
      </c>
      <c r="AF740" s="408">
        <f>$AF$5</f>
        <v>49583</v>
      </c>
      <c r="AG740" s="408">
        <f>$AG$5</f>
        <v>49949</v>
      </c>
      <c r="AH740" s="211"/>
      <c r="AI740" s="408">
        <f t="shared" ref="AI740:AR742" si="326">+Q740</f>
        <v>44105</v>
      </c>
      <c r="AJ740" s="408">
        <f t="shared" si="326"/>
        <v>44470</v>
      </c>
      <c r="AK740" s="408">
        <f t="shared" si="326"/>
        <v>44835</v>
      </c>
      <c r="AL740" s="408">
        <f t="shared" si="326"/>
        <v>45200</v>
      </c>
      <c r="AM740" s="408">
        <f t="shared" si="326"/>
        <v>45566</v>
      </c>
      <c r="AN740" s="408">
        <f t="shared" si="326"/>
        <v>45931</v>
      </c>
      <c r="AO740" s="408">
        <f t="shared" si="326"/>
        <v>46296</v>
      </c>
      <c r="AP740" s="408">
        <f t="shared" si="326"/>
        <v>46661</v>
      </c>
      <c r="AQ740" s="408">
        <f t="shared" si="326"/>
        <v>47027</v>
      </c>
      <c r="AR740" s="408">
        <f t="shared" si="326"/>
        <v>47392</v>
      </c>
      <c r="AS740" s="408">
        <f t="shared" ref="AS740:AY742" si="327">+AA740</f>
        <v>47757</v>
      </c>
      <c r="AT740" s="408">
        <f t="shared" si="327"/>
        <v>48122</v>
      </c>
      <c r="AU740" s="408">
        <f t="shared" si="327"/>
        <v>48488</v>
      </c>
      <c r="AV740" s="408">
        <f t="shared" si="327"/>
        <v>48853</v>
      </c>
      <c r="AW740" s="408">
        <f t="shared" si="327"/>
        <v>49218</v>
      </c>
      <c r="AX740" s="408">
        <f t="shared" si="327"/>
        <v>49583</v>
      </c>
      <c r="AY740" s="408">
        <f t="shared" si="327"/>
        <v>49949</v>
      </c>
      <c r="AZ740" s="408"/>
    </row>
    <row r="741" spans="17:52" hidden="1">
      <c r="Q741" s="408">
        <f>Sheet1!$T$9</f>
        <v>44469</v>
      </c>
      <c r="R741" s="408">
        <f>Sheet1!$U$9</f>
        <v>44834</v>
      </c>
      <c r="S741" s="408">
        <f>Sheet1!$V$9</f>
        <v>45199</v>
      </c>
      <c r="T741" s="408">
        <f>Sheet1!$W$9</f>
        <v>45565</v>
      </c>
      <c r="U741" s="408">
        <f>Sheet1!$X$9</f>
        <v>45930</v>
      </c>
      <c r="V741" s="408">
        <f>Sheet1!$Y$9</f>
        <v>46295</v>
      </c>
      <c r="W741" s="408">
        <f>Sheet1!$Z$9</f>
        <v>46660</v>
      </c>
      <c r="X741" s="408">
        <f>Sheet1!$AA$9</f>
        <v>47026</v>
      </c>
      <c r="Y741" s="408">
        <f>Sheet1!$AB$9</f>
        <v>47391</v>
      </c>
      <c r="Z741" s="408">
        <f>Sheet1!$AC$9</f>
        <v>47756</v>
      </c>
      <c r="AA741" s="408">
        <f>$AA$6</f>
        <v>48121</v>
      </c>
      <c r="AB741" s="408">
        <f>$AB$6</f>
        <v>48487</v>
      </c>
      <c r="AC741" s="408">
        <f>$AC$6</f>
        <v>48852</v>
      </c>
      <c r="AD741" s="408">
        <f>$AD$6</f>
        <v>49217</v>
      </c>
      <c r="AE741" s="408">
        <f>$AE$6</f>
        <v>49582</v>
      </c>
      <c r="AF741" s="408">
        <f>$AF$6</f>
        <v>49948</v>
      </c>
      <c r="AG741" s="408">
        <f>$AG$6</f>
        <v>50313</v>
      </c>
      <c r="AH741" s="211"/>
      <c r="AI741" s="408">
        <f t="shared" si="326"/>
        <v>44469</v>
      </c>
      <c r="AJ741" s="408">
        <f t="shared" si="326"/>
        <v>44834</v>
      </c>
      <c r="AK741" s="408">
        <f t="shared" si="326"/>
        <v>45199</v>
      </c>
      <c r="AL741" s="408">
        <f t="shared" si="326"/>
        <v>45565</v>
      </c>
      <c r="AM741" s="408">
        <f t="shared" si="326"/>
        <v>45930</v>
      </c>
      <c r="AN741" s="408">
        <f t="shared" si="326"/>
        <v>46295</v>
      </c>
      <c r="AO741" s="408">
        <f t="shared" si="326"/>
        <v>46660</v>
      </c>
      <c r="AP741" s="408">
        <f t="shared" si="326"/>
        <v>47026</v>
      </c>
      <c r="AQ741" s="408">
        <f t="shared" si="326"/>
        <v>47391</v>
      </c>
      <c r="AR741" s="408">
        <f t="shared" si="326"/>
        <v>47756</v>
      </c>
      <c r="AS741" s="408">
        <f t="shared" si="327"/>
        <v>48121</v>
      </c>
      <c r="AT741" s="408">
        <f t="shared" si="327"/>
        <v>48487</v>
      </c>
      <c r="AU741" s="408">
        <f t="shared" si="327"/>
        <v>48852</v>
      </c>
      <c r="AV741" s="408">
        <f t="shared" si="327"/>
        <v>49217</v>
      </c>
      <c r="AW741" s="408">
        <f t="shared" si="327"/>
        <v>49582</v>
      </c>
      <c r="AX741" s="408">
        <f t="shared" si="327"/>
        <v>49948</v>
      </c>
      <c r="AY741" s="408">
        <f t="shared" si="327"/>
        <v>50313</v>
      </c>
      <c r="AZ741" s="408"/>
    </row>
    <row r="742" spans="17:52" hidden="1">
      <c r="Q742" s="409">
        <f>IF(IF(Q741&lt;$F$27,0,DATEDIF($F$27,Q741+1,"m"))&lt;0,0,IF(Q741&lt;$F$27,0,DATEDIF($F$27,Q741+1,"m")))</f>
        <v>0</v>
      </c>
      <c r="R742" s="409">
        <f>IF(IF(Q742=12,0,IF(R741&gt;$F$28,12-DATEDIF($F$28,R741+1,"m"),IF(R741&lt;$F$27,0,DATEDIF($F$27,R741+1,"m"))))&lt;0,0,IF(Q742=12,0,IF(R741&gt;$F$28,12-DATEDIF($F$28,R741+1,"m"),IF(R741&lt;$F$27,0,DATEDIF($F$27,R741+1,"m")))))</f>
        <v>0</v>
      </c>
      <c r="S742" s="409">
        <f>IF(IF(Q742+R742=12,0,IF(S741&gt;$F$28,12-DATEDIF($F$28,S741+1,"m"),IF(S741&lt;$F$27,0,DATEDIF($F$27,S741+1,"m"))))&lt;0,0,IF(Q742+R742=12,0,IF(S741&gt;$F$28,12-DATEDIF($F$28,S741+1,"m"),IF(S741&lt;$F$27,0,DATEDIF($F$27,S741+1,"m")))))</f>
        <v>0</v>
      </c>
      <c r="T742" s="409">
        <f>IF(IF(R742+S742+Q742=12,0,IF(T741&gt;$F$28,12-DATEDIF($F$28,T741+1,"m"),IF(T741&lt;$F$27,0,DATEDIF($F$27,T741+1,"m"))))&lt;0,0,IF(R742+S742+Q742=12,0,IF(T741&gt;$F$28,12-DATEDIF($F$28,T741+1,"m"),IF(T741&lt;$F$27,0,DATEDIF($F$27,T741+1,"m")))))</f>
        <v>0</v>
      </c>
      <c r="U742" s="409">
        <f>IF(IF(S742+T742+R742+Q742=12,0,IF(U741&gt;$F$28,12-DATEDIF($F$28,U741+1,"m"),IF(U741&lt;$F$27,0,DATEDIF($F$27,U741+1,"m"))))&lt;0,0,IF(S742+T742+R742+Q742=12,0,IF(U741&gt;$F$28,12-DATEDIF($F$28,U741+1,"m"),IF(U741&lt;$F$27,0,DATEDIF($F$27,U741+1,"m")))))</f>
        <v>0</v>
      </c>
      <c r="V742" s="409">
        <f>IF(IF(T742+U742+S742+R742+Q742=12,0,IF(V741&gt;$F$28,12-DATEDIF($F$28,V741+1,"m"),IF(V741&lt;$F$27,0,DATEDIF($F$27,V741+1,"m"))))&lt;0,0,IF(T742+U742+S742+R742+Q742=12,0,IF(V741&gt;$F$28,12-DATEDIF($F$28,V741+1,"m"),IF(V741&lt;$F$27,0,DATEDIF($F$27,V741+1,"m")))))</f>
        <v>0</v>
      </c>
      <c r="W742" s="409">
        <f>IF(IF(U742+V742+T742+S742+R742+Q742=12,0,IF(W741&gt;$F$28,12-DATEDIF($F$28,W741+1,"m"),IF(W741&lt;$F$27,0,DATEDIF($F$27,W741+1,"m"))))&lt;0,0,IF(U742+V742+T742+S742+R742+Q742=12,0,IF(W741&gt;$F$28,12-DATEDIF($F$28,W741+1,"m"),IF(W741&lt;$F$27,0,DATEDIF($F$27,W741+1,"m")))))</f>
        <v>0</v>
      </c>
      <c r="X742" s="409">
        <f>IF(IF(V742+W742+U742+T742+S742+R742+Q742=12,0,IF(X741&gt;$F$28,12-DATEDIF($F$28,X741+1,"m"),IF(X741&lt;$F$27,0,DATEDIF($F$27,X741+1,"m"))))&lt;0,0,IF(V742+W742+U742+T742+S742+R742+Q742=12,0,IF(X741&gt;$F$28,12-DATEDIF($F$28,X741+1,"m"),IF(X741&lt;$F$27,0,DATEDIF($F$27,X741+1,"m")))))</f>
        <v>0</v>
      </c>
      <c r="Y742" s="409">
        <f>IF(IF(Q742+W742+X742+V742+U742+T742+S742+R742=12,0,IF(Y741&gt;$F$28,12-DATEDIF($F$28,Y741+1,"m"),IF(Y741&lt;$F$27,0,DATEDIF($F$27,Y741+1,"m"))))&lt;0,0,IF(Q742+W742+X742+V742+U742+T742+S742+R742=12,0,IF(Y741&gt;$F$28,12-DATEDIF($F$28,Y741+1,"m"),IF(Y741&lt;$F$27,0,DATEDIF($F$27,Y741+1,"m")))))</f>
        <v>0</v>
      </c>
      <c r="Z742" s="409">
        <f>IF(IF(Q742+R742+X742+Y742+W742+V742+U742+T742+S742=12,0,IF(Z741&gt;$F$28,12-DATEDIF($F$28,Z741+1,"m"),IF(Z741&lt;$F$27,0,DATEDIF($F$27,Z741+1,"m"))))&lt;0,0,IF(Q742+R742+X742+Y742+W742+V742+U742+T742+S742=12,0,IF(Z741&gt;$F$28,12-DATEDIF($F$28,Z741+1,"m"),IF(Z741&lt;$F$27,0,DATEDIF($F$27,Z741+1,"m")))))</f>
        <v>0</v>
      </c>
      <c r="AA742" s="409"/>
      <c r="AB742" s="409"/>
      <c r="AC742" s="409"/>
      <c r="AD742" s="409"/>
      <c r="AE742" s="409"/>
      <c r="AF742" s="409"/>
      <c r="AG742" s="409"/>
      <c r="AH742" s="423">
        <f>SUM(Q742:AG742)</f>
        <v>0</v>
      </c>
      <c r="AI742" s="409">
        <f t="shared" si="326"/>
        <v>0</v>
      </c>
      <c r="AJ742" s="409">
        <f t="shared" si="326"/>
        <v>0</v>
      </c>
      <c r="AK742" s="409">
        <f t="shared" si="326"/>
        <v>0</v>
      </c>
      <c r="AL742" s="409">
        <f t="shared" si="326"/>
        <v>0</v>
      </c>
      <c r="AM742" s="409">
        <f t="shared" si="326"/>
        <v>0</v>
      </c>
      <c r="AN742" s="409">
        <f t="shared" si="326"/>
        <v>0</v>
      </c>
      <c r="AO742" s="409">
        <f t="shared" si="326"/>
        <v>0</v>
      </c>
      <c r="AP742" s="409">
        <f t="shared" si="326"/>
        <v>0</v>
      </c>
      <c r="AQ742" s="409">
        <f t="shared" si="326"/>
        <v>0</v>
      </c>
      <c r="AR742" s="409">
        <f t="shared" si="326"/>
        <v>0</v>
      </c>
      <c r="AS742" s="409">
        <f t="shared" si="327"/>
        <v>0</v>
      </c>
      <c r="AT742" s="409">
        <f t="shared" si="327"/>
        <v>0</v>
      </c>
      <c r="AU742" s="409">
        <f t="shared" si="327"/>
        <v>0</v>
      </c>
      <c r="AV742" s="409">
        <f t="shared" si="327"/>
        <v>0</v>
      </c>
      <c r="AW742" s="409">
        <f t="shared" si="327"/>
        <v>0</v>
      </c>
      <c r="AX742" s="409">
        <f t="shared" si="327"/>
        <v>0</v>
      </c>
      <c r="AY742" s="409">
        <f t="shared" si="327"/>
        <v>0</v>
      </c>
      <c r="AZ742" s="409">
        <f>SUM(AI742:AY742)</f>
        <v>0</v>
      </c>
    </row>
    <row r="743" spans="17:52" hidden="1">
      <c r="Q743" s="410">
        <f>IF(Q742=0,0,(IF(($C$254+$B$254+$D$254+$E$254+$F$254)&lt;=25000,(($F$254/+$AH742)*Q742)*VLOOKUP('1. SUMMARY'!$C$20,rate,Sheet1!T$21,0),((IF(($B$254+$C$254+$D$254+$E$254)&gt;=25000,0,(((25000-($B$254+$C$254+$D$254+$E$254))/+$AH742)*Q742)*(VLOOKUP('1. SUMMARY'!$C$20,rate,Sheet1!T$21,0))))))))</f>
        <v>0</v>
      </c>
      <c r="R743" s="410">
        <f>IF(R742=0,0,(IF(($C$254+$B$254+$D$254+$E$254+$F$254)&lt;=25000,(($F$254/+$AH742)*R742)*VLOOKUP('1. SUMMARY'!$C$20,rate,Sheet1!U$21,0),((IF(($B$254+$C$254+$D$254+$E$254)&gt;=25000,0,(((25000-($B$254+$C$254+$D$254+$E$254))/+$AH742)*R742)*(VLOOKUP('1. SUMMARY'!$C$20,rate,Sheet1!U$21,0))))))))</f>
        <v>0</v>
      </c>
      <c r="S743" s="410">
        <f>IF(S742=0,0,(IF(($C$254+$B$254+$D$254+$E$254+$F$254)&lt;=25000,(($F$254/+$AH742)*S742)*VLOOKUP('1. SUMMARY'!$C$20,rate,Sheet1!V$21,0),((IF(($B$254+$C$254+$D$254+$E$254)&gt;=25000,0,(((25000-($B$254+$C$254+$D$254+$E$254))/+$AH742)*S742)*(VLOOKUP('1. SUMMARY'!$C$20,rate,Sheet1!V$21,0))))))))</f>
        <v>0</v>
      </c>
      <c r="T743" s="410">
        <f>IF(T742=0,0,(IF(($C$254+$B$254+$D$254+$E$254+$F$254)&lt;=25000,(($F$254/+$AH742)*T742)*VLOOKUP('1. SUMMARY'!$C$20,rate,Sheet1!W$21,0),((IF(($B$254+$C$254+$D$254+$E$254)&gt;=25000,0,(((25000-($B$254+$C$254+$D$254+$E$254))/+$AH742)*T742)*(VLOOKUP('1. SUMMARY'!$C$20,rate,Sheet1!W$21,0))))))))</f>
        <v>0</v>
      </c>
      <c r="U743" s="410">
        <f>IF(U742=0,0,(IF(($C$254+$B$254+$D$254+$E$254+$F$254)&lt;=25000,(($F$254/+$AH742)*U742)*VLOOKUP('1. SUMMARY'!$C$20,rate,Sheet1!X$21,0),((IF(($B$254+$C$254+$D$254+$E$254)&gt;=25000,0,(((25000-($B$254+$C$254+$D$254+$E$254))/+$AH742)*U742)*(VLOOKUP('1. SUMMARY'!$C$20,rate,Sheet1!X$21,0))))))))</f>
        <v>0</v>
      </c>
      <c r="V743" s="410">
        <f>IF(V742=0,0,(IF(($C$254+$B$254+$D$254+$E$254+$F$254)&lt;=25000,(($F$254/+$AH742)*V742)*VLOOKUP('1. SUMMARY'!$C$20,rate,Sheet1!Y$21,0),((IF(($B$254+$C$254+$D$254+$E$254)&gt;=25000,0,(((25000-($B$254+$C$254+$D$254+$E$254))/+$AH742)*V742)*(VLOOKUP('1. SUMMARY'!$C$20,rate,Sheet1!Y$21,0))))))))</f>
        <v>0</v>
      </c>
      <c r="W743" s="410">
        <f>IF(W742=0,0,(IF(($C$254+$B$254+$D$254+$E$254+$F$254)&lt;=25000,(($F$254/+$AH742)*W742)*VLOOKUP('1. SUMMARY'!$C$20,rate,Sheet1!Z$21,0),((IF(($B$254+$C$254+$D$254+$E$254)&gt;=25000,0,(((25000-($B$254+$C$254+$D$254+$E$254))/+$AH742)*W742)*(VLOOKUP('1. SUMMARY'!$C$20,rate,Sheet1!Z$21,0))))))))</f>
        <v>0</v>
      </c>
      <c r="X743" s="410">
        <f>IF(X742=0,0,(IF(($C$254+$B$254+$D$254+$E$254+$F$254)&lt;=25000,(($F$254/+$AH742)*X742)*VLOOKUP('1. SUMMARY'!$C$20,rate,Sheet1!AA$21,0),((IF(($B$254+$C$254+$D$254+$E$254)&gt;=25000,0,(((25000-($B$254+$C$254+$D$254+$E$254))/+$AH742)*X742)*(VLOOKUP('1. SUMMARY'!$C$20,rate,Sheet1!AA$21,0))))))))</f>
        <v>0</v>
      </c>
      <c r="Y743" s="410">
        <f>IF(Y742=0,0,(IF(($C$254+$B$254+$D$254+$E$254+$F$254)&lt;=25000,(($F$254/+$AH742)*Y742)*VLOOKUP('1. SUMMARY'!$C$20,rate,Sheet1!AB$21,0),((IF(($B$254+$C$254+$D$254+$E$254)&gt;=25000,0,(((25000-($B$254+$C$254+$D$254+$E$254))/+$AH742)*Y742)*(VLOOKUP('1. SUMMARY'!$C$20,rate,Sheet1!AB$21,0))))))))</f>
        <v>0</v>
      </c>
      <c r="Z743" s="410">
        <f>IF(Z742=0,0,(IF(($C$254+$B$254+$D$254+$E$254+$F$254)&lt;=25000,(($F$254/+$AH742)*Z742)*VLOOKUP('1. SUMMARY'!$C$20,rate,Sheet1!AC$21,0),((IF(($B$254+$C$254+$D$254+$E$254)&gt;=25000,0,(((25000-($B$254+$C$254+$D$254+$E$254))/+$AH742)*Z742)*(VLOOKUP('1. SUMMARY'!$C$20,rate,Sheet1!AC$21,0))))))))</f>
        <v>0</v>
      </c>
      <c r="AA743" s="410">
        <f>IF(AA742=0,0,(IF(($C$254+$B$254+$D$254+$E$254+$F$254)&lt;=25000,(($F$254/+$AH742)*AA742)*VLOOKUP('1. SUMMARY'!$C$20,rate,Sheet1!AD$21,0),((IF(($B$254+$C$254+$D$254+$E$254)&gt;=25000,0,(((25000-($B$254+$C$254+$D$254+$E$254))/+$AH742)*AA742)*(VLOOKUP('1. SUMMARY'!$C$20,rate,Sheet1!AD$21,0))))))))</f>
        <v>0</v>
      </c>
      <c r="AB743" s="410">
        <f>IF(AB742=0,0,(IF(($C$254+$B$254+$D$254+$E$254+$F$254)&lt;=25000,(($F$254/+$AH742)*AB742)*VLOOKUP('1. SUMMARY'!$C$20,rate,Sheet1!AE$21,0),((IF(($B$254+$C$254+$D$254+$E$254)&gt;=25000,0,(((25000-($B$254+$C$254+$D$254+$E$254))/+$AH742)*AB742)*(VLOOKUP('1. SUMMARY'!$C$20,rate,Sheet1!AE$21,0))))))))</f>
        <v>0</v>
      </c>
      <c r="AC743" s="410">
        <f>IF(AC742=0,0,(IF(($C$254+$B$254+$D$254+$E$254+$F$254)&lt;=25000,(($F$254/+$AH742)*AC742)*VLOOKUP('1. SUMMARY'!$C$20,rate,Sheet1!AF$21,0),((IF(($B$254+$C$254+$D$254+$E$254)&gt;=25000,0,(((25000-($B$254+$C$254+$D$254+$E$254))/+$AH742)*AC742)*(VLOOKUP('1. SUMMARY'!$C$20,rate,Sheet1!AF$21,0))))))))</f>
        <v>0</v>
      </c>
      <c r="AD743" s="410">
        <f>IF(AD742=0,0,(IF(($C$254+$B$254+$D$254+$E$254+$F$254)&lt;=25000,(($F$254/+$AH742)*AD742)*VLOOKUP('1. SUMMARY'!$C$20,rate,Sheet1!AG$21,0),((IF(($B$254+$C$254+$D$254+$E$254)&gt;=25000,0,(((25000-($B$254+$C$254+$D$254+$E$254))/+$AH742)*AD742)*(VLOOKUP('1. SUMMARY'!$C$20,rate,Sheet1!AG$21,0))))))))</f>
        <v>0</v>
      </c>
      <c r="AE743" s="410">
        <f>IF(AE742=0,0,(IF(($C$254+$B$254+$D$254+$E$254+$F$254)&lt;=25000,(($F$254/+$AH742)*AE742)*VLOOKUP('1. SUMMARY'!$C$20,rate,Sheet1!AH$21,0),((IF(($B$254+$C$254+$D$254+$E$254)&gt;=25000,0,(((25000-($B$254+$C$254+$D$254+$E$254))/+$AH742)*AE742)*(VLOOKUP('1. SUMMARY'!$C$20,rate,Sheet1!AH$21,0))))))))</f>
        <v>0</v>
      </c>
      <c r="AF743" s="410">
        <f>IF(AF742=0,0,(IF(($C$254+$B$254+$D$254+$E$254+$F$254)&lt;=25000,(($F$254/+$AH742)*AF742)*VLOOKUP('1. SUMMARY'!$C$20,rate,Sheet1!AI$21,0),((IF(($B$254+$C$254+$D$254+$E$254)&gt;=25000,0,(((25000-($B$254+$C$254+$D$254+$E$254))/+$AH742)*AF742)*(VLOOKUP('1. SUMMARY'!$C$20,rate,Sheet1!AI$21,0))))))))</f>
        <v>0</v>
      </c>
      <c r="AG743" s="410">
        <f>IF(AG742=0,0,(IF(($C$254+$B$254+$D$254+$E$254+$F$254)&lt;=25000,(($F$254/+$AH742)*AG742)*VLOOKUP('1. SUMMARY'!$C$20,rate,Sheet1!AJ$21,0),((IF(($B$254+$C$254+$D$254+$E$254)&gt;=25000,0,(((25000-($B$254+$C$254+$D$254+$E$254))/+$AH742)*AG742)*(VLOOKUP('1. SUMMARY'!$C$20,rate,Sheet1!AJ$21,0))))))))</f>
        <v>0</v>
      </c>
      <c r="AH743" s="219">
        <f>SUM(Q743:AG743)</f>
        <v>0</v>
      </c>
      <c r="AI743" s="410">
        <f>IF(AI742=0,0,((+$F254/$AZ742)*AI742)*VLOOKUP('1. SUMMARY'!$C$20,rate,Sheet1!T$21,0))</f>
        <v>0</v>
      </c>
      <c r="AJ743" s="410">
        <f>IF(AJ742=0,0,((+$F254/$AZ742)*AJ742)*VLOOKUP('1. SUMMARY'!$C$20,rate,Sheet1!U$21,0))</f>
        <v>0</v>
      </c>
      <c r="AK743" s="410">
        <f>IF(AK742=0,0,((+$F254/$AZ742)*AK742)*VLOOKUP('1. SUMMARY'!$C$20,rate,Sheet1!V$21,0))</f>
        <v>0</v>
      </c>
      <c r="AL743" s="410">
        <f>IF(AL742=0,0,((+$F254/$AZ742)*AL742)*VLOOKUP('1. SUMMARY'!$C$20,rate,Sheet1!W$21,0))</f>
        <v>0</v>
      </c>
      <c r="AM743" s="410">
        <f>IF(AM742=0,0,((+$F254/$AZ742)*AM742)*VLOOKUP('1. SUMMARY'!$C$20,rate,Sheet1!X$21,0))</f>
        <v>0</v>
      </c>
      <c r="AN743" s="410">
        <f>IF(AN742=0,0,((+$F254/$AZ742)*AN742)*VLOOKUP('1. SUMMARY'!$C$20,rate,Sheet1!Y$21,0))</f>
        <v>0</v>
      </c>
      <c r="AO743" s="410">
        <f>IF(AO742=0,0,((+$F254/$AZ742)*AO742)*VLOOKUP('1. SUMMARY'!$C$20,rate,Sheet1!Z$21,0))</f>
        <v>0</v>
      </c>
      <c r="AP743" s="410">
        <f>IF(AP742=0,0,((+$F254/$AZ742)*AP742)*VLOOKUP('1. SUMMARY'!$C$20,rate,Sheet1!AA$21,0))</f>
        <v>0</v>
      </c>
      <c r="AQ743" s="410">
        <f>IF(AQ742=0,0,((+$F254/$AZ742)*AQ742)*VLOOKUP('1. SUMMARY'!$C$20,rate,Sheet1!AB$21,0))</f>
        <v>0</v>
      </c>
      <c r="AR743" s="410">
        <f>IF(AR742=0,0,((+$F254/$AZ742)*AR742)*VLOOKUP('1. SUMMARY'!$C$20,rate,Sheet1!AC$21,0))</f>
        <v>0</v>
      </c>
      <c r="AS743" s="410">
        <f>IF(AS742=0,0,((+$F254/$AZ742)*AS742)*VLOOKUP('1. SUMMARY'!$C$20,rate,Sheet1!AD$21,0))</f>
        <v>0</v>
      </c>
      <c r="AT743" s="410">
        <f>IF(AT742=0,0,((+$F254/$AZ742)*AT742)*VLOOKUP('1. SUMMARY'!$C$20,rate,Sheet1!AE$21,0))</f>
        <v>0</v>
      </c>
      <c r="AU743" s="410">
        <f>IF(AU742=0,0,((+$F254/$AZ742)*AU742)*VLOOKUP('1. SUMMARY'!$C$20,rate,Sheet1!AF$21,0))</f>
        <v>0</v>
      </c>
      <c r="AV743" s="410">
        <f>IF(AV742=0,0,((+$F254/$AZ742)*AV742)*VLOOKUP('1. SUMMARY'!$C$20,rate,Sheet1!AG$21,0))</f>
        <v>0</v>
      </c>
      <c r="AW743" s="410">
        <f>IF(AW742=0,0,((+$F254/$AZ742)*AW742)*VLOOKUP('1. SUMMARY'!$C$20,rate,Sheet1!AH$21,0))</f>
        <v>0</v>
      </c>
      <c r="AX743" s="410">
        <f>IF(AX742=0,0,((+$F254/$AZ742)*AX742)*VLOOKUP('1. SUMMARY'!$C$20,rate,Sheet1!AI$21,0))</f>
        <v>0</v>
      </c>
      <c r="AY743" s="410">
        <f>IF(AY742=0,0,((+$F254/$AZ742)*AY742)*VLOOKUP('1. SUMMARY'!$C$20,rate,Sheet1!AJ$21,0))</f>
        <v>0</v>
      </c>
      <c r="AZ743" s="410">
        <f>SUM(AI743:AY743)</f>
        <v>0</v>
      </c>
    </row>
    <row r="744" spans="17:52" hidden="1">
      <c r="Q744" s="410">
        <f>+Q743/VLOOKUP('1. SUMMARY'!$C$20,rate,Sheet1!T$21,0)</f>
        <v>0</v>
      </c>
      <c r="R744" s="410">
        <f>+R743/VLOOKUP('1. SUMMARY'!$C$20,rate,Sheet1!U$21,0)</f>
        <v>0</v>
      </c>
      <c r="S744" s="410">
        <f>+S743/VLOOKUP('1. SUMMARY'!$C$20,rate,Sheet1!V$21,0)</f>
        <v>0</v>
      </c>
      <c r="T744" s="410">
        <f>+T743/VLOOKUP('1. SUMMARY'!$C$20,rate,Sheet1!W$21,0)</f>
        <v>0</v>
      </c>
      <c r="U744" s="410">
        <f>+U743/VLOOKUP('1. SUMMARY'!$C$20,rate,Sheet1!X$21,0)</f>
        <v>0</v>
      </c>
      <c r="V744" s="410">
        <f>+V743/VLOOKUP('1. SUMMARY'!$C$20,rate,Sheet1!Y$21,0)</f>
        <v>0</v>
      </c>
      <c r="W744" s="410">
        <f>+W743/VLOOKUP('1. SUMMARY'!$C$20,rate,Sheet1!Z$21,0)</f>
        <v>0</v>
      </c>
      <c r="X744" s="410">
        <f>+X743/VLOOKUP('1. SUMMARY'!$C$20,rate,Sheet1!AA$21,0)</f>
        <v>0</v>
      </c>
      <c r="Y744" s="410">
        <f>+Y743/VLOOKUP('1. SUMMARY'!$C$20,rate,Sheet1!AB$21,0)</f>
        <v>0</v>
      </c>
      <c r="Z744" s="410">
        <f>+Z743/VLOOKUP('1. SUMMARY'!$C$20,rate,Sheet1!AC$21,0)</f>
        <v>0</v>
      </c>
      <c r="AA744" s="410">
        <f>+AA743/VLOOKUP('1. SUMMARY'!$C$20,rate,Sheet1!AD$21,0)</f>
        <v>0</v>
      </c>
      <c r="AB744" s="410">
        <f>+AB743/VLOOKUP('1. SUMMARY'!$C$20,rate,Sheet1!AE$21,0)</f>
        <v>0</v>
      </c>
      <c r="AC744" s="410">
        <f>+AC743/VLOOKUP('1. SUMMARY'!$C$20,rate,Sheet1!AF$21,0)</f>
        <v>0</v>
      </c>
      <c r="AD744" s="410">
        <f>+AD743/VLOOKUP('1. SUMMARY'!$C$20,rate,Sheet1!AG$21,0)</f>
        <v>0</v>
      </c>
      <c r="AE744" s="410">
        <f>+AE743/VLOOKUP('1. SUMMARY'!$C$20,rate,Sheet1!AH$21,0)</f>
        <v>0</v>
      </c>
      <c r="AF744" s="410">
        <f>+AF743/VLOOKUP('1. SUMMARY'!$C$20,rate,Sheet1!AI$21,0)</f>
        <v>0</v>
      </c>
      <c r="AG744" s="410">
        <f>+AG743/VLOOKUP('1. SUMMARY'!$C$20,rate,Sheet1!AJ$21,0)</f>
        <v>0</v>
      </c>
      <c r="AH744" s="219"/>
      <c r="AI744" s="410">
        <v>0</v>
      </c>
      <c r="AJ744" s="410">
        <v>0</v>
      </c>
      <c r="AK744" s="410">
        <v>0</v>
      </c>
      <c r="AL744" s="410">
        <v>0</v>
      </c>
      <c r="AM744" s="410">
        <v>0</v>
      </c>
      <c r="AN744" s="410">
        <v>0</v>
      </c>
      <c r="AO744" s="410">
        <v>0</v>
      </c>
      <c r="AP744" s="410">
        <v>0</v>
      </c>
      <c r="AQ744" s="410"/>
      <c r="AR744" s="410"/>
      <c r="AS744" s="410"/>
      <c r="AT744" s="410"/>
      <c r="AU744" s="410"/>
      <c r="AV744" s="410"/>
      <c r="AW744" s="410"/>
      <c r="AX744" s="410"/>
      <c r="AY744" s="410"/>
      <c r="AZ744" s="410"/>
    </row>
    <row r="745" spans="17:52" hidden="1">
      <c r="Q745" s="413">
        <f>Sheet1!$T$8</f>
        <v>44105</v>
      </c>
      <c r="R745" s="413">
        <f>Sheet1!$U$8</f>
        <v>44470</v>
      </c>
      <c r="S745" s="413">
        <f>Sheet1!$V$8</f>
        <v>44835</v>
      </c>
      <c r="T745" s="413">
        <f>Sheet1!$W$8</f>
        <v>45200</v>
      </c>
      <c r="U745" s="413">
        <f>Sheet1!$X$8</f>
        <v>45566</v>
      </c>
      <c r="V745" s="413">
        <f>Sheet1!$Y$8</f>
        <v>45931</v>
      </c>
      <c r="W745" s="413">
        <f>Sheet1!$Z$8</f>
        <v>46296</v>
      </c>
      <c r="X745" s="413">
        <f>Sheet1!$AA$8</f>
        <v>46661</v>
      </c>
      <c r="Y745" s="413">
        <f>Sheet1!$AB$8</f>
        <v>47027</v>
      </c>
      <c r="Z745" s="413">
        <f>Sheet1!$AC$8</f>
        <v>47392</v>
      </c>
      <c r="AA745" s="413">
        <f>$AA$5</f>
        <v>47757</v>
      </c>
      <c r="AB745" s="413">
        <f>$AB$5</f>
        <v>48122</v>
      </c>
      <c r="AC745" s="413">
        <f>$AC$5</f>
        <v>48488</v>
      </c>
      <c r="AD745" s="413">
        <f>$AD$5</f>
        <v>48853</v>
      </c>
      <c r="AE745" s="413">
        <f>$AE$5</f>
        <v>49218</v>
      </c>
      <c r="AF745" s="413">
        <f>$AF$5</f>
        <v>49583</v>
      </c>
      <c r="AG745" s="413">
        <f>$AG$5</f>
        <v>49949</v>
      </c>
      <c r="AH745" s="219"/>
      <c r="AI745" s="413">
        <f t="shared" ref="AI745:AR747" si="328">+Q745</f>
        <v>44105</v>
      </c>
      <c r="AJ745" s="413">
        <f t="shared" si="328"/>
        <v>44470</v>
      </c>
      <c r="AK745" s="413">
        <f t="shared" si="328"/>
        <v>44835</v>
      </c>
      <c r="AL745" s="413">
        <f t="shared" si="328"/>
        <v>45200</v>
      </c>
      <c r="AM745" s="413">
        <f t="shared" si="328"/>
        <v>45566</v>
      </c>
      <c r="AN745" s="413">
        <f t="shared" si="328"/>
        <v>45931</v>
      </c>
      <c r="AO745" s="413">
        <f t="shared" si="328"/>
        <v>46296</v>
      </c>
      <c r="AP745" s="413">
        <f t="shared" si="328"/>
        <v>46661</v>
      </c>
      <c r="AQ745" s="413">
        <f t="shared" si="328"/>
        <v>47027</v>
      </c>
      <c r="AR745" s="413">
        <f t="shared" si="328"/>
        <v>47392</v>
      </c>
      <c r="AS745" s="413">
        <f t="shared" ref="AS745:AY747" si="329">+AA745</f>
        <v>47757</v>
      </c>
      <c r="AT745" s="413">
        <f t="shared" si="329"/>
        <v>48122</v>
      </c>
      <c r="AU745" s="413">
        <f t="shared" si="329"/>
        <v>48488</v>
      </c>
      <c r="AV745" s="413">
        <f t="shared" si="329"/>
        <v>48853</v>
      </c>
      <c r="AW745" s="413">
        <f t="shared" si="329"/>
        <v>49218</v>
      </c>
      <c r="AX745" s="413">
        <f t="shared" si="329"/>
        <v>49583</v>
      </c>
      <c r="AY745" s="413">
        <f t="shared" si="329"/>
        <v>49949</v>
      </c>
      <c r="AZ745" s="413"/>
    </row>
    <row r="746" spans="17:52" hidden="1">
      <c r="Q746" s="413">
        <f>Sheet1!$T$9</f>
        <v>44469</v>
      </c>
      <c r="R746" s="413">
        <f>Sheet1!$U$9</f>
        <v>44834</v>
      </c>
      <c r="S746" s="413">
        <f>Sheet1!$V$9</f>
        <v>45199</v>
      </c>
      <c r="T746" s="413">
        <f>Sheet1!$W$9</f>
        <v>45565</v>
      </c>
      <c r="U746" s="413">
        <f>Sheet1!$X$9</f>
        <v>45930</v>
      </c>
      <c r="V746" s="413">
        <f>Sheet1!$Y$9</f>
        <v>46295</v>
      </c>
      <c r="W746" s="413">
        <f>Sheet1!$Z$9</f>
        <v>46660</v>
      </c>
      <c r="X746" s="413">
        <f>Sheet1!$AA$9</f>
        <v>47026</v>
      </c>
      <c r="Y746" s="413">
        <f>Sheet1!$AB$9</f>
        <v>47391</v>
      </c>
      <c r="Z746" s="413">
        <f>Sheet1!$AC$9</f>
        <v>47756</v>
      </c>
      <c r="AA746" s="413">
        <f>$AA$6</f>
        <v>48121</v>
      </c>
      <c r="AB746" s="413">
        <f>$AB$6</f>
        <v>48487</v>
      </c>
      <c r="AC746" s="413">
        <f>$AC$6</f>
        <v>48852</v>
      </c>
      <c r="AD746" s="413">
        <f>$AD$6</f>
        <v>49217</v>
      </c>
      <c r="AE746" s="413">
        <f>$AE$6</f>
        <v>49582</v>
      </c>
      <c r="AF746" s="413">
        <f>$AF$6</f>
        <v>49948</v>
      </c>
      <c r="AG746" s="413">
        <f>$AG$6</f>
        <v>50313</v>
      </c>
      <c r="AH746" s="219"/>
      <c r="AI746" s="413">
        <f t="shared" si="328"/>
        <v>44469</v>
      </c>
      <c r="AJ746" s="413">
        <f t="shared" si="328"/>
        <v>44834</v>
      </c>
      <c r="AK746" s="413">
        <f t="shared" si="328"/>
        <v>45199</v>
      </c>
      <c r="AL746" s="413">
        <f t="shared" si="328"/>
        <v>45565</v>
      </c>
      <c r="AM746" s="413">
        <f t="shared" si="328"/>
        <v>45930</v>
      </c>
      <c r="AN746" s="413">
        <f t="shared" si="328"/>
        <v>46295</v>
      </c>
      <c r="AO746" s="413">
        <f t="shared" si="328"/>
        <v>46660</v>
      </c>
      <c r="AP746" s="413">
        <f t="shared" si="328"/>
        <v>47026</v>
      </c>
      <c r="AQ746" s="413">
        <f t="shared" si="328"/>
        <v>47391</v>
      </c>
      <c r="AR746" s="413">
        <f t="shared" si="328"/>
        <v>47756</v>
      </c>
      <c r="AS746" s="413">
        <f t="shared" si="329"/>
        <v>48121</v>
      </c>
      <c r="AT746" s="413">
        <f t="shared" si="329"/>
        <v>48487</v>
      </c>
      <c r="AU746" s="413">
        <f t="shared" si="329"/>
        <v>48852</v>
      </c>
      <c r="AV746" s="413">
        <f t="shared" si="329"/>
        <v>49217</v>
      </c>
      <c r="AW746" s="413">
        <f t="shared" si="329"/>
        <v>49582</v>
      </c>
      <c r="AX746" s="413">
        <f t="shared" si="329"/>
        <v>49948</v>
      </c>
      <c r="AY746" s="413">
        <f t="shared" si="329"/>
        <v>50313</v>
      </c>
      <c r="AZ746" s="413"/>
    </row>
    <row r="747" spans="17:52" hidden="1">
      <c r="Q747" s="424">
        <f>IF(IF(Q746&lt;$G$27,0,DATEDIF($G$27,Q746+1,"m"))&lt;0,0,IF(Q746&lt;$G$27,0,DATEDIF($G$27,Q746+1,"m")))</f>
        <v>0</v>
      </c>
      <c r="R747" s="424">
        <f>IF(IF(Q747=12,0,IF(R746&gt;$G$28,12-DATEDIF($G$28,R746+1,"m"),IF(R746&lt;$G$27,0,DATEDIF($G$27,R746+1,"m"))))&lt;0,0,IF(Q747=12,0,IF(R746&gt;$G$28,12-DATEDIF($G$28,R746+1,"m"),IF(R746&lt;$G$27,0,DATEDIF($G$27,R746+1,"m")))))</f>
        <v>0</v>
      </c>
      <c r="S747" s="424">
        <f>IF(IF(Q747+R747=12,0,IF(S746&gt;$G$28,12-DATEDIF($G$28,S746+1,"m"),IF(S746&lt;$G$27,0,DATEDIF($G$27,S746+1,"m"))))&lt;0,0,IF(Q747+R747=12,0,IF(S746&gt;$G$28,12-DATEDIF($G$28,S746+1,"m"),IF(S746&lt;$G$27,0,DATEDIF($G$27,S746+1,"m")))))</f>
        <v>0</v>
      </c>
      <c r="T747" s="424">
        <f>IF(IF(R747+S747+Q747=12,0,IF(T746&gt;$G$28,12-DATEDIF($G$28,T746+1,"m"),IF(T746&lt;$G$27,0,DATEDIF($G$27,T746+1,"m"))))&lt;0,0,IF(R747+S747+Q747=12,0,IF(T746&gt;$G$28,12-DATEDIF($G$28,T746+1,"m"),IF(T746&lt;$G$27,0,DATEDIF($G$27,T746+1,"m")))))</f>
        <v>0</v>
      </c>
      <c r="U747" s="424">
        <f>IF(IF(S747+T747+R747+Q747=12,0,IF(U746&gt;$G$28,12-DATEDIF($G$28,U746+1,"m"),IF(U746&lt;$G$27,0,DATEDIF($G$27,U746+1,"m"))))&lt;0,0,IF(S747+T747+R747+Q747=12,0,IF(U746&gt;$G$28,12-DATEDIF($G$28,U746+1,"m"),IF(U746&lt;$G$27,0,DATEDIF($G$27,U746+1,"m")))))</f>
        <v>0</v>
      </c>
      <c r="V747" s="424">
        <f>IF(IF(T747+U747+S747+R747+Q747=12,0,IF(V746&gt;$G$28,12-DATEDIF($G$28,V746+1,"m"),IF(V746&lt;$G$27,0,DATEDIF($G$27,V746+1,"m"))))&lt;0,0,IF(T747+U747+S747+R747+Q747=12,0,IF(V746&gt;$G$28,12-DATEDIF($G$28,V746+1,"m"),IF(V746&lt;$G$27,0,DATEDIF($G$27,V746+1,"m")))))</f>
        <v>0</v>
      </c>
      <c r="W747" s="424">
        <f>IF(IF(U747+V747+T747+S747+R747+Q747=12,0,IF(W746&gt;$G$28,12-DATEDIF($G$28,W746+1,"m"),IF(W746&lt;$G$27,0,DATEDIF($G$27,W746+1,"m"))))&lt;0,0,IF(U747+V747+T747+S747+R747+Q747=12,0,IF(W746&gt;$G$28,12-DATEDIF($G$28,W746+1,"m"),IF(W746&lt;$G$27,0,DATEDIF($G$27,W746+1,"m")))))</f>
        <v>0</v>
      </c>
      <c r="X747" s="424">
        <f>IF(IF(V747+W747+U747+T747+S747+R747+Q747=12,0,IF(X746&gt;$G$28,12-DATEDIF($G$28,X746+1,"m"),IF(X746&lt;$G$27,0,DATEDIF($G$27,X746+1,"m"))))&lt;0,0,IF(V747+W747+U747+T747+S747+R747+Q747=12,0,IF(X746&gt;$G$28,12-DATEDIF($G$28,X746+1,"m"),IF(X746&lt;$G$27,0,DATEDIF($G$27,X746+1,"m")))))</f>
        <v>0</v>
      </c>
      <c r="Y747" s="424">
        <f>IF(IF(W747+X747+V747+U747+T747+S747+R747+Q747=12,0,IF(Y746&gt;$G$28,12-DATEDIF($G$28,Y746+1,"m"),IF(Y746&lt;$G$27,0,DATEDIF($G$27,Y746+1,"m"))))&lt;0,0,IF(W747+X747+V747+U747+T747+S747+R747+Q747=12,0,IF(Y746&gt;$G$28,12-DATEDIF($G$28,Y746+1,"m"),IF(Y746&lt;$G$27,0,DATEDIF($G$27,Y746+1,"m")))))</f>
        <v>0</v>
      </c>
      <c r="Z747" s="424">
        <f>IF(IF(X747+Y747+W747+V747+U747+T747+S747+R747+Q747=12,0,IF(Z746&gt;$G$28,12-DATEDIF($G$28,Z746+1,"m"),IF(Z746&lt;$G$27,0,DATEDIF($G$27,Z746+1,"m"))))&lt;0,0,IF(X747+Y747+W747+V747+U747+T747+S747+R747+Q747=12,0,IF(Z746&gt;$G$28,12-DATEDIF($G$28,Z746+1,"m"),IF(Z746&lt;$G$27,0,DATEDIF($G$27,Z746+1,"m")))))</f>
        <v>0</v>
      </c>
      <c r="AA747" s="414">
        <f>IF(IF(Q747+R747+S747+Y747+Z747+X747+W747+V747+U747+T747=12,0,IF(AA746&gt;$G$28,12-DATEDIF($G$28,AA746+1,"m"),IF(AA746&lt;$G$27,0,DATEDIF($G$27,AA746+1,"m"))))&lt;0,0,IF(Q747+R747+S747+Y747+Z747+X747+W747+V747+U747+T747=12,0,IF(AA746&gt;$G$28,12-DATEDIF($G$28,AA746+1,"m"),IF(AA746&lt;$G$27,0,DATEDIF($G$27,AA746+1,"m")))))</f>
        <v>0</v>
      </c>
      <c r="AB747" s="414">
        <f>IF(IF(Q747+R747+S747+T747+Z747+AA747+Y747+X747+W747+V747+U747=12,0,IF(AB746&gt;$G$28,12-DATEDIF($G$28,AB746+1,"m"),IF(AB746&lt;$G$27,0,DATEDIF($G$27,AB746+1,"m"))))&lt;0,0,IF(Q747+R747+S747+T747+Z747+AA747+Y747+X747+W747+V747+U747=12,0,IF(AB746&gt;$G$28,12-DATEDIF($G$28,AB746+1,"m"),IF(AB746&lt;$G$27,0,DATEDIF($G$27,AB746+1,"m")))))</f>
        <v>0</v>
      </c>
      <c r="AC747" s="414">
        <f>IF(IF(Q747+R747+S747+T747+U747+AA747+AB747+Z747+Y747+X747+W747+V747=12,0,IF(AC746&gt;$G$28,12-DATEDIF($G$28,AC746+1,"m"),IF(AC746&lt;$G$27,0,DATEDIF($G$27,AC746+1,"m"))))&lt;0,0,IF(Q747+R747+S747+T747+U747+AA747+AB747+Z747+Y747+X747+W747+V747=12,0,IF(AC746&gt;$G$28,12-DATEDIF($G$28,AC746+1,"m"),IF(AC746&lt;$G$27,0,DATEDIF($G$27,AC746+1,"m")))))</f>
        <v>0</v>
      </c>
      <c r="AD747" s="414">
        <f>IF(IF(Q747+R747+S747+T747+U747+V747+AB747+AC747+AA747+Z747+Y747+X747+W747=12,0,IF(AD746&gt;$G$28,12-DATEDIF($G$28,AD746+1,"m"),IF(AD746&lt;$G$27,0,DATEDIF($G$27,AD746+1,"m"))))&lt;0,0,IF(Q747+R747+S747+T747+U747+V747+AB747+AC747+AA747+Z747+Y747+X747+W747=12,0,IF(AD746&gt;$G$28,12-DATEDIF($G$28,AD746+1,"m"),IF(AD746&lt;$G$27,0,DATEDIF($G$27,AD746+1,"m")))))</f>
        <v>0</v>
      </c>
      <c r="AE747" s="414"/>
      <c r="AF747" s="414"/>
      <c r="AG747" s="414"/>
      <c r="AH747" s="423">
        <f>SUM(Q747:AG747)</f>
        <v>0</v>
      </c>
      <c r="AI747" s="414">
        <f t="shared" si="328"/>
        <v>0</v>
      </c>
      <c r="AJ747" s="414">
        <f t="shared" si="328"/>
        <v>0</v>
      </c>
      <c r="AK747" s="414">
        <f t="shared" si="328"/>
        <v>0</v>
      </c>
      <c r="AL747" s="414">
        <f t="shared" si="328"/>
        <v>0</v>
      </c>
      <c r="AM747" s="414">
        <f t="shared" si="328"/>
        <v>0</v>
      </c>
      <c r="AN747" s="414">
        <f t="shared" si="328"/>
        <v>0</v>
      </c>
      <c r="AO747" s="414">
        <f t="shared" si="328"/>
        <v>0</v>
      </c>
      <c r="AP747" s="414">
        <f t="shared" si="328"/>
        <v>0</v>
      </c>
      <c r="AQ747" s="414">
        <f t="shared" si="328"/>
        <v>0</v>
      </c>
      <c r="AR747" s="414">
        <f t="shared" si="328"/>
        <v>0</v>
      </c>
      <c r="AS747" s="414">
        <f t="shared" si="329"/>
        <v>0</v>
      </c>
      <c r="AT747" s="414">
        <f t="shared" si="329"/>
        <v>0</v>
      </c>
      <c r="AU747" s="414">
        <f t="shared" si="329"/>
        <v>0</v>
      </c>
      <c r="AV747" s="414">
        <f t="shared" si="329"/>
        <v>0</v>
      </c>
      <c r="AW747" s="414">
        <f t="shared" si="329"/>
        <v>0</v>
      </c>
      <c r="AX747" s="414">
        <f t="shared" si="329"/>
        <v>0</v>
      </c>
      <c r="AY747" s="414">
        <f t="shared" si="329"/>
        <v>0</v>
      </c>
      <c r="AZ747" s="414">
        <f>SUM(AI747:AY747)</f>
        <v>0</v>
      </c>
    </row>
    <row r="748" spans="17:52" hidden="1">
      <c r="Q748" s="415">
        <f>IF(Q747=0,0,(IF(($B$254+$C$254+$D$254+$E$254+$F$254+$G$254)&lt;=25000,(($G$254/+$AH747)*Q747)*VLOOKUP('1. SUMMARY'!$C$20,rate,Sheet1!T$21,0),((IF(($F$254+$B$254+$C$254+$D$254+$E$254)&gt;=25000,0,(((25000-($B$254+$C$254+$D$254+$E$254+$F$254))/+$AH747)*Q747)*(VLOOKUP('1. SUMMARY'!$C$20,rate,Sheet1!T$21,0))))))))</f>
        <v>0</v>
      </c>
      <c r="R748" s="415">
        <f>IF(R747=0,0,(IF(($B$254+$C$254+$D$254+$E$254+$F$254+$G$254)&lt;=25000,(($G$254/+$AH747)*R747)*VLOOKUP('1. SUMMARY'!$C$20,rate,Sheet1!U$21,0),((IF(($F$254+$B$254+$C$254+$D$254+$E$254)&gt;=25000,0,(((25000-($B$254+$C$254+$D$254+$E$254+$F$254))/+$AH747)*R747)*(VLOOKUP('1. SUMMARY'!$C$20,rate,Sheet1!U$21,0))))))))</f>
        <v>0</v>
      </c>
      <c r="S748" s="415">
        <f>IF(S747=0,0,(IF(($B$254+$C$254+$D$254+$E$254+$F$254+$G$254)&lt;=25000,(($G$254/+$AH747)*S747)*VLOOKUP('1. SUMMARY'!$C$20,rate,Sheet1!V$21,0),((IF(($F$254+$B$254+$C$254+$D$254+$E$254)&gt;=25000,0,(((25000-($B$254+$C$254+$D$254+$E$254+$F$254))/+$AH747)*S747)*(VLOOKUP('1. SUMMARY'!$C$20,rate,Sheet1!V$21,0))))))))</f>
        <v>0</v>
      </c>
      <c r="T748" s="415">
        <f>IF(T747=0,0,(IF(($B$254+$C$254+$D$254+$E$254+$F$254+$G$254)&lt;=25000,(($G$254/+$AH747)*T747)*VLOOKUP('1. SUMMARY'!$C$20,rate,Sheet1!W$21,0),((IF(($F$254+$B$254+$C$254+$D$254+$E$254)&gt;=25000,0,(((25000-($B$254+$C$254+$D$254+$E$254+$F$254))/+$AH747)*T747)*(VLOOKUP('1. SUMMARY'!$C$20,rate,Sheet1!W$21,0))))))))</f>
        <v>0</v>
      </c>
      <c r="U748" s="415">
        <f>IF(U747=0,0,(IF(($B$254+$C$254+$D$254+$E$254+$F$254+$G$254)&lt;=25000,(($G$254/+$AH747)*U747)*VLOOKUP('1. SUMMARY'!$C$20,rate,Sheet1!X$21,0),((IF(($F$254+$B$254+$C$254+$D$254+$E$254)&gt;=25000,0,(((25000-($B$254+$C$254+$D$254+$E$254+$F$254))/+$AH747)*U747)*(VLOOKUP('1. SUMMARY'!$C$20,rate,Sheet1!X$21,0))))))))</f>
        <v>0</v>
      </c>
      <c r="V748" s="415">
        <f>IF(V747=0,0,(IF(($B$254+$C$254+$D$254+$E$254+$F$254+$G$254)&lt;=25000,(($G$254/+$AH747)*V747)*VLOOKUP('1. SUMMARY'!$C$20,rate,Sheet1!Y$21,0),((IF(($F$254+$B$254+$C$254+$D$254+$E$254)&gt;=25000,0,(((25000-($B$254+$C$254+$D$254+$E$254+$F$254))/+$AH747)*V747)*(VLOOKUP('1. SUMMARY'!$C$20,rate,Sheet1!Y$21,0))))))))</f>
        <v>0</v>
      </c>
      <c r="W748" s="415">
        <f>IF(W747=0,0,(IF(($B$254+$C$254+$D$254+$E$254+$F$254+$G$254)&lt;=25000,(($G$254/+$AH747)*W747)*VLOOKUP('1. SUMMARY'!$C$20,rate,Sheet1!Z$21,0),((IF(($F$254+$B$254+$C$254+$D$254+$E$254)&gt;=25000,0,(((25000-($B$254+$C$254+$D$254+$E$254+$F$254))/+$AH747)*W747)*(VLOOKUP('1. SUMMARY'!$C$20,rate,Sheet1!Z$21,0))))))))</f>
        <v>0</v>
      </c>
      <c r="X748" s="415">
        <f>IF(X747=0,0,(IF(($B$254+$C$254+$D$254+$E$254+$F$254+$G$254)&lt;=25000,(($G$254/+$AH747)*X747)*VLOOKUP('1. SUMMARY'!$C$20,rate,Sheet1!AA$21,0),((IF(($F$254+$B$254+$C$254+$D$254+$E$254)&gt;=25000,0,(((25000-($B$254+$C$254+$D$254+$E$254+$F$254))/+$AH747)*X747)*(VLOOKUP('1. SUMMARY'!$C$20,rate,Sheet1!AA$21,0))))))))</f>
        <v>0</v>
      </c>
      <c r="Y748" s="415">
        <f>IF(Y747=0,0,(IF(($B$254+$C$254+$D$254+$E$254+$F$254+$G$254)&lt;=25000,(($G$254/+$AH747)*Y747)*VLOOKUP('1. SUMMARY'!$C$20,rate,Sheet1!AB$21,0),((IF(($F$254+$B$254+$C$254+$D$254+$E$254)&gt;=25000,0,(((25000-($B$254+$C$254+$D$254+$E$254+$F$254))/+$AH747)*Y747)*(VLOOKUP('1. SUMMARY'!$C$20,rate,Sheet1!AB$21,0))))))))</f>
        <v>0</v>
      </c>
      <c r="Z748" s="415">
        <f>IF(Z747=0,0,(IF(($B$254+$C$254+$D$254+$E$254+$F$254+$G$254)&lt;=25000,(($G$254/+$AH747)*Z747)*VLOOKUP('1. SUMMARY'!$C$20,rate,Sheet1!AC$21,0),((IF(($F$254+$B$254+$C$254+$D$254+$E$254)&gt;=25000,0,(((25000-($B$254+$C$254+$D$254+$E$254+$F$254))/+$AH747)*Z747)*(VLOOKUP('1. SUMMARY'!$C$20,rate,Sheet1!AC$21,0))))))))</f>
        <v>0</v>
      </c>
      <c r="AA748" s="415">
        <f>IF(AA747=0,0,(IF(($B$254+$C$254+$D$254+$E$254+$F$254+$G$254)&lt;=25000,(($G$254/+$AH747)*AA747)*VLOOKUP('1. SUMMARY'!$C$20,rate,Sheet1!AD$21,0),((IF(($F$254+$B$254+$C$254+$D$254+$E$254)&gt;=25000,0,(((25000-($B$254+$C$254+$D$254+$E$254+$F$254))/+$AH747)*AA747)*(VLOOKUP('1. SUMMARY'!$C$20,rate,Sheet1!AD$21,0))))))))</f>
        <v>0</v>
      </c>
      <c r="AB748" s="415">
        <f>IF(AB747=0,0,(IF(($B$254+$C$254+$D$254+$E$254+$F$254+$G$254)&lt;=25000,(($G$254/+$AH747)*AB747)*VLOOKUP('1. SUMMARY'!$C$20,rate,Sheet1!AE$21,0),((IF(($F$254+$B$254+$C$254+$D$254+$E$254)&gt;=25000,0,(((25000-($B$254+$C$254+$D$254+$E$254+$F$254))/+$AH747)*AB747)*(VLOOKUP('1. SUMMARY'!$C$20,rate,Sheet1!AE$21,0))))))))</f>
        <v>0</v>
      </c>
      <c r="AC748" s="415">
        <f>IF(AC747=0,0,(IF(($B$254+$C$254+$D$254+$E$254+$F$254+$G$254)&lt;=25000,(($G$254/+$AH747)*AC747)*VLOOKUP('1. SUMMARY'!$C$20,rate,Sheet1!AF$21,0),((IF(($F$254+$B$254+$C$254+$D$254+$E$254)&gt;=25000,0,(((25000-($B$254+$C$254+$D$254+$E$254+$F$254))/+$AH747)*AC747)*(VLOOKUP('1. SUMMARY'!$C$20,rate,Sheet1!AF$21,0))))))))</f>
        <v>0</v>
      </c>
      <c r="AD748" s="415">
        <f>IF(AD747=0,0,(IF(($B$254+$C$254+$D$254+$E$254+$F$254+$G$254)&lt;=25000,(($G$254/+$AH747)*AD747)*VLOOKUP('1. SUMMARY'!$C$20,rate,Sheet1!AG$21,0),((IF(($F$254+$B$254+$C$254+$D$254+$E$254)&gt;=25000,0,(((25000-($B$254+$C$254+$D$254+$E$254+$F$254))/+$AH747)*AD747)*(VLOOKUP('1. SUMMARY'!$C$20,rate,Sheet1!AG$21,0))))))))</f>
        <v>0</v>
      </c>
      <c r="AE748" s="415">
        <f>IF(AE747=0,0,(IF(($B$254+$C$254+$D$254+$E$254+$F$254+$G$254)&lt;=25000,(($G$254/+$AH747)*AE747)*VLOOKUP('1. SUMMARY'!$C$20,rate,Sheet1!AH$21,0),((IF(($F$254+$B$254+$C$254+$D$254+$E$254)&gt;=25000,0,(((25000-($B$254+$C$254+$D$254+$E$254+$F$254))/+$AH747)*AE747)*(VLOOKUP('1. SUMMARY'!$C$20,rate,Sheet1!AH$21,0))))))))</f>
        <v>0</v>
      </c>
      <c r="AF748" s="415">
        <f>IF(AF747=0,0,(IF(($B$254+$C$254+$D$254+$E$254+$F$254+$G$254)&lt;=25000,(($G$254/+$AH747)*AF747)*VLOOKUP('1. SUMMARY'!$C$20,rate,Sheet1!AI$21,0),((IF(($F$254+$B$254+$C$254+$D$254+$E$254)&gt;=25000,0,(((25000-($B$254+$C$254+$D$254+$E$254+$F$254))/+$AH747)*AF747)*(VLOOKUP('1. SUMMARY'!$C$20,rate,Sheet1!AI$21,0))))))))</f>
        <v>0</v>
      </c>
      <c r="AG748" s="415">
        <f>IF(AG747=0,0,(IF(($B$254+$C$254+$D$254+$E$254+$F$254+$G$254)&lt;=25000,(($G$254/+$AH747)*AG747)*VLOOKUP('1. SUMMARY'!$C$20,rate,Sheet1!AJ$21,0),((IF(($F$254+$B$254+$C$254+$D$254+$E$254)&gt;=25000,0,(((25000-($B$254+$C$254+$D$254+$E$254+$F$254))/+$AH747)*AG747)*(VLOOKUP('1. SUMMARY'!$C$20,rate,Sheet1!AJ$21,0))))))))</f>
        <v>0</v>
      </c>
      <c r="AH748" s="219">
        <f>SUM(Q748:AG748)</f>
        <v>0</v>
      </c>
      <c r="AI748" s="415">
        <f>IF(AI747=0,0,((+$G254/$AZ747)*AI747)*VLOOKUP('1. SUMMARY'!$C$20,rate,Sheet1!T$21,0))</f>
        <v>0</v>
      </c>
      <c r="AJ748" s="415">
        <f>IF(AJ747=0,0,((+$G254/$AZ747)*AJ747)*VLOOKUP('1. SUMMARY'!$C$20,rate,Sheet1!U$21,0))</f>
        <v>0</v>
      </c>
      <c r="AK748" s="415">
        <f>IF(AK747=0,0,((+$G254/$AZ747)*AK747)*VLOOKUP('1. SUMMARY'!$C$20,rate,Sheet1!V$21,0))</f>
        <v>0</v>
      </c>
      <c r="AL748" s="415">
        <f>IF(AL747=0,0,((+$G254/$AZ747)*AL747)*VLOOKUP('1. SUMMARY'!$C$20,rate,Sheet1!W$21,0))</f>
        <v>0</v>
      </c>
      <c r="AM748" s="415">
        <f>IF(AM747=0,0,((+$G254/$AZ747)*AM747)*VLOOKUP('1. SUMMARY'!$C$20,rate,Sheet1!X$21,0))</f>
        <v>0</v>
      </c>
      <c r="AN748" s="415">
        <f>IF(AN747=0,0,((+$G254/$AZ747)*AN747)*VLOOKUP('1. SUMMARY'!$C$20,rate,Sheet1!Y$21,0))</f>
        <v>0</v>
      </c>
      <c r="AO748" s="415">
        <f>IF(AO747=0,0,((+$G254/$AZ747)*AO747)*VLOOKUP('1. SUMMARY'!$C$20,rate,Sheet1!Z$21,0))</f>
        <v>0</v>
      </c>
      <c r="AP748" s="415">
        <f>IF(AP747=0,0,((+$G254/$AZ747)*AP747)*VLOOKUP('1. SUMMARY'!$C$20,rate,Sheet1!AA$21,0))</f>
        <v>0</v>
      </c>
      <c r="AQ748" s="415">
        <f>IF(AQ747=0,0,((+$G254/$AZ747)*AQ747)*VLOOKUP('1. SUMMARY'!$C$20,rate,Sheet1!AB$21,0))</f>
        <v>0</v>
      </c>
      <c r="AR748" s="415">
        <f>IF(AR747=0,0,((+$G254/$AZ747)*AR747)*VLOOKUP('1. SUMMARY'!$C$20,rate,Sheet1!AC$21,0))</f>
        <v>0</v>
      </c>
      <c r="AS748" s="415">
        <f>IF(AS747=0,0,((+$G254/$AZ747)*AS747)*VLOOKUP('1. SUMMARY'!$C$20,rate,Sheet1!AD$21,0))</f>
        <v>0</v>
      </c>
      <c r="AT748" s="415">
        <f>IF(AT747=0,0,((+$G254/$AZ747)*AT747)*VLOOKUP('1. SUMMARY'!$C$20,rate,Sheet1!AE$21,0))</f>
        <v>0</v>
      </c>
      <c r="AU748" s="415">
        <f>IF(AU747=0,0,((+$G254/$AZ747)*AU747)*VLOOKUP('1. SUMMARY'!$C$20,rate,Sheet1!AF$21,0))</f>
        <v>0</v>
      </c>
      <c r="AV748" s="415">
        <f>IF(AV747=0,0,((+$G254/$AZ747)*AV747)*VLOOKUP('1. SUMMARY'!$C$20,rate,Sheet1!AG$21,0))</f>
        <v>0</v>
      </c>
      <c r="AW748" s="415">
        <f>IF(AW747=0,0,((+$G254/$AZ747)*AW747)*VLOOKUP('1. SUMMARY'!$C$20,rate,Sheet1!AH$21,0))</f>
        <v>0</v>
      </c>
      <c r="AX748" s="415">
        <f>IF(AX747=0,0,((+$G254/$AZ747)*AX747)*VLOOKUP('1. SUMMARY'!$C$20,rate,Sheet1!AI$21,0))</f>
        <v>0</v>
      </c>
      <c r="AY748" s="415">
        <f>IF(AY747=0,0,((+$G254/$AZ747)*AY747)*VLOOKUP('1. SUMMARY'!$C$20,rate,Sheet1!AJ$21,0))</f>
        <v>0</v>
      </c>
      <c r="AZ748" s="415">
        <f>SUM(AI748:AY748)</f>
        <v>0</v>
      </c>
    </row>
    <row r="749" spans="17:52" hidden="1">
      <c r="Q749" s="415">
        <f>+Q748/VLOOKUP('1. SUMMARY'!$C$20,rate,Sheet1!T$21,0)</f>
        <v>0</v>
      </c>
      <c r="R749" s="415">
        <f>+R748/VLOOKUP('1. SUMMARY'!$C$20,rate,Sheet1!U$21,0)</f>
        <v>0</v>
      </c>
      <c r="S749" s="415">
        <f>+S748/VLOOKUP('1. SUMMARY'!$C$20,rate,Sheet1!V$21,0)</f>
        <v>0</v>
      </c>
      <c r="T749" s="415">
        <f>+T748/VLOOKUP('1. SUMMARY'!$C$20,rate,Sheet1!W$21,0)</f>
        <v>0</v>
      </c>
      <c r="U749" s="415">
        <f>+U748/VLOOKUP('1. SUMMARY'!$C$20,rate,Sheet1!X$21,0)</f>
        <v>0</v>
      </c>
      <c r="V749" s="415">
        <f>+V748/VLOOKUP('1. SUMMARY'!$C$20,rate,Sheet1!Y$21,0)</f>
        <v>0</v>
      </c>
      <c r="W749" s="415">
        <f>+W748/VLOOKUP('1. SUMMARY'!$C$20,rate,Sheet1!Z$21,0)</f>
        <v>0</v>
      </c>
      <c r="X749" s="415">
        <f>+X748/VLOOKUP('1. SUMMARY'!$C$20,rate,Sheet1!AA$21,0)</f>
        <v>0</v>
      </c>
      <c r="Y749" s="415">
        <f>+Y748/VLOOKUP('1. SUMMARY'!$C$20,rate,Sheet1!AB$21,0)</f>
        <v>0</v>
      </c>
      <c r="Z749" s="415">
        <f>+Z748/VLOOKUP('1. SUMMARY'!$C$20,rate,Sheet1!AC$21,0)</f>
        <v>0</v>
      </c>
      <c r="AA749" s="415">
        <f>+AA748/VLOOKUP('1. SUMMARY'!$C$20,rate,Sheet1!AD$21,0)</f>
        <v>0</v>
      </c>
      <c r="AB749" s="415">
        <f>+AB748/VLOOKUP('1. SUMMARY'!$C$20,rate,Sheet1!AE$21,0)</f>
        <v>0</v>
      </c>
      <c r="AC749" s="415">
        <f>+AC748/VLOOKUP('1. SUMMARY'!$C$20,rate,Sheet1!AF$21,0)</f>
        <v>0</v>
      </c>
      <c r="AD749" s="415">
        <f>+AD748/VLOOKUP('1. SUMMARY'!$C$20,rate,Sheet1!AG$21,0)</f>
        <v>0</v>
      </c>
      <c r="AE749" s="415">
        <f>+AE748/VLOOKUP('1. SUMMARY'!$C$20,rate,Sheet1!AH$21,0)</f>
        <v>0</v>
      </c>
      <c r="AF749" s="415">
        <f>+AF748/VLOOKUP('1. SUMMARY'!$C$20,rate,Sheet1!AI$21,0)</f>
        <v>0</v>
      </c>
      <c r="AG749" s="415">
        <f>+AG748/VLOOKUP('1. SUMMARY'!$C$20,rate,Sheet1!AJ$21,0)</f>
        <v>0</v>
      </c>
      <c r="AH749" s="219"/>
      <c r="AI749" s="415"/>
      <c r="AJ749" s="415"/>
      <c r="AK749" s="415"/>
      <c r="AL749" s="415"/>
      <c r="AM749" s="415"/>
      <c r="AN749" s="415"/>
      <c r="AO749" s="415"/>
      <c r="AP749" s="415"/>
      <c r="AQ749" s="415"/>
      <c r="AR749" s="415"/>
      <c r="AS749" s="415"/>
      <c r="AT749" s="415"/>
      <c r="AU749" s="415"/>
      <c r="AV749" s="415"/>
      <c r="AW749" s="415"/>
      <c r="AX749" s="415"/>
      <c r="AY749" s="415"/>
      <c r="AZ749" s="415"/>
    </row>
    <row r="750" spans="17:52" hidden="1">
      <c r="Q750" s="411">
        <f>Sheet1!$T$8</f>
        <v>44105</v>
      </c>
      <c r="R750" s="411">
        <f>Sheet1!$U$8</f>
        <v>44470</v>
      </c>
      <c r="S750" s="411">
        <f>Sheet1!$V$8</f>
        <v>44835</v>
      </c>
      <c r="T750" s="411">
        <f>Sheet1!$W$8</f>
        <v>45200</v>
      </c>
      <c r="U750" s="411">
        <f>Sheet1!$X$8</f>
        <v>45566</v>
      </c>
      <c r="V750" s="411">
        <f>Sheet1!$Y$8</f>
        <v>45931</v>
      </c>
      <c r="W750" s="411">
        <f>Sheet1!$Z$8</f>
        <v>46296</v>
      </c>
      <c r="X750" s="411">
        <f>Sheet1!$AA$8</f>
        <v>46661</v>
      </c>
      <c r="Y750" s="411">
        <f>Sheet1!$AB$8</f>
        <v>47027</v>
      </c>
      <c r="Z750" s="411">
        <f>Sheet1!$AC$8</f>
        <v>47392</v>
      </c>
      <c r="AA750" s="411">
        <f>$AA$5</f>
        <v>47757</v>
      </c>
      <c r="AB750" s="411">
        <f>$AB$5</f>
        <v>48122</v>
      </c>
      <c r="AC750" s="411">
        <f>$AC$5</f>
        <v>48488</v>
      </c>
      <c r="AD750" s="411">
        <f>$AD$5</f>
        <v>48853</v>
      </c>
      <c r="AE750" s="411">
        <f>$AE$5</f>
        <v>49218</v>
      </c>
      <c r="AF750" s="411">
        <f>$AF$5</f>
        <v>49583</v>
      </c>
      <c r="AG750" s="411">
        <f>$AG$5</f>
        <v>49949</v>
      </c>
      <c r="AH750" s="219"/>
      <c r="AI750" s="411">
        <f t="shared" ref="AI750:AR752" si="330">+Q750</f>
        <v>44105</v>
      </c>
      <c r="AJ750" s="411">
        <f t="shared" si="330"/>
        <v>44470</v>
      </c>
      <c r="AK750" s="411">
        <f t="shared" si="330"/>
        <v>44835</v>
      </c>
      <c r="AL750" s="411">
        <f t="shared" si="330"/>
        <v>45200</v>
      </c>
      <c r="AM750" s="411">
        <f t="shared" si="330"/>
        <v>45566</v>
      </c>
      <c r="AN750" s="411">
        <f t="shared" si="330"/>
        <v>45931</v>
      </c>
      <c r="AO750" s="411">
        <f t="shared" si="330"/>
        <v>46296</v>
      </c>
      <c r="AP750" s="411">
        <f t="shared" si="330"/>
        <v>46661</v>
      </c>
      <c r="AQ750" s="411">
        <f t="shared" si="330"/>
        <v>47027</v>
      </c>
      <c r="AR750" s="411">
        <f t="shared" si="330"/>
        <v>47392</v>
      </c>
      <c r="AS750" s="411">
        <f t="shared" ref="AS750:AY752" si="331">+AA750</f>
        <v>47757</v>
      </c>
      <c r="AT750" s="411">
        <f t="shared" si="331"/>
        <v>48122</v>
      </c>
      <c r="AU750" s="411">
        <f t="shared" si="331"/>
        <v>48488</v>
      </c>
      <c r="AV750" s="411">
        <f t="shared" si="331"/>
        <v>48853</v>
      </c>
      <c r="AW750" s="411">
        <f t="shared" si="331"/>
        <v>49218</v>
      </c>
      <c r="AX750" s="411">
        <f t="shared" si="331"/>
        <v>49583</v>
      </c>
      <c r="AY750" s="411">
        <f t="shared" si="331"/>
        <v>49949</v>
      </c>
      <c r="AZ750" s="411"/>
    </row>
    <row r="751" spans="17:52" hidden="1">
      <c r="Q751" s="411">
        <f>Sheet1!$T$9</f>
        <v>44469</v>
      </c>
      <c r="R751" s="411">
        <f>Sheet1!$U$9</f>
        <v>44834</v>
      </c>
      <c r="S751" s="411">
        <f>Sheet1!$V$9</f>
        <v>45199</v>
      </c>
      <c r="T751" s="411">
        <f>Sheet1!$W$9</f>
        <v>45565</v>
      </c>
      <c r="U751" s="411">
        <f>Sheet1!$X$9</f>
        <v>45930</v>
      </c>
      <c r="V751" s="411">
        <f>Sheet1!$Y$9</f>
        <v>46295</v>
      </c>
      <c r="W751" s="411">
        <f>Sheet1!$Z$9</f>
        <v>46660</v>
      </c>
      <c r="X751" s="411">
        <f>Sheet1!$AA$9</f>
        <v>47026</v>
      </c>
      <c r="Y751" s="411">
        <f>Sheet1!$AB$9</f>
        <v>47391</v>
      </c>
      <c r="Z751" s="411">
        <f>Sheet1!$AC$9</f>
        <v>47756</v>
      </c>
      <c r="AA751" s="411">
        <f>$AA$6</f>
        <v>48121</v>
      </c>
      <c r="AB751" s="411">
        <f>$AB$6</f>
        <v>48487</v>
      </c>
      <c r="AC751" s="411">
        <f>$AC$6</f>
        <v>48852</v>
      </c>
      <c r="AD751" s="411">
        <f>$AD$6</f>
        <v>49217</v>
      </c>
      <c r="AE751" s="411">
        <f>$AE$6</f>
        <v>49582</v>
      </c>
      <c r="AF751" s="411">
        <f>$AF$6</f>
        <v>49948</v>
      </c>
      <c r="AG751" s="411">
        <f>$AG$6</f>
        <v>50313</v>
      </c>
      <c r="AH751" s="219"/>
      <c r="AI751" s="411">
        <f t="shared" si="330"/>
        <v>44469</v>
      </c>
      <c r="AJ751" s="411">
        <f t="shared" si="330"/>
        <v>44834</v>
      </c>
      <c r="AK751" s="411">
        <f t="shared" si="330"/>
        <v>45199</v>
      </c>
      <c r="AL751" s="411">
        <f t="shared" si="330"/>
        <v>45565</v>
      </c>
      <c r="AM751" s="411">
        <f t="shared" si="330"/>
        <v>45930</v>
      </c>
      <c r="AN751" s="411">
        <f t="shared" si="330"/>
        <v>46295</v>
      </c>
      <c r="AO751" s="411">
        <f t="shared" si="330"/>
        <v>46660</v>
      </c>
      <c r="AP751" s="411">
        <f t="shared" si="330"/>
        <v>47026</v>
      </c>
      <c r="AQ751" s="411">
        <f t="shared" si="330"/>
        <v>47391</v>
      </c>
      <c r="AR751" s="411">
        <f t="shared" si="330"/>
        <v>47756</v>
      </c>
      <c r="AS751" s="411">
        <f t="shared" si="331"/>
        <v>48121</v>
      </c>
      <c r="AT751" s="411">
        <f t="shared" si="331"/>
        <v>48487</v>
      </c>
      <c r="AU751" s="411">
        <f t="shared" si="331"/>
        <v>48852</v>
      </c>
      <c r="AV751" s="411">
        <f t="shared" si="331"/>
        <v>49217</v>
      </c>
      <c r="AW751" s="411">
        <f t="shared" si="331"/>
        <v>49582</v>
      </c>
      <c r="AX751" s="411">
        <f t="shared" si="331"/>
        <v>49948</v>
      </c>
      <c r="AY751" s="411">
        <f t="shared" si="331"/>
        <v>50313</v>
      </c>
      <c r="AZ751" s="411"/>
    </row>
    <row r="752" spans="17:52" hidden="1">
      <c r="Q752" s="412">
        <f>IF(IF(Q751&lt;$H$27,0,DATEDIF($H$27,Q751+1,"m"))&lt;0,0,IF(Q751&lt;$H$27,0,DATEDIF($H$27,Q751+1,"m")))</f>
        <v>0</v>
      </c>
      <c r="R752" s="412">
        <f>IF(IF(Q752=12,0,IF(R751&gt;$H$28,12-DATEDIF($H$28,R751+1,"m"),IF(R751&lt;$H$27,0,DATEDIF($H$27,R751+1,"m"))))&lt;0,0,IF(Q752=12,0,IF(R751&gt;$H$28,12-DATEDIF($H$28,R751+1,"m"),IF(R751&lt;$H$27,0,DATEDIF($H$27,R751+1,"m")))))</f>
        <v>0</v>
      </c>
      <c r="S752" s="412">
        <f>IF(IF(Q752+R752=12,0,IF(S751&gt;$H$28,12-DATEDIF($H$28,S751+1,"m"),IF(S751&lt;$H$27,0,DATEDIF($H$27,S751+1,"m"))))&lt;0,0,IF(Q752+R752=12,0,IF(S751&gt;$H$28,12-DATEDIF($H$28,S751+1,"m"),IF(S751&lt;$H$27,0,DATEDIF($H$27,S751+1,"m")))))</f>
        <v>0</v>
      </c>
      <c r="T752" s="412">
        <f>IF(IF(R752+S752+Q752=12,0,IF(T751&gt;$H$28,12-DATEDIF($H$28,T751+1,"m"),IF(T751&lt;$H$27,0,DATEDIF($H$27,T751+1,"m"))))&lt;0,0,IF(R752+S752+Q752=12,0,IF(T751&gt;$H$28,12-DATEDIF($H$28,T751+1,"m"),IF(T751&lt;$H$27,0,DATEDIF($H$27,T751+1,"m")))))</f>
        <v>0</v>
      </c>
      <c r="U752" s="412">
        <f>IF(IF(S752+T752+R752+Q752=12,0,IF(U751&gt;$H$28,12-DATEDIF($H$28,U751+1,"m"),IF(U751&lt;$H$27,0,DATEDIF($H$27,U751+1,"m"))))&lt;0,0,IF(S752+T752+R752+Q752=12,0,IF(U751&gt;$H$28,12-DATEDIF($H$28,U751+1,"m"),IF(U751&lt;$H$27,0,DATEDIF($H$27,U751+1,"m")))))</f>
        <v>0</v>
      </c>
      <c r="V752" s="412">
        <f>IF(IF(T752+U752+S752+R752+Q752=12,0,IF(V751&gt;$H$28,12-DATEDIF($H$28,V751+1,"m"),IF(V751&lt;$H$27,0,DATEDIF($H$27,V751+1,"m"))))&lt;0,0,IF(T752+U752+S752+R752+Q752=12,0,IF(V751&gt;$H$28,12-DATEDIF($H$28,V751+1,"m"),IF(V751&lt;$H$27,0,DATEDIF($H$27,V751+1,"m")))))</f>
        <v>0</v>
      </c>
      <c r="W752" s="412">
        <f>IF(IF(U752+V752+T752+S752+R752+Q752=12,0,IF(W751&gt;$H$28,12-DATEDIF($H$28,W751+1,"m"),IF(W751&lt;$H$27,0,DATEDIF($H$27,W751+1,"m"))))&lt;0,0,IF(U752+V752+T752+S752+R752+Q752=12,0,IF(W751&gt;$H$28,12-DATEDIF($H$28,W751+1,"m"),IF(W751&lt;$H$27,0,DATEDIF($H$27,W751+1,"m")))))</f>
        <v>0</v>
      </c>
      <c r="X752" s="412">
        <f>IF(IF(V752+W752+U752+T752+S752+R752+Q752=12,0,IF(X751&gt;$H$28,12-DATEDIF($H$28,X751+1,"m"),IF(X751&lt;$H$27,0,DATEDIF($H$27,X751+1,"m"))))&lt;0,0,IF(V752+W752+U752+T752+S752+R752+Q752=12,0,IF(X751&gt;$H$28,12-DATEDIF($H$28,X751+1,"m"),IF(X751&lt;$H$27,0,DATEDIF($H$27,X751+1,"m")))))</f>
        <v>0</v>
      </c>
      <c r="Y752" s="412">
        <f>IF(IF(W752+X752+V752+U752+T752+S752+R752+Q752=12,0,IF(Y751&gt;$H$28,12-DATEDIF($H$28,Y751+1,"m"),IF(Y751&lt;$H$27,0,DATEDIF($H$27,Y751+1,"m"))))&lt;0,0,IF(W752+X752+V752+U752+T752+S752+R752+Q752=12,0,IF(Y751&gt;$H$28,12-DATEDIF($H$28,Y751+1,"m"),IF(Y751&lt;$H$27,0,DATEDIF($H$27,Y751+1,"m")))))</f>
        <v>0</v>
      </c>
      <c r="Z752" s="412">
        <f>IF(IF(X752+Y752+W752+V752+U752+T752+S752+R752+Q752=12,0,IF(Z751&gt;$H$28,12-DATEDIF($H$28,Z751+1,"m"),IF(Z751&lt;$H$27,0,DATEDIF($H$27,Z751+1,"m"))))&lt;0,0,IF(X752+Y752+W752+V752+U752+T752+S752+R752+Q752=12,0,IF(Z751&gt;$H$28,12-DATEDIF($H$28,Z751+1,"m"),IF(Z751&lt;$H$27,0,DATEDIF($H$27,Z751+1,"m")))))</f>
        <v>0</v>
      </c>
      <c r="AA752" s="412">
        <f>IF(IF(Q752+R752+S752+Y752+Z752+X752+W752+V752+U752+T752=12,0,IF(AA751&gt;$H$28,12-DATEDIF($H$28,AA751+1,"m"),IF(AA751&lt;$H$27,0,DATEDIF($H$27,AA751+1,"m"))))&lt;0,0,IF(Q752+R752+S752+Y752+Z752+X752+W752+V752+U752+T752=12,0,IF(AA751&gt;$H$28,12-DATEDIF($H$28,AA751+1,"m"),IF(AA751&lt;$H$27,0,DATEDIF($H$27,AA751+1,"m")))))</f>
        <v>0</v>
      </c>
      <c r="AB752" s="412">
        <f>IF(IF(Q752+R752+S752+T752+Z752+AA752+Y752+X752+W752+V752+U752=12,0,IF(AB751&gt;$H$28,12-DATEDIF($H$28,AB751+1,"m"),IF(AB751&lt;$H$27,0,DATEDIF($H$27,AB751+1,"m"))))&lt;0,0,IF(Q752+R752+S752+T752+Z752+AA752+Y752+X752+W752+V752+U752=12,0,IF(AB751&gt;$H$28,12-DATEDIF($H$28,AB751+1,"m"),IF(AB751&lt;$H$27,0,DATEDIF($H$27,AB751+1,"m")))))</f>
        <v>0</v>
      </c>
      <c r="AC752" s="412">
        <f>IF(IF(Q752+R752+S752+T752+U752+AA752+AB752+Z752+Y752+X752+W752+V752=12,0,IF(AC751&gt;$H$28,12-DATEDIF($H$28,AC751+1,"m"),IF(AC751&lt;$H$27,0,DATEDIF($H$27,AC751+1,"m"))))&lt;0,0,IF(Q752+R752+S752+T752+U752+AA752+AB752+Z752+Y752+X752+W752+V752=12,0,IF(AC751&gt;$H$28,12-DATEDIF($H$28,AC751+1,"m"),IF(AC751&lt;$H$27,0,DATEDIF($H$27,AC751+1,"m")))))</f>
        <v>0</v>
      </c>
      <c r="AD752" s="412">
        <f>IF(IF(Q752+R752+S752+T752+U752+V752+AB752+AC752+AA752+Z752+Y752+X752+W752=12,0,IF(AD751&gt;$H$28,12-DATEDIF($H$28,AD751+1,"m"),IF(AD751&lt;$H$27,0,DATEDIF($H$27,AD751+1,"m"))))&lt;0,0,IF(Q752+R752+S752+T752+U752+V752+AB752+AC752+AA752+Z752+Y752+X752+W752=12,0,IF(AD751&gt;$H$28,12-DATEDIF($H$28,AD751+1,"m"),IF(AD751&lt;$H$27,0,DATEDIF($H$27,AD751+1,"m")))))</f>
        <v>0</v>
      </c>
      <c r="AE752" s="412">
        <f>IF(IF(Q752+R752+S752+T752+U752+V752+W752+AC752+AD752+AB752+AA752+Z752+Y752+X752=12,0,IF(AE751&gt;$H$28,12-DATEDIF($H$28,AE751+1,"m"),IF(AE751&lt;$H$27,0,DATEDIF($H$27,AE751+1,"m"))))&lt;0,0,IF(Q752+R752+S752+T752+U752+V752+W752+AC752+AD752+AB752+AA752+Z752+Y752+X752=12,0,IF(AE751&gt;$H$28,12-DATEDIF($H$28,AE751+1,"m"),IF(AE751&lt;$H$27,0,DATEDIF($H$27,AE751+1,"m")))))</f>
        <v>0</v>
      </c>
      <c r="AF752" s="412">
        <f>IF(IF(Q752+R752+S752+T752+U752+V752+W752+X752+AD752+AE752+AC752+AB752+AA752+Z752+Y752=12,0,IF(AF751&gt;$H$28,12-DATEDIF($H$28,AF751+1,"m"),IF(AF751&lt;$H$27,0,DATEDIF($H$27,AF751+1,"m"))))&lt;0,0,IF(Q752+R752+S752+T752+U752+V752+W752+X752+AD752+AE752+AC752+AB752+AA752+Z752+Y752=12,0,IF(AF751&gt;$H$28,12-DATEDIF($H$28,AF751+1,"m"),IF(AF751&lt;$H$27,0,DATEDIF($H$27,AF751+1,"m")))))</f>
        <v>0</v>
      </c>
      <c r="AG752" s="412">
        <f>IF(IF(Q752+R752+S752+T752+U752+V752+W752+X752+Y752+AE752+AF752+AD752+AC752+AB752+AA752+Z752=12,0,IF(AG751&gt;$H$28,12-DATEDIF($H$28,AG751+1,"m"),IF(AG751&lt;$H$27,0,DATEDIF($H$27,AG751+1,"m"))))&lt;0,0,IF(Q752+R752+S752+T752+U752+V752+W752+X752+Y752+AE752+AF752+AD752+AC752+AB752+AA752+Z752=12,0,IF(AG751&gt;$H$28,12-DATEDIF($H$28,AG751+1,"m"),IF(AG751&lt;$H$27,0,DATEDIF($H$27,AG751+1,"m")))))</f>
        <v>0</v>
      </c>
      <c r="AH752" s="423">
        <f>SUM(Q752:AG752)</f>
        <v>0</v>
      </c>
      <c r="AI752" s="425">
        <f t="shared" si="330"/>
        <v>0</v>
      </c>
      <c r="AJ752" s="425">
        <f t="shared" si="330"/>
        <v>0</v>
      </c>
      <c r="AK752" s="425">
        <f t="shared" si="330"/>
        <v>0</v>
      </c>
      <c r="AL752" s="425">
        <f t="shared" si="330"/>
        <v>0</v>
      </c>
      <c r="AM752" s="425">
        <f t="shared" si="330"/>
        <v>0</v>
      </c>
      <c r="AN752" s="425">
        <f t="shared" si="330"/>
        <v>0</v>
      </c>
      <c r="AO752" s="425">
        <f t="shared" si="330"/>
        <v>0</v>
      </c>
      <c r="AP752" s="425">
        <f t="shared" si="330"/>
        <v>0</v>
      </c>
      <c r="AQ752" s="425">
        <f t="shared" si="330"/>
        <v>0</v>
      </c>
      <c r="AR752" s="425">
        <f t="shared" si="330"/>
        <v>0</v>
      </c>
      <c r="AS752" s="425">
        <f t="shared" si="331"/>
        <v>0</v>
      </c>
      <c r="AT752" s="425">
        <f t="shared" si="331"/>
        <v>0</v>
      </c>
      <c r="AU752" s="425">
        <f t="shared" si="331"/>
        <v>0</v>
      </c>
      <c r="AV752" s="425">
        <f t="shared" si="331"/>
        <v>0</v>
      </c>
      <c r="AW752" s="425">
        <f t="shared" si="331"/>
        <v>0</v>
      </c>
      <c r="AX752" s="425">
        <f t="shared" si="331"/>
        <v>0</v>
      </c>
      <c r="AY752" s="425">
        <f t="shared" si="331"/>
        <v>0</v>
      </c>
      <c r="AZ752" s="425">
        <f>SUM(AI752:AY752)</f>
        <v>0</v>
      </c>
    </row>
    <row r="753" spans="17:52" hidden="1">
      <c r="Q753" s="412">
        <f>IF(Q752=0,0,(IF(($B$254+$C$254+$D$254+$E$254+$F$254+$G$254+$H$254)&lt;=25000,(($H$254/+$AH752)*Q752)*VLOOKUP('1. SUMMARY'!$C$20,rate,Sheet1!T$21,0),((IF(($F$254+$B$254+$C$254+$D$254+$E$254+$G$254)&gt;=25000,0,(((25000-($B$254+$C$254+$D$254+$E$254+$F$254+$G$254))/+$AH752)*Q752)*(VLOOKUP('1. SUMMARY'!$C$20,rate,Sheet1!T$21,0))))))))</f>
        <v>0</v>
      </c>
      <c r="R753" s="412">
        <f>IF(R752=0,0,(IF(($B$254+$C$254+$D$254+$E$254+$F$254+$G$254+$H$254)&lt;=25000,(($H$254/+$AH752)*R752)*VLOOKUP('1. SUMMARY'!$C$20,rate,Sheet1!U$21,0),((IF(($F$254+$B$254+$C$254+$D$254+$E$254+$G$254)&gt;=25000,0,(((25000-($B$254+$C$254+$D$254+$E$254+$F$254+$G$254))/+$AH752)*R752)*(VLOOKUP('1. SUMMARY'!$C$20,rate,Sheet1!U$21,0))))))))</f>
        <v>0</v>
      </c>
      <c r="S753" s="412">
        <f>IF(S752=0,0,(IF(($B$254+$C$254+$D$254+$E$254+$F$254+$G$254+$H$254)&lt;=25000,(($H$254/+$AH752)*S752)*VLOOKUP('1. SUMMARY'!$C$20,rate,Sheet1!V$21,0),((IF(($F$254+$B$254+$C$254+$D$254+$E$254+$G$254)&gt;=25000,0,(((25000-($B$254+$C$254+$D$254+$E$254+$F$254+$G$254))/+$AH752)*S752)*(VLOOKUP('1. SUMMARY'!$C$20,rate,Sheet1!V$21,0))))))))</f>
        <v>0</v>
      </c>
      <c r="T753" s="412">
        <f>IF(T752=0,0,(IF(($B$254+$C$254+$D$254+$E$254+$F$254+$G$254+$H$254)&lt;=25000,(($H$254/+$AH752)*T752)*VLOOKUP('1. SUMMARY'!$C$20,rate,Sheet1!W$21,0),((IF(($F$254+$B$254+$C$254+$D$254+$E$254+$G$254)&gt;=25000,0,(((25000-($B$254+$C$254+$D$254+$E$254+$F$254+$G$254))/+$AH752)*T752)*(VLOOKUP('1. SUMMARY'!$C$20,rate,Sheet1!W$21,0))))))))</f>
        <v>0</v>
      </c>
      <c r="U753" s="412">
        <f>IF(U752=0,0,(IF(($B$254+$C$254+$D$254+$E$254+$F$254+$G$254+$H$254)&lt;=25000,(($H$254/+$AH752)*U752)*VLOOKUP('1. SUMMARY'!$C$20,rate,Sheet1!X$21,0),((IF(($F$254+$B$254+$C$254+$D$254+$E$254+$G$254)&gt;=25000,0,(((25000-($B$254+$C$254+$D$254+$E$254+$F$254+$G$254))/+$AH752)*U752)*(VLOOKUP('1. SUMMARY'!$C$20,rate,Sheet1!X$21,0))))))))</f>
        <v>0</v>
      </c>
      <c r="V753" s="412">
        <f>IF(V752=0,0,(IF(($B$254+$C$254+$D$254+$E$254+$F$254+$G$254+$H$254)&lt;=25000,(($H$254/+$AH752)*V752)*VLOOKUP('1. SUMMARY'!$C$20,rate,Sheet1!Y$21,0),((IF(($F$254+$B$254+$C$254+$D$254+$E$254+$G$254)&gt;=25000,0,(((25000-($B$254+$C$254+$D$254+$E$254+$F$254+$G$254))/+$AH752)*V752)*(VLOOKUP('1. SUMMARY'!$C$20,rate,Sheet1!Y$21,0))))))))</f>
        <v>0</v>
      </c>
      <c r="W753" s="412">
        <f>IF(W752=0,0,(IF(($B$254+$C$254+$D$254+$E$254+$F$254+$G$254+$H$254)&lt;=25000,(($H$254/+$AH752)*W752)*VLOOKUP('1. SUMMARY'!$C$20,rate,Sheet1!Z$21,0),((IF(($F$254+$B$254+$C$254+$D$254+$E$254+$G$254)&gt;=25000,0,(((25000-($B$254+$C$254+$D$254+$E$254+$F$254+$G$254))/+$AH752)*W752)*(VLOOKUP('1. SUMMARY'!$C$20,rate,Sheet1!Z$21,0))))))))</f>
        <v>0</v>
      </c>
      <c r="X753" s="412">
        <f>IF(X752=0,0,(IF(($B$254+$C$254+$D$254+$E$254+$F$254+$G$254+$H$254)&lt;=25000,(($H$254/+$AH752)*X752)*VLOOKUP('1. SUMMARY'!$C$20,rate,Sheet1!AA$21,0),((IF(($F$254+$B$254+$C$254+$D$254+$E$254+$G$254)&gt;=25000,0,(((25000-($B$254+$C$254+$D$254+$E$254+$F$254+$G$254))/+$AH752)*X752)*(VLOOKUP('1. SUMMARY'!$C$20,rate,Sheet1!AA$21,0))))))))</f>
        <v>0</v>
      </c>
      <c r="Y753" s="412">
        <f>IF(Y752=0,0,(IF(($B$254+$C$254+$D$254+$E$254+$F$254+$G$254+$H$254)&lt;=25000,(($H$254/+$AH752)*Y752)*VLOOKUP('1. SUMMARY'!$C$20,rate,Sheet1!AB$21,0),((IF(($F$254+$B$254+$C$254+$D$254+$E$254+$G$254)&gt;=25000,0,(((25000-($B$254+$C$254+$D$254+$E$254+$F$254+$G$254))/+$AH752)*Y752)*(VLOOKUP('1. SUMMARY'!$C$20,rate,Sheet1!AB$21,0))))))))</f>
        <v>0</v>
      </c>
      <c r="Z753" s="412">
        <f>IF(Z752=0,0,(IF(($B$254+$C$254+$D$254+$E$254+$F$254+$G$254+$H$254)&lt;=25000,(($H$254/+$AH752)*Z752)*VLOOKUP('1. SUMMARY'!$C$20,rate,Sheet1!AC$21,0),((IF(($F$254+$B$254+$C$254+$D$254+$E$254+$G$254)&gt;=25000,0,(((25000-($B$254+$C$254+$D$254+$E$254+$F$254+$G$254))/+$AH752)*Z752)*(VLOOKUP('1. SUMMARY'!$C$20,rate,Sheet1!AC$21,0))))))))</f>
        <v>0</v>
      </c>
      <c r="AA753" s="412">
        <f>IF(AA752=0,0,(IF(($B$254+$C$254+$D$254+$E$254+$F$254+$G$254+$H$254)&lt;=25000,(($H$254/+$AH752)*AA752)*VLOOKUP('1. SUMMARY'!$C$20,rate,Sheet1!AD$21,0),((IF(($F$254+$B$254+$C$254+$D$254+$E$254+$G$254)&gt;=25000,0,(((25000-($B$254+$C$254+$D$254+$E$254+$F$254+$G$254))/+$AH752)*AA752)*(VLOOKUP('1. SUMMARY'!$C$20,rate,Sheet1!AD$21,0))))))))</f>
        <v>0</v>
      </c>
      <c r="AB753" s="412">
        <f>IF(AB752=0,0,(IF(($B$254+$C$254+$D$254+$E$254+$F$254+$G$254+$H$254)&lt;=25000,(($H$254/+$AH752)*AB752)*VLOOKUP('1. SUMMARY'!$C$20,rate,Sheet1!AE$21,0),((IF(($F$254+$B$254+$C$254+$D$254+$E$254+$G$254)&gt;=25000,0,(((25000-($B$254+$C$254+$D$254+$E$254+$F$254+$G$254))/+$AH752)*AB752)*(VLOOKUP('1. SUMMARY'!$C$20,rate,Sheet1!AE$21,0))))))))</f>
        <v>0</v>
      </c>
      <c r="AC753" s="412">
        <f>IF(AC752=0,0,(IF(($B$254+$C$254+$D$254+$E$254+$F$254+$G$254+$H$254)&lt;=25000,(($H$254/+$AH752)*AC752)*VLOOKUP('1. SUMMARY'!$C$20,rate,Sheet1!AF$21,0),((IF(($F$254+$B$254+$C$254+$D$254+$E$254+$G$254)&gt;=25000,0,(((25000-($B$254+$C$254+$D$254+$E$254+$F$254+$G$254))/+$AH752)*AC752)*(VLOOKUP('1. SUMMARY'!$C$20,rate,Sheet1!AF$21,0))))))))</f>
        <v>0</v>
      </c>
      <c r="AD753" s="412">
        <f>IF(AD752=0,0,(IF(($B$254+$C$254+$D$254+$E$254+$F$254+$G$254+$H$254)&lt;=25000,(($H$254/+$AH752)*AD752)*VLOOKUP('1. SUMMARY'!$C$20,rate,Sheet1!AG$21,0),((IF(($F$254+$B$254+$C$254+$D$254+$E$254+$G$254)&gt;=25000,0,(((25000-($B$254+$C$254+$D$254+$E$254+$F$254+$G$254))/+$AH752)*AD752)*(VLOOKUP('1. SUMMARY'!$C$20,rate,Sheet1!AG$21,0))))))))</f>
        <v>0</v>
      </c>
      <c r="AE753" s="412">
        <f>IF(AE752=0,0,(IF(($B$254+$C$254+$D$254+$E$254+$F$254+$G$254+$H$254)&lt;=25000,(($H$254/+$AH752)*AE752)*VLOOKUP('1. SUMMARY'!$C$20,rate,Sheet1!AH$21,0),((IF(($F$254+$B$254+$C$254+$D$254+$E$254+$G$254)&gt;=25000,0,(((25000-($B$254+$C$254+$D$254+$E$254+$F$254+$G$254))/+$AH752)*AE752)*(VLOOKUP('1. SUMMARY'!$C$20,rate,Sheet1!AH$21,0))))))))</f>
        <v>0</v>
      </c>
      <c r="AF753" s="412">
        <f>IF(AF752=0,0,(IF(($B$254+$C$254+$D$254+$E$254+$F$254+$G$254+$H$254)&lt;=25000,(($H$254/+$AH752)*AF752)*VLOOKUP('1. SUMMARY'!$C$20,rate,Sheet1!AI$21,0),((IF(($F$254+$B$254+$C$254+$D$254+$E$254+$G$254)&gt;=25000,0,(((25000-($B$254+$C$254+$D$254+$E$254+$F$254+$G$254))/+$AH752)*AF752)*(VLOOKUP('1. SUMMARY'!$C$20,rate,Sheet1!AI$21,0))))))))</f>
        <v>0</v>
      </c>
      <c r="AG753" s="412">
        <f>IF(AG752=0,0,(IF(($B$254+$C$254+$D$254+$E$254+$F$254+$G$254+$H$254)&lt;=25000,(($H$254/+$AH752)*AG752)*VLOOKUP('1. SUMMARY'!$C$20,rate,Sheet1!AJ$21,0),((IF(($F$254+$B$254+$C$254+$D$254+$E$254+$G$254)&gt;=25000,0,(((25000-($B$254+$C$254+$D$254+$E$254+$F$254+$G$254))/+$AH752)*AG752)*(VLOOKUP('1. SUMMARY'!$C$20,rate,Sheet1!AJ$21,0))))))))</f>
        <v>0</v>
      </c>
      <c r="AH753" s="219">
        <f>SUM(Q753:AG753)</f>
        <v>0</v>
      </c>
      <c r="AI753" s="412">
        <f>IF(AI752=0,0,((+$H254/$AZ752)*AI752)*VLOOKUP('1. SUMMARY'!$C$20,rate,Sheet1!T$21,0))</f>
        <v>0</v>
      </c>
      <c r="AJ753" s="412">
        <f>IF(AJ752=0,0,((+$H254/$AZ752)*AJ752)*VLOOKUP('1. SUMMARY'!$C$20,rate,Sheet1!U$21,0))</f>
        <v>0</v>
      </c>
      <c r="AK753" s="412">
        <f>IF(AK752=0,0,((+$H254/$AZ752)*AK752)*VLOOKUP('1. SUMMARY'!$C$20,rate,Sheet1!V$21,0))</f>
        <v>0</v>
      </c>
      <c r="AL753" s="412">
        <f>IF(AL752=0,0,((+$H254/$AZ752)*AL752)*VLOOKUP('1. SUMMARY'!$C$20,rate,Sheet1!W$21,0))</f>
        <v>0</v>
      </c>
      <c r="AM753" s="412">
        <f>IF(AM752=0,0,((+$H254/$AZ752)*AM752)*VLOOKUP('1. SUMMARY'!$C$20,rate,Sheet1!X$21,0))</f>
        <v>0</v>
      </c>
      <c r="AN753" s="412">
        <f>IF(AN752=0,0,((+$H254/$AZ752)*AN752)*VLOOKUP('1. SUMMARY'!$C$20,rate,Sheet1!Y$21,0))</f>
        <v>0</v>
      </c>
      <c r="AO753" s="412">
        <f>IF(AO752=0,0,((+$H254/$AZ752)*AO752)*VLOOKUP('1. SUMMARY'!$C$20,rate,Sheet1!Z$21,0))</f>
        <v>0</v>
      </c>
      <c r="AP753" s="412">
        <f>IF(AP752=0,0,((+$H254/$AZ752)*AP752)*VLOOKUP('1. SUMMARY'!$C$20,rate,Sheet1!AA$21,0))</f>
        <v>0</v>
      </c>
      <c r="AQ753" s="412">
        <f>IF(AQ752=0,0,((+$H254/$AZ752)*AQ752)*VLOOKUP('1. SUMMARY'!$C$20,rate,Sheet1!AB$21,0))</f>
        <v>0</v>
      </c>
      <c r="AR753" s="412">
        <f>IF(AR752=0,0,((+$H254/$AZ752)*AR752)*VLOOKUP('1. SUMMARY'!$C$20,rate,Sheet1!AC$21,0))</f>
        <v>0</v>
      </c>
      <c r="AS753" s="412">
        <f>IF(AS752=0,0,((+$H254/$AZ752)*AS752)*VLOOKUP('1. SUMMARY'!$C$20,rate,Sheet1!AD$21,0))</f>
        <v>0</v>
      </c>
      <c r="AT753" s="412">
        <f>IF(AT752=0,0,((+$H254/$AZ752)*AT752)*VLOOKUP('1. SUMMARY'!$C$20,rate,Sheet1!AE$21,0))</f>
        <v>0</v>
      </c>
      <c r="AU753" s="412">
        <f>IF(AU752=0,0,((+$H254/$AZ752)*AU752)*VLOOKUP('1. SUMMARY'!$C$20,rate,Sheet1!AF$21,0))</f>
        <v>0</v>
      </c>
      <c r="AV753" s="412">
        <f>IF(AV752=0,0,((+$H254/$AZ752)*AV752)*VLOOKUP('1. SUMMARY'!$C$20,rate,Sheet1!AG$21,0))</f>
        <v>0</v>
      </c>
      <c r="AW753" s="412">
        <f>IF(AW752=0,0,((+$H254/$AZ752)*AW752)*VLOOKUP('1. SUMMARY'!$C$20,rate,Sheet1!AH$21,0))</f>
        <v>0</v>
      </c>
      <c r="AX753" s="412">
        <f>IF(AX752=0,0,((+$H254/$AZ752)*AX752)*VLOOKUP('1. SUMMARY'!$C$20,rate,Sheet1!AI$21,0))</f>
        <v>0</v>
      </c>
      <c r="AY753" s="412">
        <f>IF(AY752=0,0,((+$H254/$AZ752)*AY752)*VLOOKUP('1. SUMMARY'!$C$20,rate,Sheet1!AJ$21,0))</f>
        <v>0</v>
      </c>
      <c r="AZ753" s="412">
        <f>SUM(AI753:AY753)</f>
        <v>0</v>
      </c>
    </row>
    <row r="754" spans="17:52" hidden="1">
      <c r="Q754" s="412">
        <f>+Q753/VLOOKUP('1. SUMMARY'!$C$20,rate,Sheet1!T$21,0)</f>
        <v>0</v>
      </c>
      <c r="R754" s="412">
        <f>+R753/VLOOKUP('1. SUMMARY'!$C$20,rate,Sheet1!U$21,0)</f>
        <v>0</v>
      </c>
      <c r="S754" s="412">
        <f>+S753/VLOOKUP('1. SUMMARY'!$C$20,rate,Sheet1!V$21,0)</f>
        <v>0</v>
      </c>
      <c r="T754" s="412">
        <f>+T753/VLOOKUP('1. SUMMARY'!$C$20,rate,Sheet1!W$21,0)</f>
        <v>0</v>
      </c>
      <c r="U754" s="412">
        <f>+U753/VLOOKUP('1. SUMMARY'!$C$20,rate,Sheet1!X$21,0)</f>
        <v>0</v>
      </c>
      <c r="V754" s="412">
        <f>+V753/VLOOKUP('1. SUMMARY'!$C$20,rate,Sheet1!Y$21,0)</f>
        <v>0</v>
      </c>
      <c r="W754" s="412">
        <f>+W753/VLOOKUP('1. SUMMARY'!$C$20,rate,Sheet1!Z$21,0)</f>
        <v>0</v>
      </c>
      <c r="X754" s="412">
        <f>+X753/VLOOKUP('1. SUMMARY'!$C$20,rate,Sheet1!AA$21,0)</f>
        <v>0</v>
      </c>
      <c r="Y754" s="412">
        <f>+Y753/VLOOKUP('1. SUMMARY'!$C$20,rate,Sheet1!AB$21,0)</f>
        <v>0</v>
      </c>
      <c r="Z754" s="412">
        <f>+Z753/VLOOKUP('1. SUMMARY'!$C$20,rate,Sheet1!AC$21,0)</f>
        <v>0</v>
      </c>
      <c r="AA754" s="412">
        <f>+AA753/VLOOKUP('1. SUMMARY'!$C$20,rate,Sheet1!AD$21,0)</f>
        <v>0</v>
      </c>
      <c r="AB754" s="412">
        <f>+AB753/VLOOKUP('1. SUMMARY'!$C$20,rate,Sheet1!AE$21,0)</f>
        <v>0</v>
      </c>
      <c r="AC754" s="412">
        <f>+AC753/VLOOKUP('1. SUMMARY'!$C$20,rate,Sheet1!AF$21,0)</f>
        <v>0</v>
      </c>
      <c r="AD754" s="412">
        <f>+AD753/VLOOKUP('1. SUMMARY'!$C$20,rate,Sheet1!AG$21,0)</f>
        <v>0</v>
      </c>
      <c r="AE754" s="412">
        <f>+AE753/VLOOKUP('1. SUMMARY'!$C$20,rate,Sheet1!AH$21,0)</f>
        <v>0</v>
      </c>
      <c r="AF754" s="412">
        <f>+AF753/VLOOKUP('1. SUMMARY'!$C$20,rate,Sheet1!AI$21,0)</f>
        <v>0</v>
      </c>
      <c r="AG754" s="412">
        <f>+AG753/VLOOKUP('1. SUMMARY'!$C$20,rate,Sheet1!AJ$21,0)</f>
        <v>0</v>
      </c>
      <c r="AH754" s="219">
        <f>SUM(Q754:AG754)</f>
        <v>0</v>
      </c>
      <c r="AI754" s="412"/>
      <c r="AJ754" s="412"/>
      <c r="AK754" s="412"/>
      <c r="AL754" s="412"/>
      <c r="AM754" s="412"/>
      <c r="AN754" s="412"/>
      <c r="AO754" s="412"/>
      <c r="AP754" s="412"/>
      <c r="AQ754" s="412"/>
      <c r="AR754" s="412"/>
      <c r="AS754" s="412"/>
      <c r="AT754" s="412"/>
      <c r="AU754" s="412"/>
      <c r="AV754" s="412"/>
      <c r="AW754" s="412"/>
      <c r="AX754" s="412"/>
      <c r="AY754" s="412"/>
      <c r="AZ754" s="412"/>
    </row>
    <row r="755" spans="17:52" hidden="1">
      <c r="Q755" s="418">
        <f>Sheet1!$T$8</f>
        <v>44105</v>
      </c>
      <c r="R755" s="418">
        <f>Sheet1!$U$8</f>
        <v>44470</v>
      </c>
      <c r="S755" s="418">
        <f>Sheet1!$V$8</f>
        <v>44835</v>
      </c>
      <c r="T755" s="418">
        <f>Sheet1!$W$8</f>
        <v>45200</v>
      </c>
      <c r="U755" s="418">
        <f>Sheet1!$X$8</f>
        <v>45566</v>
      </c>
      <c r="V755" s="418">
        <f>Sheet1!$Y$8</f>
        <v>45931</v>
      </c>
      <c r="W755" s="418">
        <f>Sheet1!$Z$8</f>
        <v>46296</v>
      </c>
      <c r="X755" s="418">
        <f>Sheet1!$AA$8</f>
        <v>46661</v>
      </c>
      <c r="Y755" s="418">
        <f>Sheet1!$AB$8</f>
        <v>47027</v>
      </c>
      <c r="Z755" s="418">
        <f>Sheet1!$AC$8</f>
        <v>47392</v>
      </c>
      <c r="AA755" s="418">
        <f>$AA$5</f>
        <v>47757</v>
      </c>
      <c r="AB755" s="418">
        <f>$AB$5</f>
        <v>48122</v>
      </c>
      <c r="AC755" s="418">
        <f>$AC$5</f>
        <v>48488</v>
      </c>
      <c r="AD755" s="418">
        <f>$AD$5</f>
        <v>48853</v>
      </c>
      <c r="AE755" s="418">
        <f>$AE$5</f>
        <v>49218</v>
      </c>
      <c r="AF755" s="418">
        <f>$AF$5</f>
        <v>49583</v>
      </c>
      <c r="AG755" s="418">
        <f>$AG$5</f>
        <v>49949</v>
      </c>
      <c r="AH755" s="219"/>
      <c r="AI755" s="418">
        <f t="shared" ref="AI755:AR757" si="332">+Q755</f>
        <v>44105</v>
      </c>
      <c r="AJ755" s="418">
        <f t="shared" si="332"/>
        <v>44470</v>
      </c>
      <c r="AK755" s="418">
        <f t="shared" si="332"/>
        <v>44835</v>
      </c>
      <c r="AL755" s="418">
        <f t="shared" si="332"/>
        <v>45200</v>
      </c>
      <c r="AM755" s="418">
        <f t="shared" si="332"/>
        <v>45566</v>
      </c>
      <c r="AN755" s="418">
        <f t="shared" si="332"/>
        <v>45931</v>
      </c>
      <c r="AO755" s="418">
        <f t="shared" si="332"/>
        <v>46296</v>
      </c>
      <c r="AP755" s="418">
        <f t="shared" si="332"/>
        <v>46661</v>
      </c>
      <c r="AQ755" s="418">
        <f t="shared" si="332"/>
        <v>47027</v>
      </c>
      <c r="AR755" s="418">
        <f t="shared" si="332"/>
        <v>47392</v>
      </c>
      <c r="AS755" s="418">
        <f t="shared" ref="AS755:AY757" si="333">+AA755</f>
        <v>47757</v>
      </c>
      <c r="AT755" s="418">
        <f t="shared" si="333"/>
        <v>48122</v>
      </c>
      <c r="AU755" s="418">
        <f t="shared" si="333"/>
        <v>48488</v>
      </c>
      <c r="AV755" s="418">
        <f t="shared" si="333"/>
        <v>48853</v>
      </c>
      <c r="AW755" s="418">
        <f t="shared" si="333"/>
        <v>49218</v>
      </c>
      <c r="AX755" s="418">
        <f t="shared" si="333"/>
        <v>49583</v>
      </c>
      <c r="AY755" s="418">
        <f t="shared" si="333"/>
        <v>49949</v>
      </c>
      <c r="AZ755" s="418"/>
    </row>
    <row r="756" spans="17:52" hidden="1">
      <c r="Q756" s="418">
        <f>Sheet1!$T$9</f>
        <v>44469</v>
      </c>
      <c r="R756" s="418">
        <f>Sheet1!$U$9</f>
        <v>44834</v>
      </c>
      <c r="S756" s="418">
        <f>Sheet1!$V$9</f>
        <v>45199</v>
      </c>
      <c r="T756" s="418">
        <f>Sheet1!$W$9</f>
        <v>45565</v>
      </c>
      <c r="U756" s="418">
        <f>Sheet1!$X$9</f>
        <v>45930</v>
      </c>
      <c r="V756" s="418">
        <f>Sheet1!$Y$9</f>
        <v>46295</v>
      </c>
      <c r="W756" s="418">
        <f>Sheet1!$Z$9</f>
        <v>46660</v>
      </c>
      <c r="X756" s="418">
        <f>Sheet1!$AA$9</f>
        <v>47026</v>
      </c>
      <c r="Y756" s="418">
        <f>Sheet1!$AB$9</f>
        <v>47391</v>
      </c>
      <c r="Z756" s="418">
        <f>Sheet1!$AC$9</f>
        <v>47756</v>
      </c>
      <c r="AA756" s="418">
        <f>$AA$6</f>
        <v>48121</v>
      </c>
      <c r="AB756" s="418">
        <f>$AB$6</f>
        <v>48487</v>
      </c>
      <c r="AC756" s="418">
        <f>$AC$6</f>
        <v>48852</v>
      </c>
      <c r="AD756" s="418">
        <f>$AD$6</f>
        <v>49217</v>
      </c>
      <c r="AE756" s="418">
        <f>$AE$6</f>
        <v>49582</v>
      </c>
      <c r="AF756" s="418">
        <f>$AF$6</f>
        <v>49948</v>
      </c>
      <c r="AG756" s="418">
        <f>$AG$6</f>
        <v>50313</v>
      </c>
      <c r="AH756" s="219"/>
      <c r="AI756" s="418">
        <f t="shared" si="332"/>
        <v>44469</v>
      </c>
      <c r="AJ756" s="418">
        <f t="shared" si="332"/>
        <v>44834</v>
      </c>
      <c r="AK756" s="418">
        <f t="shared" si="332"/>
        <v>45199</v>
      </c>
      <c r="AL756" s="418">
        <f t="shared" si="332"/>
        <v>45565</v>
      </c>
      <c r="AM756" s="418">
        <f t="shared" si="332"/>
        <v>45930</v>
      </c>
      <c r="AN756" s="418">
        <f t="shared" si="332"/>
        <v>46295</v>
      </c>
      <c r="AO756" s="418">
        <f t="shared" si="332"/>
        <v>46660</v>
      </c>
      <c r="AP756" s="418">
        <f t="shared" si="332"/>
        <v>47026</v>
      </c>
      <c r="AQ756" s="418">
        <f t="shared" si="332"/>
        <v>47391</v>
      </c>
      <c r="AR756" s="418">
        <f t="shared" si="332"/>
        <v>47756</v>
      </c>
      <c r="AS756" s="418">
        <f t="shared" si="333"/>
        <v>48121</v>
      </c>
      <c r="AT756" s="418">
        <f t="shared" si="333"/>
        <v>48487</v>
      </c>
      <c r="AU756" s="418">
        <f t="shared" si="333"/>
        <v>48852</v>
      </c>
      <c r="AV756" s="418">
        <f t="shared" si="333"/>
        <v>49217</v>
      </c>
      <c r="AW756" s="418">
        <f t="shared" si="333"/>
        <v>49582</v>
      </c>
      <c r="AX756" s="418">
        <f t="shared" si="333"/>
        <v>49948</v>
      </c>
      <c r="AY756" s="418">
        <f t="shared" si="333"/>
        <v>50313</v>
      </c>
      <c r="AZ756" s="418"/>
    </row>
    <row r="757" spans="17:52" hidden="1">
      <c r="Q757" s="419">
        <f>IF(IF(Q756&lt;$I$27,0,DATEDIF($I$27,Q756+1,"m"))&lt;0,0,IF(Q756&lt;$I$27,0,DATEDIF($I$27,Q756+1,"m")))</f>
        <v>0</v>
      </c>
      <c r="R757" s="419">
        <f>IF(IF(Q757=12,0,IF(R756&gt;$I$28,12-DATEDIF($I$28,R756+1,"m"),IF(R756&lt;$I$27,0,DATEDIF($I$27,R756+1,"m"))))&lt;0,0,IF(Q757=12,0,IF(R756&gt;$I$28,12-DATEDIF($I$28,R756+1,"m"),IF(R756&lt;$I$27,0,DATEDIF($I$27,R756+1,"m")))))</f>
        <v>0</v>
      </c>
      <c r="S757" s="419">
        <f>IF(IF(Q757+R757=12,0,IF(S756&gt;$I$28,12-DATEDIF($I$28,S756+1,"m"),IF(S756&lt;$I$27,0,DATEDIF($I$27,S756+1,"m"))))&lt;0,0,IF(Q757+R757=12,0,IF(S756&gt;$I$28,12-DATEDIF($I$28,S756+1,"m"),IF(S756&lt;$I$27,0,DATEDIF($I$27,S756+1,"m")))))</f>
        <v>0</v>
      </c>
      <c r="T757" s="419">
        <f>IF(IF(R757+S757+Q757=12,0,IF(T756&gt;$I$28,12-DATEDIF($I$28,T756+1,"m"),IF(T756&lt;$I$27,0,DATEDIF($I$27,T756+1,"m"))))&lt;0,0,IF(R757+S757+Q757=12,0,IF(T756&gt;$I$28,12-DATEDIF($I$28,T756+1,"m"),IF(T756&lt;$I$27,0,DATEDIF($I$27,T756+1,"m")))))</f>
        <v>0</v>
      </c>
      <c r="U757" s="419">
        <f>IF(IF(S757+T757+R757+Q757=12,0,IF(U756&gt;$I$28,12-DATEDIF($I$28,U756+1,"m"),IF(U756&lt;$I$27,0,DATEDIF($I$27,U756+1,"m"))))&lt;0,0,IF(S757+T757+R757+Q757=12,0,IF(U756&gt;$I$28,12-DATEDIF($I$28,U756+1,"m"),IF(U756&lt;$I$27,0,DATEDIF($I$27,U756+1,"m")))))</f>
        <v>0</v>
      </c>
      <c r="V757" s="419">
        <f>IF(IF(T757+U757+S757+R757+Q757=12,0,IF(V756&gt;$I$28,12-DATEDIF($I$28,V756+1,"m"),IF(V756&lt;$I$27,0,DATEDIF($I$27,V756+1,"m"))))&lt;0,0,IF(T757+U757+S757+R757+Q757=12,0,IF(V756&gt;$I$28,12-DATEDIF($I$28,V756+1,"m"),IF(V756&lt;$I$27,0,DATEDIF($I$27,V756+1,"m")))))</f>
        <v>0</v>
      </c>
      <c r="W757" s="419">
        <f>IF(IF(U757+V757+T757+S757+R757+Q757=12,0,IF(W756&gt;$I$28,12-DATEDIF($I$28,W756+1,"m"),IF(W756&lt;$I$27,0,DATEDIF($I$27,W756+1,"m"))))&lt;0,0,IF(U757+V757+T757+S757+R757+Q757=12,0,IF(W756&gt;$I$28,12-DATEDIF($I$28,W756+1,"m"),IF(W756&lt;$I$27,0,DATEDIF($I$27,W756+1,"m")))))</f>
        <v>0</v>
      </c>
      <c r="X757" s="419">
        <f>IF(IF(V757+W757+U757+T757+S757+R757+Q757=12,0,IF(X756&gt;$I$28,12-DATEDIF($I$28,X756+1,"m"),IF(X756&lt;$I$27,0,DATEDIF($I$27,X756+1,"m"))))&lt;0,0,IF(V757+W757+U757+T757+S757+R757+Q757=12,0,IF(X756&gt;$I$28,12-DATEDIF($I$28,X756+1,"m"),IF(X756&lt;$I$27,0,DATEDIF($I$27,X756+1,"m")))))</f>
        <v>0</v>
      </c>
      <c r="Y757" s="419">
        <f>IF(IF(W757+X757+V757+U757+T757+S757+R757+Q757=12,0,IF(Y756&gt;$I$28,12-DATEDIF($I$28,Y756+1,"m"),IF(Y756&lt;$I$27,0,DATEDIF($I$27,Y756+1,"m"))))&lt;0,0,IF(W757+X757+V757+U757+T757+S757+R757+Q757=12,0,IF(Y756&gt;$I$28,12-DATEDIF($I$28,Y756+1,"m"),IF(Y756&lt;$I$27,0,DATEDIF($I$27,Y756+1,"m")))))</f>
        <v>0</v>
      </c>
      <c r="Z757" s="419">
        <f>IF(IF(X757+Y757+W757+V757+U757+T757+S757+R757+Q757=12,0,IF(Z756&gt;$I$28,12-DATEDIF($I$28,Z756+1,"m"),IF(Z756&lt;$I$27,0,DATEDIF($I$27,Z756+1,"m"))))&lt;0,0,IF(X757+Y757+W757+V757+U757+T757+S757+R757+Q757=12,0,IF(Z756&gt;$I$28,12-DATEDIF($I$28,Z756+1,"m"),IF(Z756&lt;$I$27,0,DATEDIF($I$27,Z756+1,"m")))))</f>
        <v>0</v>
      </c>
      <c r="AA757" s="419">
        <f>IF(IF(Q757+R757+S757+Y757+Z757+X757+W757+V757+U757+T757=12,0,IF(AA756&gt;$I$28,12-DATEDIF($I$28,AA756+1,"m"),IF(AA756&lt;$I$27,0,DATEDIF($I$27,AA756+1,"m"))))&lt;0,0,IF(Q757+R757+S757+Y757+Z757+X757+W757+V757+U757+T757=12,0,IF(AA756&gt;$I$28,12-DATEDIF($I$28,AA756+1,"m"),IF(AA756&lt;$I$27,0,DATEDIF($I$27,AA756+1,"m")))))</f>
        <v>0</v>
      </c>
      <c r="AB757" s="419">
        <f>IF(IF(Q757+R757+S757+T757+Z757+AA757+Y757+X757+W757+V757+U757=12,0,IF(AB756&gt;$I$28,12-DATEDIF($I$28,AB756+1,"m"),IF(AB756&lt;$I$27,0,DATEDIF($I$27,AB756+1,"m"))))&lt;0,0,IF(Q757+R757+S757+T757+Z757+AA757+Y757+X757+W757+V757+U757=12,0,IF(AB756&gt;$I$28,12-DATEDIF($I$28,AB756+1,"m"),IF(AB756&lt;$I$27,0,DATEDIF($I$27,AB756+1,"m")))))</f>
        <v>0</v>
      </c>
      <c r="AC757" s="419">
        <f>IF(IF(Q757+R757+S757+T757+U757+AA757+AB757+Z757+Y757+X757+W757+V757=12,0,IF(AC756&gt;$I$28,12-DATEDIF($I$28,AC756+1,"m"),IF(AC756&lt;$I$27,0,DATEDIF($I$27,AC756+1,"m"))))&lt;0,0,IF(Q757+R757+S757+T757+U757+AA757+AB757+Z757+Y757+X757+W757+V757=12,0,IF(AC756&gt;$I$28,12-DATEDIF($I$28,AC756+1,"m"),IF(AC756&lt;$I$27,0,DATEDIF($I$27,AC756+1,"m")))))</f>
        <v>0</v>
      </c>
      <c r="AD757" s="419">
        <f>IF(IF(Q757+R757+S757+T757+U757+V757+AB757+AC757+AA757+Z757+Y757+X757+W757=12,0,IF(AD756&gt;$I$28,12-DATEDIF($I$28,AD756+1,"m"),IF(AD756&lt;$I$27,0,DATEDIF($I$27,AD756+1,"m"))))&lt;0,0,IF(Q757+R757+S757+T757+U757+V757+AB757+AC757+AA757+Z757+Y757+X757+W757=12,0,IF(AD756&gt;$I$28,12-DATEDIF($I$28,AD756+1,"m"),IF(AD756&lt;$I$27,0,DATEDIF($I$27,AD756+1,"m")))))</f>
        <v>0</v>
      </c>
      <c r="AE757" s="419">
        <f>IF(IF(Q757+R757+S757+T757+U757+V757+W757+AC757+AD757+AB757+AA757+Z757+Y757+X757=12,0,IF(AE756&gt;$I$28,12-DATEDIF($I$28,AE756+1,"m"),IF(AE756&lt;$I$27,0,DATEDIF($I$27,AE756+1,"m"))))&lt;0,0,IF(Q757+R757+S757+T757+U757+V757+W757+AC757+AD757+AB757+AA757+Z757+Y757+X757=12,0,IF(AE756&gt;$I$28,12-DATEDIF($I$28,AE756+1,"m"),IF(AE756&lt;$I$27,0,DATEDIF($I$27,AE756+1,"m")))))</f>
        <v>0</v>
      </c>
      <c r="AF757" s="419">
        <f>IF(IF(Q757+R757+S757+T757+U757+V757+W757+X757+AD757+AE757+AC757+AB757+AA757+Z757+Y757=12,0,IF(AF756&gt;$I$28,12-DATEDIF($I$28,AF756+1,"m"),IF(AF756&lt;$I$27,0,DATEDIF($I$27,AF756+1,"m"))))&lt;0,0,IF(Q757+R757+S757+T757+U757+V757+W757+X757+AD757+AE757+AC757+AB757+AA757+Z757+Y757=12,0,IF(AF756&gt;$I$28,12-DATEDIF($I$28,AF756+1,"m"),IF(AF756&lt;$I$27,0,DATEDIF($I$27,AF756+1,"m")))))</f>
        <v>0</v>
      </c>
      <c r="AG757" s="419">
        <f>IF(IF(Q757+R757+S757+T757+U757+V757+W757+X757+Y757+AE757+AF757+AD757+AC757+AB757+AA757+Z757=12,0,IF(AG756&gt;$I$28,12-DATEDIF($I$28,AG756+1,"m"),IF(AG756&lt;$I$27,0,DATEDIF($I$27,AG756+1,"m"))))&lt;0,0,IF(Q757+R757+S757+T757+U757+V757+W757+X757+Y757+AE757+AF757+AD757+AC757+AB757+AA757+Z757=12,0,IF(AG756&gt;$I$28,12-DATEDIF($I$28,AG756+1,"m"),IF(AG756&lt;$I$27,0,DATEDIF($I$27,AG756+1,"m")))))</f>
        <v>0</v>
      </c>
      <c r="AH757" s="423">
        <f>SUM(Q757:AG757)</f>
        <v>0</v>
      </c>
      <c r="AI757" s="426">
        <f t="shared" si="332"/>
        <v>0</v>
      </c>
      <c r="AJ757" s="426">
        <f t="shared" si="332"/>
        <v>0</v>
      </c>
      <c r="AK757" s="426">
        <f t="shared" si="332"/>
        <v>0</v>
      </c>
      <c r="AL757" s="426">
        <f t="shared" si="332"/>
        <v>0</v>
      </c>
      <c r="AM757" s="426">
        <f t="shared" si="332"/>
        <v>0</v>
      </c>
      <c r="AN757" s="426">
        <f t="shared" si="332"/>
        <v>0</v>
      </c>
      <c r="AO757" s="426">
        <f t="shared" si="332"/>
        <v>0</v>
      </c>
      <c r="AP757" s="426">
        <f t="shared" si="332"/>
        <v>0</v>
      </c>
      <c r="AQ757" s="426">
        <f t="shared" si="332"/>
        <v>0</v>
      </c>
      <c r="AR757" s="426">
        <f t="shared" si="332"/>
        <v>0</v>
      </c>
      <c r="AS757" s="426">
        <f t="shared" si="333"/>
        <v>0</v>
      </c>
      <c r="AT757" s="426">
        <f t="shared" si="333"/>
        <v>0</v>
      </c>
      <c r="AU757" s="426">
        <f t="shared" si="333"/>
        <v>0</v>
      </c>
      <c r="AV757" s="426">
        <f t="shared" si="333"/>
        <v>0</v>
      </c>
      <c r="AW757" s="426">
        <f t="shared" si="333"/>
        <v>0</v>
      </c>
      <c r="AX757" s="426">
        <f t="shared" si="333"/>
        <v>0</v>
      </c>
      <c r="AY757" s="426">
        <f t="shared" si="333"/>
        <v>0</v>
      </c>
      <c r="AZ757" s="426">
        <f>SUM(AI757:AY757)</f>
        <v>0</v>
      </c>
    </row>
    <row r="758" spans="17:52" hidden="1">
      <c r="Q758" s="419">
        <f>IF(Q757=0,0,(IF(($B$254+$C$254+$D$254+$E$254+$F$254+$G$254+$H$254+$I$254)&lt;=25000,(($I$254/+$AH757)*Q757)*VLOOKUP('1. SUMMARY'!$C$20,rate,Sheet1!T$21,0),((IF(($F$254+$B$254+$C$254+$D$254+$E$254+$G$254+$H$254)&gt;=25000,0,(((25000-($B$254+$C$254+$D$254+$E$254+$F$254+$G$254+$H$254))/+$AH757)*Q757)*(VLOOKUP('1. SUMMARY'!$C$20,rate,Sheet1!T$21,0))))))))</f>
        <v>0</v>
      </c>
      <c r="R758" s="419">
        <f>IF(R757=0,0,(IF(($B$254+$C$254+$D$254+$E$254+$F$254+$G$254+$H$254+$I$254)&lt;=25000,(($I$254/+$AH757)*R757)*VLOOKUP('1. SUMMARY'!$C$20,rate,Sheet1!U$21,0),((IF(($F$254+$B$254+$C$254+$D$254+$E$254+$G$254+$H$254)&gt;=25000,0,(((25000-($B$254+$C$254+$D$254+$E$254+$F$254+$G$254+$H$254))/+$AH757)*R757)*(VLOOKUP('1. SUMMARY'!$C$20,rate,Sheet1!U$21,0))))))))</f>
        <v>0</v>
      </c>
      <c r="S758" s="419">
        <f>IF(S757=0,0,(IF(($B$254+$C$254+$D$254+$E$254+$F$254+$G$254+$H$254+$I$254)&lt;=25000,(($I$254/+$AH757)*S757)*VLOOKUP('1. SUMMARY'!$C$20,rate,Sheet1!V$21,0),((IF(($F$254+$B$254+$C$254+$D$254+$E$254+$G$254+$H$254)&gt;=25000,0,(((25000-($B$254+$C$254+$D$254+$E$254+$F$254+$G$254+$H$254))/+$AH757)*S757)*(VLOOKUP('1. SUMMARY'!$C$20,rate,Sheet1!V$21,0))))))))</f>
        <v>0</v>
      </c>
      <c r="T758" s="419">
        <f>IF(T757=0,0,(IF(($B$254+$C$254+$D$254+$E$254+$F$254+$G$254+$H$254+$I$254)&lt;=25000,(($I$254/+$AH757)*T757)*VLOOKUP('1. SUMMARY'!$C$20,rate,Sheet1!W$21,0),((IF(($F$254+$B$254+$C$254+$D$254+$E$254+$G$254+$H$254)&gt;=25000,0,(((25000-($B$254+$C$254+$D$254+$E$254+$F$254+$G$254+$H$254))/+$AH757)*T757)*(VLOOKUP('1. SUMMARY'!$C$20,rate,Sheet1!W$21,0))))))))</f>
        <v>0</v>
      </c>
      <c r="U758" s="419">
        <f>IF(U757=0,0,(IF(($B$254+$C$254+$D$254+$E$254+$F$254+$G$254+$H$254+$I$254)&lt;=25000,(($I$254/+$AH757)*U757)*VLOOKUP('1. SUMMARY'!$C$20,rate,Sheet1!X$21,0),((IF(($F$254+$B$254+$C$254+$D$254+$E$254+$G$254+$H$254)&gt;=25000,0,(((25000-($B$254+$C$254+$D$254+$E$254+$F$254+$G$254+$H$254))/+$AH757)*U757)*(VLOOKUP('1. SUMMARY'!$C$20,rate,Sheet1!X$21,0))))))))</f>
        <v>0</v>
      </c>
      <c r="V758" s="419">
        <f>IF(V757=0,0,(IF(($B$254+$C$254+$D$254+$E$254+$F$254+$G$254+$H$254+$I$254)&lt;=25000,(($I$254/+$AH757)*V757)*VLOOKUP('1. SUMMARY'!$C$20,rate,Sheet1!Y$21,0),((IF(($F$254+$B$254+$C$254+$D$254+$E$254+$G$254+$H$254)&gt;=25000,0,(((25000-($B$254+$C$254+$D$254+$E$254+$F$254+$G$254+$H$254))/+$AH757)*V757)*(VLOOKUP('1. SUMMARY'!$C$20,rate,Sheet1!Y$21,0))))))))</f>
        <v>0</v>
      </c>
      <c r="W758" s="419">
        <f>IF(W757=0,0,(IF(($B$254+$C$254+$D$254+$E$254+$F$254+$G$254+$H$254+$I$254)&lt;=25000,(($I$254/+$AH757)*W757)*VLOOKUP('1. SUMMARY'!$C$20,rate,Sheet1!Z$21,0),((IF(($F$254+$B$254+$C$254+$D$254+$E$254+$G$254+$H$254)&gt;=25000,0,(((25000-($B$254+$C$254+$D$254+$E$254+$F$254+$G$254+$H$254))/+$AH757)*W757)*(VLOOKUP('1. SUMMARY'!$C$20,rate,Sheet1!Z$21,0))))))))</f>
        <v>0</v>
      </c>
      <c r="X758" s="419">
        <f>IF(X757=0,0,(IF(($B$254+$C$254+$D$254+$E$254+$F$254+$G$254+$H$254+$I$254)&lt;=25000,(($I$254/+$AH757)*X757)*VLOOKUP('1. SUMMARY'!$C$20,rate,Sheet1!AA$21,0),((IF(($F$254+$B$254+$C$254+$D$254+$E$254+$G$254+$H$254)&gt;=25000,0,(((25000-($B$254+$C$254+$D$254+$E$254+$F$254+$G$254+$H$254))/+$AH757)*X757)*(VLOOKUP('1. SUMMARY'!$C$20,rate,Sheet1!AA$21,0))))))))</f>
        <v>0</v>
      </c>
      <c r="Y758" s="419">
        <f>IF(Y757=0,0,(IF(($B$254+$C$254+$D$254+$E$254+$F$254+$G$254+$H$254+$I$254)&lt;=25000,(($I$254/+$AH757)*Y757)*VLOOKUP('1. SUMMARY'!$C$20,rate,Sheet1!AB$21,0),((IF(($F$254+$B$254+$C$254+$D$254+$E$254+$G$254+$H$254)&gt;=25000,0,(((25000-($B$254+$C$254+$D$254+$E$254+$F$254+$G$254+$H$254))/+$AH757)*Y757)*(VLOOKUP('1. SUMMARY'!$C$20,rate,Sheet1!AB$21,0))))))))</f>
        <v>0</v>
      </c>
      <c r="Z758" s="419">
        <f>IF(Z757=0,0,(IF(($B$254+$C$254+$D$254+$E$254+$F$254+$G$254+$H$254+$I$254)&lt;=25000,(($I$254/+$AH757)*Z757)*VLOOKUP('1. SUMMARY'!$C$20,rate,Sheet1!AC$21,0),((IF(($F$254+$B$254+$C$254+$D$254+$E$254+$G$254+$H$254)&gt;=25000,0,(((25000-($B$254+$C$254+$D$254+$E$254+$F$254+$G$254+$H$254))/+$AH757)*Z757)*(VLOOKUP('1. SUMMARY'!$C$20,rate,Sheet1!AC$21,0))))))))</f>
        <v>0</v>
      </c>
      <c r="AA758" s="419">
        <f>IF(AA757=0,0,(IF(($B$254+$C$254+$D$254+$E$254+$F$254+$G$254+$H$254+$I$254)&lt;=25000,(($I$254/+$AH757)*AA757)*VLOOKUP('1. SUMMARY'!$C$20,rate,Sheet1!AD$21,0),((IF(($F$254+$B$254+$C$254+$D$254+$E$254+$G$254+$H$254)&gt;=25000,0,(((25000-($B$254+$C$254+$D$254+$E$254+$F$254+$G$254+$H$254))/+$AH757)*AA757)*(VLOOKUP('1. SUMMARY'!$C$20,rate,Sheet1!AD$21,0))))))))</f>
        <v>0</v>
      </c>
      <c r="AB758" s="419">
        <f>IF(AB757=0,0,(IF(($B$254+$C$254+$D$254+$E$254+$F$254+$G$254+$H$254+$I$254)&lt;=25000,(($I$254/+$AH757)*AB757)*VLOOKUP('1. SUMMARY'!$C$20,rate,Sheet1!AE$21,0),((IF(($F$254+$B$254+$C$254+$D$254+$E$254+$G$254+$H$254)&gt;=25000,0,(((25000-($B$254+$C$254+$D$254+$E$254+$F$254+$G$254+$H$254))/+$AH757)*AB757)*(VLOOKUP('1. SUMMARY'!$C$20,rate,Sheet1!AE$21,0))))))))</f>
        <v>0</v>
      </c>
      <c r="AC758" s="419">
        <f>IF(AC757=0,0,(IF(($B$254+$C$254+$D$254+$E$254+$F$254+$G$254+$H$254+$I$254)&lt;=25000,(($I$254/+$AH757)*AC757)*VLOOKUP('1. SUMMARY'!$C$20,rate,Sheet1!AF$21,0),((IF(($F$254+$B$254+$C$254+$D$254+$E$254+$G$254+$H$254)&gt;=25000,0,(((25000-($B$254+$C$254+$D$254+$E$254+$F$254+$G$254+$H$254))/+$AH757)*AC757)*(VLOOKUP('1. SUMMARY'!$C$20,rate,Sheet1!AF$21,0))))))))</f>
        <v>0</v>
      </c>
      <c r="AD758" s="419">
        <f>IF(AD757=0,0,(IF(($B$254+$C$254+$D$254+$E$254+$F$254+$G$254+$H$254+$I$254)&lt;=25000,(($I$254/+$AH757)*AD757)*VLOOKUP('1. SUMMARY'!$C$20,rate,Sheet1!AG$21,0),((IF(($F$254+$B$254+$C$254+$D$254+$E$254+$G$254+$H$254)&gt;=25000,0,(((25000-($B$254+$C$254+$D$254+$E$254+$F$254+$G$254+$H$254))/+$AH757)*AD757)*(VLOOKUP('1. SUMMARY'!$C$20,rate,Sheet1!AG$21,0))))))))</f>
        <v>0</v>
      </c>
      <c r="AE758" s="419">
        <f>IF(AE757=0,0,(IF(($B$254+$C$254+$D$254+$E$254+$F$254+$G$254+$H$254+$I$254)&lt;=25000,(($I$254/+$AH757)*AE757)*VLOOKUP('1. SUMMARY'!$C$20,rate,Sheet1!AH$21,0),((IF(($F$254+$B$254+$C$254+$D$254+$E$254+$G$254+$H$254)&gt;=25000,0,(((25000-($B$254+$C$254+$D$254+$E$254+$F$254+$G$254+$H$254))/+$AH757)*AE757)*(VLOOKUP('1. SUMMARY'!$C$20,rate,Sheet1!AH$21,0))))))))</f>
        <v>0</v>
      </c>
      <c r="AF758" s="419">
        <f>IF(AF757=0,0,(IF(($B$254+$C$254+$D$254+$E$254+$F$254+$G$254+$H$254+$I$254)&lt;=25000,(($I$254/+$AH757)*AF757)*VLOOKUP('1. SUMMARY'!$C$20,rate,Sheet1!AI$21,0),((IF(($F$254+$B$254+$C$254+$D$254+$E$254+$G$254+$H$254)&gt;=25000,0,(((25000-($B$254+$C$254+$D$254+$E$254+$F$254+$G$254+$H$254))/+$AH757)*AF757)*(VLOOKUP('1. SUMMARY'!$C$20,rate,Sheet1!AI$21,0))))))))</f>
        <v>0</v>
      </c>
      <c r="AG758" s="419">
        <f>IF(AG757=0,0,(IF(($B$254+$C$254+$D$254+$E$254+$F$254+$G$254+$H$254+$I$254)&lt;=25000,(($I$254/+$AH757)*AG757)*VLOOKUP('1. SUMMARY'!$C$20,rate,Sheet1!AJ$21,0),((IF(($F$254+$B$254+$C$254+$D$254+$E$254+$G$254+$H$254)&gt;=25000,0,(((25000-($B$254+$C$254+$D$254+$E$254+$F$254+$G$254+$H$254))/+$AH757)*AG757)*(VLOOKUP('1. SUMMARY'!$C$20,rate,Sheet1!AJ$21,0))))))))</f>
        <v>0</v>
      </c>
      <c r="AH758" s="219">
        <f>SUM(Q758:AG758)</f>
        <v>0</v>
      </c>
      <c r="AI758" s="419">
        <f>IF(AI757=0,0,((+$I254/$AZ757)*AI757)*VLOOKUP('1. SUMMARY'!$C$20,rate,Sheet1!T$21,0))</f>
        <v>0</v>
      </c>
      <c r="AJ758" s="419">
        <f>IF(AJ757=0,0,((+$I254/$AZ757)*AJ757)*VLOOKUP('1. SUMMARY'!$C$20,rate,Sheet1!U$21,0))</f>
        <v>0</v>
      </c>
      <c r="AK758" s="419">
        <f>IF(AK757=0,0,((+$I254/$AZ757)*AK757)*VLOOKUP('1. SUMMARY'!$C$20,rate,Sheet1!V$21,0))</f>
        <v>0</v>
      </c>
      <c r="AL758" s="419">
        <f>IF(AL757=0,0,((+$I254/$AZ757)*AL757)*VLOOKUP('1. SUMMARY'!$C$20,rate,Sheet1!W$21,0))</f>
        <v>0</v>
      </c>
      <c r="AM758" s="419">
        <f>IF(AM757=0,0,((+$I254/$AZ757)*AM757)*VLOOKUP('1. SUMMARY'!$C$20,rate,Sheet1!X$21,0))</f>
        <v>0</v>
      </c>
      <c r="AN758" s="419">
        <f>IF(AN757=0,0,((+$I254/$AZ757)*AN757)*VLOOKUP('1. SUMMARY'!$C$20,rate,Sheet1!Y$21,0))</f>
        <v>0</v>
      </c>
      <c r="AO758" s="419">
        <f>IF(AO757=0,0,((+$I254/$AZ757)*AO757)*VLOOKUP('1. SUMMARY'!$C$20,rate,Sheet1!Z$21,0))</f>
        <v>0</v>
      </c>
      <c r="AP758" s="419">
        <f>IF(AP757=0,0,((+$I254/$AZ757)*AP757)*VLOOKUP('1. SUMMARY'!$C$20,rate,Sheet1!AA$21,0))</f>
        <v>0</v>
      </c>
      <c r="AQ758" s="419">
        <f>IF(AQ757=0,0,((+$I254/$AZ757)*AQ757)*VLOOKUP('1. SUMMARY'!$C$20,rate,Sheet1!AB$21,0))</f>
        <v>0</v>
      </c>
      <c r="AR758" s="419">
        <f>IF(AR757=0,0,((+$I254/$AZ757)*AR757)*VLOOKUP('1. SUMMARY'!$C$20,rate,Sheet1!AC$21,0))</f>
        <v>0</v>
      </c>
      <c r="AS758" s="419">
        <f>IF(AS757=0,0,((+$I254/$AZ757)*AS757)*VLOOKUP('1. SUMMARY'!$C$20,rate,Sheet1!AD$21,0))</f>
        <v>0</v>
      </c>
      <c r="AT758" s="419">
        <f>IF(AT757=0,0,((+$I254/$AZ757)*AT757)*VLOOKUP('1. SUMMARY'!$C$20,rate,Sheet1!AE$21,0))</f>
        <v>0</v>
      </c>
      <c r="AU758" s="419">
        <f>IF(AU757=0,0,((+$I254/$AZ757)*AU757)*VLOOKUP('1. SUMMARY'!$C$20,rate,Sheet1!AF$21,0))</f>
        <v>0</v>
      </c>
      <c r="AV758" s="419">
        <f>IF(AV757=0,0,((+$I254/$AZ757)*AV757)*VLOOKUP('1. SUMMARY'!$C$20,rate,Sheet1!AG$21,0))</f>
        <v>0</v>
      </c>
      <c r="AW758" s="419">
        <f>IF(AW757=0,0,((+$I254/$AZ757)*AW757)*VLOOKUP('1. SUMMARY'!$C$20,rate,Sheet1!AH$21,0))</f>
        <v>0</v>
      </c>
      <c r="AX758" s="419">
        <f>IF(AX757=0,0,((+$I254/$AZ757)*AX757)*VLOOKUP('1. SUMMARY'!$C$20,rate,Sheet1!AI$21,0))</f>
        <v>0</v>
      </c>
      <c r="AY758" s="419">
        <f>IF(AY757=0,0,((+$I254/$AZ757)*AY757)*VLOOKUP('1. SUMMARY'!$C$20,rate,Sheet1!AJ$21,0))</f>
        <v>0</v>
      </c>
      <c r="AZ758" s="419">
        <f>SUM(AI758:AY758)</f>
        <v>0</v>
      </c>
    </row>
    <row r="759" spans="17:52" hidden="1">
      <c r="Q759" s="419">
        <f>+Q758/VLOOKUP('1. SUMMARY'!$C$20,rate,Sheet1!T$21,0)</f>
        <v>0</v>
      </c>
      <c r="R759" s="419">
        <f>+R758/VLOOKUP('1. SUMMARY'!$C$20,rate,Sheet1!U$21,0)</f>
        <v>0</v>
      </c>
      <c r="S759" s="419">
        <f>+S758/VLOOKUP('1. SUMMARY'!$C$20,rate,Sheet1!V$21,0)</f>
        <v>0</v>
      </c>
      <c r="T759" s="419">
        <f>+T758/VLOOKUP('1. SUMMARY'!$C$20,rate,Sheet1!W$21,0)</f>
        <v>0</v>
      </c>
      <c r="U759" s="419">
        <f>+U758/VLOOKUP('1. SUMMARY'!$C$20,rate,Sheet1!X$21,0)</f>
        <v>0</v>
      </c>
      <c r="V759" s="419">
        <f>+V758/VLOOKUP('1. SUMMARY'!$C$20,rate,Sheet1!Y$21,0)</f>
        <v>0</v>
      </c>
      <c r="W759" s="419">
        <f>+W758/VLOOKUP('1. SUMMARY'!$C$20,rate,Sheet1!Z$21,0)</f>
        <v>0</v>
      </c>
      <c r="X759" s="419">
        <f>+X758/VLOOKUP('1. SUMMARY'!$C$20,rate,Sheet1!AA$21,0)</f>
        <v>0</v>
      </c>
      <c r="Y759" s="419">
        <f>+Y758/VLOOKUP('1. SUMMARY'!$C$20,rate,Sheet1!AB$21,0)</f>
        <v>0</v>
      </c>
      <c r="Z759" s="419">
        <f>+Z758/VLOOKUP('1. SUMMARY'!$C$20,rate,Sheet1!AC$21,0)</f>
        <v>0</v>
      </c>
      <c r="AA759" s="419">
        <f>+AA758/VLOOKUP('1. SUMMARY'!$C$20,rate,Sheet1!AD$21,0)</f>
        <v>0</v>
      </c>
      <c r="AB759" s="419">
        <f>+AB758/VLOOKUP('1. SUMMARY'!$C$20,rate,Sheet1!AE$21,0)</f>
        <v>0</v>
      </c>
      <c r="AC759" s="419">
        <f>+AC758/VLOOKUP('1. SUMMARY'!$C$20,rate,Sheet1!AF$21,0)</f>
        <v>0</v>
      </c>
      <c r="AD759" s="419">
        <f>+AD758/VLOOKUP('1. SUMMARY'!$C$20,rate,Sheet1!AG$21,0)</f>
        <v>0</v>
      </c>
      <c r="AE759" s="419">
        <f>+AE758/VLOOKUP('1. SUMMARY'!$C$20,rate,Sheet1!AH$21,0)</f>
        <v>0</v>
      </c>
      <c r="AF759" s="419">
        <f>+AF758/VLOOKUP('1. SUMMARY'!$C$20,rate,Sheet1!AI$21,0)</f>
        <v>0</v>
      </c>
      <c r="AG759" s="419">
        <f>+AG758/VLOOKUP('1. SUMMARY'!$C$20,rate,Sheet1!AJ$21,0)</f>
        <v>0</v>
      </c>
      <c r="AH759" s="219"/>
      <c r="AI759" s="419"/>
      <c r="AJ759" s="419"/>
      <c r="AK759" s="419"/>
      <c r="AL759" s="419"/>
      <c r="AM759" s="419"/>
      <c r="AN759" s="419"/>
      <c r="AO759" s="419"/>
      <c r="AP759" s="419"/>
      <c r="AQ759" s="419"/>
      <c r="AR759" s="419"/>
      <c r="AS759" s="419"/>
      <c r="AT759" s="419"/>
      <c r="AU759" s="419"/>
      <c r="AV759" s="419"/>
      <c r="AW759" s="419"/>
      <c r="AX759" s="419"/>
      <c r="AY759" s="419"/>
      <c r="AZ759" s="419"/>
    </row>
    <row r="760" spans="17:52" hidden="1">
      <c r="Q760" s="416">
        <f>Sheet1!$T$8</f>
        <v>44105</v>
      </c>
      <c r="R760" s="416">
        <f>Sheet1!$U$8</f>
        <v>44470</v>
      </c>
      <c r="S760" s="416">
        <f>Sheet1!$V$8</f>
        <v>44835</v>
      </c>
      <c r="T760" s="416">
        <f>Sheet1!$W$8</f>
        <v>45200</v>
      </c>
      <c r="U760" s="416">
        <f>Sheet1!$X$8</f>
        <v>45566</v>
      </c>
      <c r="V760" s="416">
        <f>Sheet1!$Y$8</f>
        <v>45931</v>
      </c>
      <c r="W760" s="416">
        <f>Sheet1!$Z$8</f>
        <v>46296</v>
      </c>
      <c r="X760" s="416">
        <f>Sheet1!$AA$8</f>
        <v>46661</v>
      </c>
      <c r="Y760" s="416">
        <f>Sheet1!$AB$8</f>
        <v>47027</v>
      </c>
      <c r="Z760" s="416">
        <f>Sheet1!$AC$8</f>
        <v>47392</v>
      </c>
      <c r="AA760" s="416">
        <f>$AA$5</f>
        <v>47757</v>
      </c>
      <c r="AB760" s="416">
        <f>$AB$5</f>
        <v>48122</v>
      </c>
      <c r="AC760" s="416">
        <f>$AC$5</f>
        <v>48488</v>
      </c>
      <c r="AD760" s="416">
        <f>$AD$5</f>
        <v>48853</v>
      </c>
      <c r="AE760" s="416">
        <f>$AE$5</f>
        <v>49218</v>
      </c>
      <c r="AF760" s="416">
        <f>$AF$5</f>
        <v>49583</v>
      </c>
      <c r="AG760" s="416">
        <f>$AG$5</f>
        <v>49949</v>
      </c>
      <c r="AH760" s="219"/>
      <c r="AI760" s="416">
        <f t="shared" ref="AI760:AR762" si="334">+Q760</f>
        <v>44105</v>
      </c>
      <c r="AJ760" s="416">
        <f t="shared" si="334"/>
        <v>44470</v>
      </c>
      <c r="AK760" s="416">
        <f t="shared" si="334"/>
        <v>44835</v>
      </c>
      <c r="AL760" s="416">
        <f t="shared" si="334"/>
        <v>45200</v>
      </c>
      <c r="AM760" s="416">
        <f t="shared" si="334"/>
        <v>45566</v>
      </c>
      <c r="AN760" s="416">
        <f t="shared" si="334"/>
        <v>45931</v>
      </c>
      <c r="AO760" s="416">
        <f t="shared" si="334"/>
        <v>46296</v>
      </c>
      <c r="AP760" s="416">
        <f t="shared" si="334"/>
        <v>46661</v>
      </c>
      <c r="AQ760" s="416">
        <f t="shared" si="334"/>
        <v>47027</v>
      </c>
      <c r="AR760" s="416">
        <f t="shared" si="334"/>
        <v>47392</v>
      </c>
      <c r="AS760" s="416">
        <f t="shared" ref="AS760:AY762" si="335">+AA760</f>
        <v>47757</v>
      </c>
      <c r="AT760" s="416">
        <f t="shared" si="335"/>
        <v>48122</v>
      </c>
      <c r="AU760" s="416">
        <f t="shared" si="335"/>
        <v>48488</v>
      </c>
      <c r="AV760" s="416">
        <f t="shared" si="335"/>
        <v>48853</v>
      </c>
      <c r="AW760" s="416">
        <f t="shared" si="335"/>
        <v>49218</v>
      </c>
      <c r="AX760" s="416">
        <f t="shared" si="335"/>
        <v>49583</v>
      </c>
      <c r="AY760" s="416">
        <f t="shared" si="335"/>
        <v>49949</v>
      </c>
      <c r="AZ760" s="416"/>
    </row>
    <row r="761" spans="17:52" hidden="1">
      <c r="Q761" s="416">
        <f>Sheet1!$T$9</f>
        <v>44469</v>
      </c>
      <c r="R761" s="416">
        <f>Sheet1!$U$9</f>
        <v>44834</v>
      </c>
      <c r="S761" s="416">
        <f>Sheet1!$V$9</f>
        <v>45199</v>
      </c>
      <c r="T761" s="416">
        <f>Sheet1!$W$9</f>
        <v>45565</v>
      </c>
      <c r="U761" s="416">
        <f>Sheet1!$X$9</f>
        <v>45930</v>
      </c>
      <c r="V761" s="416">
        <f>Sheet1!$Y$9</f>
        <v>46295</v>
      </c>
      <c r="W761" s="416">
        <f>Sheet1!$Z$9</f>
        <v>46660</v>
      </c>
      <c r="X761" s="416">
        <f>Sheet1!$AA$9</f>
        <v>47026</v>
      </c>
      <c r="Y761" s="416">
        <f>Sheet1!$AB$9</f>
        <v>47391</v>
      </c>
      <c r="Z761" s="416">
        <f>Sheet1!$AC$9</f>
        <v>47756</v>
      </c>
      <c r="AA761" s="416">
        <f>$AA$6</f>
        <v>48121</v>
      </c>
      <c r="AB761" s="416">
        <f>$AB$6</f>
        <v>48487</v>
      </c>
      <c r="AC761" s="416">
        <f>$AC$6</f>
        <v>48852</v>
      </c>
      <c r="AD761" s="416">
        <f>$AD$6</f>
        <v>49217</v>
      </c>
      <c r="AE761" s="416">
        <f>$AE$6</f>
        <v>49582</v>
      </c>
      <c r="AF761" s="416">
        <f>$AF$6</f>
        <v>49948</v>
      </c>
      <c r="AG761" s="416">
        <f>$AG$6</f>
        <v>50313</v>
      </c>
      <c r="AH761" s="219"/>
      <c r="AI761" s="416">
        <f t="shared" si="334"/>
        <v>44469</v>
      </c>
      <c r="AJ761" s="416">
        <f t="shared" si="334"/>
        <v>44834</v>
      </c>
      <c r="AK761" s="416">
        <f t="shared" si="334"/>
        <v>45199</v>
      </c>
      <c r="AL761" s="416">
        <f t="shared" si="334"/>
        <v>45565</v>
      </c>
      <c r="AM761" s="416">
        <f t="shared" si="334"/>
        <v>45930</v>
      </c>
      <c r="AN761" s="416">
        <f t="shared" si="334"/>
        <v>46295</v>
      </c>
      <c r="AO761" s="416">
        <f t="shared" si="334"/>
        <v>46660</v>
      </c>
      <c r="AP761" s="416">
        <f t="shared" si="334"/>
        <v>47026</v>
      </c>
      <c r="AQ761" s="416">
        <f t="shared" si="334"/>
        <v>47391</v>
      </c>
      <c r="AR761" s="416">
        <f t="shared" si="334"/>
        <v>47756</v>
      </c>
      <c r="AS761" s="416">
        <f t="shared" si="335"/>
        <v>48121</v>
      </c>
      <c r="AT761" s="416">
        <f t="shared" si="335"/>
        <v>48487</v>
      </c>
      <c r="AU761" s="416">
        <f t="shared" si="335"/>
        <v>48852</v>
      </c>
      <c r="AV761" s="416">
        <f t="shared" si="335"/>
        <v>49217</v>
      </c>
      <c r="AW761" s="416">
        <f t="shared" si="335"/>
        <v>49582</v>
      </c>
      <c r="AX761" s="416">
        <f t="shared" si="335"/>
        <v>49948</v>
      </c>
      <c r="AY761" s="416">
        <f t="shared" si="335"/>
        <v>50313</v>
      </c>
      <c r="AZ761" s="416"/>
    </row>
    <row r="762" spans="17:52" hidden="1">
      <c r="Q762" s="417">
        <f>IF(IF(Q761&lt;$J$27,0,DATEDIF($J$27,Q761+1,"m"))&lt;0,0,IF(Q761&lt;$J$27,0,DATEDIF($J$27,Q761+1,"m")))</f>
        <v>0</v>
      </c>
      <c r="R762" s="417">
        <f>IF(IF(Q762=12,0,IF(R761&gt;$J$28,12-DATEDIF($J$28,R761+1,"m"),IF(R761&lt;$J$27,0,DATEDIF($J$27,R761+1,"m"))))&lt;0,0,IF(Q762=12,0,IF(R761&gt;$J$28,12-DATEDIF($J$28,R761+1,"m"),IF(R761&lt;$J$27,0,DATEDIF($J$27,R761+1,"m")))))</f>
        <v>0</v>
      </c>
      <c r="S762" s="417">
        <f>IF(IF(Q762+R762=12,0,IF(S761&gt;$J$28,12-DATEDIF($J$28,S761+1,"m"),IF(S761&lt;$J$27,0,DATEDIF($J$27,S761+1,"m"))))&lt;0,0,IF(Q762+R762=12,0,IF(S761&gt;$J$28,12-DATEDIF($J$28,S761+1,"m"),IF(S761&lt;$J$27,0,DATEDIF($J$27,S761+1,"m")))))</f>
        <v>0</v>
      </c>
      <c r="T762" s="417">
        <f>IF(IF(R762+S762+Q762=12,0,IF(T761&gt;$J$28,12-DATEDIF($J$28,T761+1,"m"),IF(T761&lt;$J$27,0,DATEDIF($J$27,T761+1,"m"))))&lt;0,0,IF(R762+S762+Q762=12,0,IF(T761&gt;$J$28,12-DATEDIF($J$28,T761+1,"m"),IF(T761&lt;$J$27,0,DATEDIF($J$27,T761+1,"m")))))</f>
        <v>0</v>
      </c>
      <c r="U762" s="417">
        <f>IF(IF(S762+T762+R762+Q762=12,0,IF(U761&gt;$J$28,12-DATEDIF($J$28,U761+1,"m"),IF(U761&lt;$J$27,0,DATEDIF($J$27,U761+1,"m"))))&lt;0,0,IF(S762+T762+R762+Q762=12,0,IF(U761&gt;$J$28,12-DATEDIF($J$28,U761+1,"m"),IF(U761&lt;$J$27,0,DATEDIF($J$27,U761+1,"m")))))</f>
        <v>0</v>
      </c>
      <c r="V762" s="417">
        <f>IF(IF(T762+U762+S762+R762+Q762=12,0,IF(V761&gt;$J$28,12-DATEDIF($J$28,V761+1,"m"),IF(V761&lt;$J$27,0,DATEDIF($J$27,V761+1,"m"))))&lt;0,0,IF(T762+U762+S762+R762+Q762=12,0,IF(V761&gt;$J$28,12-DATEDIF($J$28,V761+1,"m"),IF(V761&lt;$J$27,0,DATEDIF($J$27,V761+1,"m")))))</f>
        <v>0</v>
      </c>
      <c r="W762" s="417">
        <f>IF(IF(U762+V762+T762+S762+R762+Q762=12,0,IF(W761&gt;$J$28,12-DATEDIF($J$28,W761+1,"m"),IF(W761&lt;$J$27,0,DATEDIF($J$27,W761+1,"m"))))&lt;0,0,IF(U762+V762+T762+S762+R762+Q762=12,0,IF(W761&gt;$J$28,12-DATEDIF($J$28,W761+1,"m"),IF(W761&lt;$J$27,0,DATEDIF($J$27,W761+1,"m")))))</f>
        <v>0</v>
      </c>
      <c r="X762" s="417">
        <f>IF(IF(V762+W762+U762+T762+S762+R762+Q762=12,0,IF(X761&gt;$J$28,12-DATEDIF($J$28,X761+1,"m"),IF(X761&lt;$J$27,0,DATEDIF($J$27,X761+1,"m"))))&lt;0,0,IF(V762+W762+U762+T762+S762+R762+Q762=12,0,IF(X761&gt;$J$28,12-DATEDIF($J$28,X761+1,"m"),IF(X761&lt;$J$27,0,DATEDIF($J$27,X761+1,"m")))))</f>
        <v>0</v>
      </c>
      <c r="Y762" s="417">
        <f>IF(IF(W762+X762+V762+U762+T762+S762+R762+Q762=12,0,IF(Y761&gt;$J$28,12-DATEDIF($J$28,Y761+1,"m"),IF(Y761&lt;$J$27,0,DATEDIF($J$27,Y761+1,"m"))))&lt;0,0,IF(W762+X762+V762+U762+T762+S762+R762+Q762=12,0,IF(Y761&gt;$J$28,12-DATEDIF($J$28,Y761+1,"m"),IF(Y761&lt;$J$27,0,DATEDIF($J$27,Y761+1,"m")))))</f>
        <v>0</v>
      </c>
      <c r="Z762" s="417">
        <f>IF(IF(X762+Y762+W762+V762+U762+T762+S762+R762+Q762=12,0,IF(Z761&gt;$J$28,12-DATEDIF($J$28,Z761+1,"m"),IF(Z761&lt;$J$27,0,DATEDIF($J$27,Z761+1,"m"))))&lt;0,0,IF(X762+Y762+W762+V762+U762+T762+S762+R762+Q762=12,0,IF(Z761&gt;$J$28,12-DATEDIF($J$28,Z761+1,"m"),IF(Z761&lt;$J$27,0,DATEDIF($J$27,Z761+1,"m")))))</f>
        <v>0</v>
      </c>
      <c r="AA762" s="417">
        <f>IF(IF(Q762+R762+S762+Y762+Z762+X762+W762+V762+U762+T762=12,0,IF(AA761&gt;$J$28,12-DATEDIF($J$28,AA761+1,"m"),IF(AA761&lt;$J$27,0,DATEDIF($J$27,AA761+1,"m"))))&lt;0,0,IF(Q762+R762+S762+Y762+Z762+X762+W762+V762+U762+T762=12,0,IF(AA761&gt;$J$28,12-DATEDIF($J$28,AA761+1,"m"),IF(AA761&lt;$J$27,0,DATEDIF($J$27,AA761+1,"m")))))</f>
        <v>0</v>
      </c>
      <c r="AB762" s="417">
        <f>IF(IF(Q762+R762+S762+T762+Z762+AA762+Y762+X762+W762+V762+U762=12,0,IF(AB761&gt;$J$28,12-DATEDIF($J$28,AB761+1,"m"),IF(AB761&lt;$J$27,0,DATEDIF($J$27,AB761+1,"m"))))&lt;0,0,IF(Q762+R762+S762+T762+Z762+AA762+Y762+X762+W762+V762+U762=12,0,IF(AB761&gt;$J$28,12-DATEDIF($J$28,AB761+1,"m"),IF(AB761&lt;$J$27,0,DATEDIF($J$27,AB761+1,"m")))))</f>
        <v>0</v>
      </c>
      <c r="AC762" s="417">
        <f>IF(IF(Q762+R762+S762+T762+U762+AA762+AB762+Z762+Y762+X762+W762+V762=12,0,IF(AC761&gt;$J$28,12-DATEDIF($J$28,AC761+1,"m"),IF(AC761&lt;$J$27,0,DATEDIF($J$27,AC761+1,"m"))))&lt;0,0,IF(Q762+R762+S762+T762+U762+AA762+AB762+Z762+Y762+X762+W762+V762=12,0,IF(AC761&gt;$J$28,12-DATEDIF($J$28,AC761+1,"m"),IF(AC761&lt;$J$27,0,DATEDIF($J$27,AC761+1,"m")))))</f>
        <v>0</v>
      </c>
      <c r="AD762" s="417">
        <f>IF(IF(Q762+R762+S762+T762+U762+V762+AB762+AC762+AA762+Z762+Y762+X762+W762=12,0,IF(AD761&gt;$J$28,12-DATEDIF($J$28,AD761+1,"m"),IF(AD761&lt;$J$27,0,DATEDIF($J$27,AD761+1,"m"))))&lt;0,0,IF(Q762+R762+S762+T762+U762+V762+AB762+AC762+AA762+Z762+Y762+X762+W762=12,0,IF(AD761&gt;$J$28,12-DATEDIF($J$28,AD761+1,"m"),IF(AD761&lt;$J$27,0,DATEDIF($J$27,AD761+1,"m")))))</f>
        <v>0</v>
      </c>
      <c r="AE762" s="417">
        <f>IF(IF(Q762+R762+S762+T762+U762+V762+W762+AC762+AD762+AB762+AA762+Z762+Y762+X762=12,0,IF(AE761&gt;$J$28,12-DATEDIF($J$28,AE761+1,"m"),IF(AE761&lt;$J$27,0,DATEDIF($J$27,AE761+1,"m"))))&lt;0,0,IF(Q762+R762+S762+T762+U762+V762+W762+AC762+AD762+AB762+AA762+Z762+Y762+X762=12,0,IF(AE761&gt;$J$28,12-DATEDIF($J$28,AE761+1,"m"),IF(AE761&lt;$J$27,0,DATEDIF($J$27,AE761+1,"m")))))</f>
        <v>0</v>
      </c>
      <c r="AF762" s="417">
        <f>IF(IF(Q762+R762+S762+T762+U762+V762+W762+X762+AD762+AE762+AC762+AB762+AA762+Z762+Y762=12,0,IF(AF761&gt;$J$28,12-DATEDIF($J$28,AF761+1,"m"),IF(AF761&lt;$J$27,0,DATEDIF($J$27,AF761+1,"m"))))&lt;0,0,IF(Q762+R762+S762+T762+U762+V762+W762+X762+AD762+AE762+AC762+AB762+AA762+Z762+Y762=12,0,IF(AF761&gt;$J$28,12-DATEDIF($J$28,AF761+1,"m"),IF(AF761&lt;$J$27,0,DATEDIF($J$27,AF761+1,"m")))))</f>
        <v>0</v>
      </c>
      <c r="AG762" s="417">
        <f>IF(IF(Q762+R762+S762+T762+U762+V762+W762+X762+Y762+AE762+AF762+AD762+AC762+AB762+AA762+Z762=12,0,IF(AG761&gt;$J$28,12-DATEDIF($J$28,AG761+1,"m"),IF(AG761&lt;$J$27,0,DATEDIF($J$27,AG761+1,"m"))))&lt;0,0,IF(Q762+R762+S762+T762+U762+V762+W762+X762+Y762+AE762+AF762+AD762+AC762+AB762+AA762+Z762=12,0,IF(AG761&gt;$J$28,12-DATEDIF($J$28,AG761+1,"m"),IF(AG761&lt;$J$27,0,DATEDIF($J$27,AG761+1,"m")))))</f>
        <v>0</v>
      </c>
      <c r="AH762" s="423">
        <f>SUM(Q762:AG762)</f>
        <v>0</v>
      </c>
      <c r="AI762" s="427">
        <f t="shared" si="334"/>
        <v>0</v>
      </c>
      <c r="AJ762" s="427">
        <f t="shared" si="334"/>
        <v>0</v>
      </c>
      <c r="AK762" s="427">
        <f t="shared" si="334"/>
        <v>0</v>
      </c>
      <c r="AL762" s="427">
        <f t="shared" si="334"/>
        <v>0</v>
      </c>
      <c r="AM762" s="427">
        <f t="shared" si="334"/>
        <v>0</v>
      </c>
      <c r="AN762" s="427">
        <f t="shared" si="334"/>
        <v>0</v>
      </c>
      <c r="AO762" s="427">
        <f t="shared" si="334"/>
        <v>0</v>
      </c>
      <c r="AP762" s="427">
        <f t="shared" si="334"/>
        <v>0</v>
      </c>
      <c r="AQ762" s="427">
        <f t="shared" si="334"/>
        <v>0</v>
      </c>
      <c r="AR762" s="427">
        <f t="shared" si="334"/>
        <v>0</v>
      </c>
      <c r="AS762" s="427">
        <f t="shared" si="335"/>
        <v>0</v>
      </c>
      <c r="AT762" s="427">
        <f t="shared" si="335"/>
        <v>0</v>
      </c>
      <c r="AU762" s="427">
        <f t="shared" si="335"/>
        <v>0</v>
      </c>
      <c r="AV762" s="427">
        <f t="shared" si="335"/>
        <v>0</v>
      </c>
      <c r="AW762" s="427">
        <f t="shared" si="335"/>
        <v>0</v>
      </c>
      <c r="AX762" s="427">
        <f t="shared" si="335"/>
        <v>0</v>
      </c>
      <c r="AY762" s="427">
        <f t="shared" si="335"/>
        <v>0</v>
      </c>
      <c r="AZ762" s="427">
        <f>SUM(AI762:AY762)</f>
        <v>0</v>
      </c>
    </row>
    <row r="763" spans="17:52" hidden="1">
      <c r="Q763" s="417">
        <f>IF(Q762=0,0,(IF(($B$254+$C$254+$D$254+$E$254+$F$254+$G$254+$H$254+$I$254+$J$254)&lt;=25000,(($J$254/+$AH762)*Q762)*VLOOKUP('1. SUMMARY'!$C$20,rate,Sheet1!T$21,0),((IF(($F$254+$B$254+$C$254+$D$254+$E$254+$G$254+$H$254+$I$254)&gt;=25000,0,(((25000-($B$254+$C$254+$D$254+$E$254+$F$254+$G$254+$H$254+$I$254))/+$AH762)*Q762)*(VLOOKUP('1. SUMMARY'!$C$20,rate,Sheet1!T$21,0))))))))</f>
        <v>0</v>
      </c>
      <c r="R763" s="417">
        <f>IF(R762=0,0,(IF(($B$254+$C$254+$D$254+$E$254+$F$254+$G$254+$H$254+$I$254+$J$254)&lt;=25000,(($J$254/+$AH762)*R762)*VLOOKUP('1. SUMMARY'!$C$20,rate,Sheet1!U$21,0),((IF(($F$254+$B$254+$C$254+$D$254+$E$254+$G$254+$H$254+$I$254)&gt;=25000,0,(((25000-($B$254+$C$254+$D$254+$E$254+$F$254+$G$254+$H$254+$I$254))/+$AH762)*R762)*(VLOOKUP('1. SUMMARY'!$C$20,rate,Sheet1!U$21,0))))))))</f>
        <v>0</v>
      </c>
      <c r="S763" s="417">
        <f>IF(S762=0,0,(IF(($B$254+$C$254+$D$254+$E$254+$F$254+$G$254+$H$254+$I$254+$J$254)&lt;=25000,(($J$254/+$AH762)*S762)*VLOOKUP('1. SUMMARY'!$C$20,rate,Sheet1!V$21,0),((IF(($F$254+$B$254+$C$254+$D$254+$E$254+$G$254+$H$254+$I$254)&gt;=25000,0,(((25000-($B$254+$C$254+$D$254+$E$254+$F$254+$G$254+$H$254+$I$254))/+$AH762)*S762)*(VLOOKUP('1. SUMMARY'!$C$20,rate,Sheet1!V$21,0))))))))</f>
        <v>0</v>
      </c>
      <c r="T763" s="417">
        <f>IF(T762=0,0,(IF(($B$254+$C$254+$D$254+$E$254+$F$254+$G$254+$H$254+$I$254+$J$254)&lt;=25000,(($J$254/+$AH762)*T762)*VLOOKUP('1. SUMMARY'!$C$20,rate,Sheet1!W$21,0),((IF(($F$254+$B$254+$C$254+$D$254+$E$254+$G$254+$H$254+$I$254)&gt;=25000,0,(((25000-($B$254+$C$254+$D$254+$E$254+$F$254+$G$254+$H$254+$I$254))/+$AH762)*T762)*(VLOOKUP('1. SUMMARY'!$C$20,rate,Sheet1!W$21,0))))))))</f>
        <v>0</v>
      </c>
      <c r="U763" s="417">
        <f>IF(U762=0,0,(IF(($B$254+$C$254+$D$254+$E$254+$F$254+$G$254+$H$254+$I$254+$J$254)&lt;=25000,(($J$254/+$AH762)*U762)*VLOOKUP('1. SUMMARY'!$C$20,rate,Sheet1!X$21,0),((IF(($F$254+$B$254+$C$254+$D$254+$E$254+$G$254+$H$254+$I$254)&gt;=25000,0,(((25000-($B$254+$C$254+$D$254+$E$254+$F$254+$G$254+$H$254+$I$254))/+$AH762)*U762)*(VLOOKUP('1. SUMMARY'!$C$20,rate,Sheet1!X$21,0))))))))</f>
        <v>0</v>
      </c>
      <c r="V763" s="417">
        <f>IF(V762=0,0,(IF(($B$254+$C$254+$D$254+$E$254+$F$254+$G$254+$H$254+$I$254+$J$254)&lt;=25000,(($J$254/+$AH762)*V762)*VLOOKUP('1. SUMMARY'!$C$20,rate,Sheet1!Y$21,0),((IF(($F$254+$B$254+$C$254+$D$254+$E$254+$G$254+$H$254+$I$254)&gt;=25000,0,(((25000-($B$254+$C$254+$D$254+$E$254+$F$254+$G$254+$H$254+$I$254))/+$AH762)*V762)*(VLOOKUP('1. SUMMARY'!$C$20,rate,Sheet1!Y$21,0))))))))</f>
        <v>0</v>
      </c>
      <c r="W763" s="417">
        <f>IF(W762=0,0,(IF(($B$254+$C$254+$D$254+$E$254+$F$254+$G$254+$H$254+$I$254+$J$254)&lt;=25000,(($J$254/+$AH762)*W762)*VLOOKUP('1. SUMMARY'!$C$20,rate,Sheet1!Z$21,0),((IF(($F$254+$B$254+$C$254+$D$254+$E$254+$G$254+$H$254+$I$254)&gt;=25000,0,(((25000-($B$254+$C$254+$D$254+$E$254+$F$254+$G$254+$H$254+$I$254))/+$AH762)*W762)*(VLOOKUP('1. SUMMARY'!$C$20,rate,Sheet1!Z$21,0))))))))</f>
        <v>0</v>
      </c>
      <c r="X763" s="417">
        <f>IF(X762=0,0,(IF(($B$254+$C$254+$D$254+$E$254+$F$254+$G$254+$H$254+$I$254+$J$254)&lt;=25000,(($J$254/+$AH762)*X762)*VLOOKUP('1. SUMMARY'!$C$20,rate,Sheet1!AA$21,0),((IF(($F$254+$B$254+$C$254+$D$254+$E$254+$G$254+$H$254+$I$254)&gt;=25000,0,(((25000-($B$254+$C$254+$D$254+$E$254+$F$254+$G$254+$H$254+$I$254))/+$AH762)*X762)*(VLOOKUP('1. SUMMARY'!$C$20,rate,Sheet1!AA$21,0))))))))</f>
        <v>0</v>
      </c>
      <c r="Y763" s="417">
        <f>IF(Y762=0,0,(IF(($B$254+$C$254+$D$254+$E$254+$F$254+$G$254+$H$254+$I$254+$J$254)&lt;=25000,(($J$254/+$AH762)*Y762)*VLOOKUP('1. SUMMARY'!$C$20,rate,Sheet1!AB$21,0),((IF(($F$254+$B$254+$C$254+$D$254+$E$254+$G$254+$H$254+$I$254)&gt;=25000,0,(((25000-($B$254+$C$254+$D$254+$E$254+$F$254+$G$254+$H$254+$I$254))/+$AH762)*Y762)*(VLOOKUP('1. SUMMARY'!$C$20,rate,Sheet1!AB$21,0))))))))</f>
        <v>0</v>
      </c>
      <c r="Z763" s="417">
        <f>IF(Z762=0,0,(IF(($B$254+$C$254+$D$254+$E$254+$F$254+$G$254+$H$254+$I$254+$J$254)&lt;=25000,(($J$254/+$AH762)*Z762)*VLOOKUP('1. SUMMARY'!$C$20,rate,Sheet1!AC$21,0),((IF(($F$254+$B$254+$C$254+$D$254+$E$254+$G$254+$H$254+$I$254)&gt;=25000,0,(((25000-($B$254+$C$254+$D$254+$E$254+$F$254+$G$254+$H$254+$I$254))/+$AH762)*Z762)*(VLOOKUP('1. SUMMARY'!$C$20,rate,Sheet1!AC$21,0))))))))</f>
        <v>0</v>
      </c>
      <c r="AA763" s="417">
        <f>IF(AA762=0,0,(IF(($B$254+$C$254+$D$254+$E$254+$F$254+$G$254+$H$254+$I$254+$J$254)&lt;=25000,(($J$254/+$AH762)*AA762)*VLOOKUP('1. SUMMARY'!$C$20,rate,Sheet1!AD$21,0),((IF(($F$254+$B$254+$C$254+$D$254+$E$254+$G$254+$H$254+$I$254)&gt;=25000,0,(((25000-($B$254+$C$254+$D$254+$E$254+$F$254+$G$254+$H$254+$I$254))/+$AH762)*AA762)*(VLOOKUP('1. SUMMARY'!$C$20,rate,Sheet1!AD$21,0))))))))</f>
        <v>0</v>
      </c>
      <c r="AB763" s="417">
        <f>IF(AB762=0,0,(IF(($B$254+$C$254+$D$254+$E$254+$F$254+$G$254+$H$254+$I$254+$J$254)&lt;=25000,(($J$254/+$AH762)*AB762)*VLOOKUP('1. SUMMARY'!$C$20,rate,Sheet1!AE$21,0),((IF(($F$254+$B$254+$C$254+$D$254+$E$254+$G$254+$H$254+$I$254)&gt;=25000,0,(((25000-($B$254+$C$254+$D$254+$E$254+$F$254+$G$254+$H$254+$I$254))/+$AH762)*AB762)*(VLOOKUP('1. SUMMARY'!$C$20,rate,Sheet1!AE$21,0))))))))</f>
        <v>0</v>
      </c>
      <c r="AC763" s="417">
        <f>IF(AC762=0,0,(IF(($B$254+$C$254+$D$254+$E$254+$F$254+$G$254+$H$254+$I$254+$J$254)&lt;=25000,(($J$254/+$AH762)*AC762)*VLOOKUP('1. SUMMARY'!$C$20,rate,Sheet1!AF$21,0),((IF(($F$254+$B$254+$C$254+$D$254+$E$254+$G$254+$H$254+$I$254)&gt;=25000,0,(((25000-($B$254+$C$254+$D$254+$E$254+$F$254+$G$254+$H$254+$I$254))/+$AH762)*AC762)*(VLOOKUP('1. SUMMARY'!$C$20,rate,Sheet1!AF$21,0))))))))</f>
        <v>0</v>
      </c>
      <c r="AD763" s="417">
        <f>IF(AD762=0,0,(IF(($B$254+$C$254+$D$254+$E$254+$F$254+$G$254+$H$254+$I$254+$J$254)&lt;=25000,(($J$254/+$AH762)*AD762)*VLOOKUP('1. SUMMARY'!$C$20,rate,Sheet1!AG$21,0),((IF(($F$254+$B$254+$C$254+$D$254+$E$254+$G$254+$H$254+$I$254)&gt;=25000,0,(((25000-($B$254+$C$254+$D$254+$E$254+$F$254+$G$254+$H$254+$I$254))/+$AH762)*AD762)*(VLOOKUP('1. SUMMARY'!$C$20,rate,Sheet1!AG$21,0))))))))</f>
        <v>0</v>
      </c>
      <c r="AE763" s="417">
        <f>IF(AE762=0,0,(IF(($B$254+$C$254+$D$254+$E$254+$F$254+$G$254+$H$254+$I$254+$J$254)&lt;=25000,(($J$254/+$AH762)*AE762)*VLOOKUP('1. SUMMARY'!$C$20,rate,Sheet1!AH$21,0),((IF(($F$254+$B$254+$C$254+$D$254+$E$254+$G$254+$H$254+$I$254)&gt;=25000,0,(((25000-($B$254+$C$254+$D$254+$E$254+$F$254+$G$254+$H$254+$I$254))/+$AH762)*AE762)*(VLOOKUP('1. SUMMARY'!$C$20,rate,Sheet1!AH$21,0))))))))</f>
        <v>0</v>
      </c>
      <c r="AF763" s="417">
        <f>IF(AF762=0,0,(IF(($B$254+$C$254+$D$254+$E$254+$F$254+$G$254+$H$254+$I$254+$J$254)&lt;=25000,(($J$254/+$AH762)*AF762)*VLOOKUP('1. SUMMARY'!$C$20,rate,Sheet1!AI$21,0),((IF(($F$254+$B$254+$C$254+$D$254+$E$254+$G$254+$H$254+$I$254)&gt;=25000,0,(((25000-($B$254+$C$254+$D$254+$E$254+$F$254+$G$254+$H$254+$I$254))/+$AH762)*AF762)*(VLOOKUP('1. SUMMARY'!$C$20,rate,Sheet1!AI$21,0))))))))</f>
        <v>0</v>
      </c>
      <c r="AG763" s="417">
        <f>IF(AG762=0,0,(IF(($B$254+$C$254+$D$254+$E$254+$F$254+$G$254+$H$254+$I$254+$J$254)&lt;=25000,(($J$254/+$AH762)*AG762)*VLOOKUP('1. SUMMARY'!$C$20,rate,Sheet1!AJ$21,0),((IF(($F$254+$B$254+$C$254+$D$254+$E$254+$G$254+$H$254+$I$254)&gt;=25000,0,(((25000-($B$254+$C$254+$D$254+$E$254+$F$254+$G$254+$H$254+$I$254))/+$AH762)*AG762)*(VLOOKUP('1. SUMMARY'!$C$20,rate,Sheet1!AJ$21,0))))))))</f>
        <v>0</v>
      </c>
      <c r="AH763" s="219">
        <f>SUM(Q763:AG763)</f>
        <v>0</v>
      </c>
      <c r="AI763" s="417">
        <f>IF(AI762=0,0,((+$J254/$AZ762)*AI762)*VLOOKUP('1. SUMMARY'!$C$20,rate,Sheet1!T$21,0))</f>
        <v>0</v>
      </c>
      <c r="AJ763" s="417">
        <f>IF(AJ762=0,0,((+$J254/$AZ762)*AJ762)*VLOOKUP('1. SUMMARY'!$C$20,rate,Sheet1!U$21,0))</f>
        <v>0</v>
      </c>
      <c r="AK763" s="417">
        <f>IF(AK762=0,0,((+$J254/$AZ762)*AK762)*VLOOKUP('1. SUMMARY'!$C$20,rate,Sheet1!V$21,0))</f>
        <v>0</v>
      </c>
      <c r="AL763" s="417">
        <f>IF(AL762=0,0,((+$J254/$AZ762)*AL762)*VLOOKUP('1. SUMMARY'!$C$20,rate,Sheet1!W$21,0))</f>
        <v>0</v>
      </c>
      <c r="AM763" s="417">
        <f>IF(AM762=0,0,((+$J254/$AZ762)*AM762)*VLOOKUP('1. SUMMARY'!$C$20,rate,Sheet1!X$21,0))</f>
        <v>0</v>
      </c>
      <c r="AN763" s="417">
        <f>IF(AN762=0,0,((+$J254/$AZ762)*AN762)*VLOOKUP('1. SUMMARY'!$C$20,rate,Sheet1!Y$21,0))</f>
        <v>0</v>
      </c>
      <c r="AO763" s="417">
        <f>IF(AO762=0,0,((+$J254/$AZ762)*AO762)*VLOOKUP('1. SUMMARY'!$C$20,rate,Sheet1!Z$21,0))</f>
        <v>0</v>
      </c>
      <c r="AP763" s="417">
        <f>IF(AP762=0,0,((+$J254/$AZ762)*AP762)*VLOOKUP('1. SUMMARY'!$C$20,rate,Sheet1!AA$21,0))</f>
        <v>0</v>
      </c>
      <c r="AQ763" s="417">
        <f>IF(AQ762=0,0,((+$J254/$AZ762)*AQ762)*VLOOKUP('1. SUMMARY'!$C$20,rate,Sheet1!AB$21,0))</f>
        <v>0</v>
      </c>
      <c r="AR763" s="417">
        <f>IF(AR762=0,0,((+$J254/$AZ762)*AR762)*VLOOKUP('1. SUMMARY'!$C$20,rate,Sheet1!AC$21,0))</f>
        <v>0</v>
      </c>
      <c r="AS763" s="417">
        <f>IF(AS762=0,0,((+$J254/$AZ762)*AS762)*VLOOKUP('1. SUMMARY'!$C$20,rate,Sheet1!AD$21,0))</f>
        <v>0</v>
      </c>
      <c r="AT763" s="417">
        <f>IF(AT762=0,0,((+$J254/$AZ762)*AT762)*VLOOKUP('1. SUMMARY'!$C$20,rate,Sheet1!AE$21,0))</f>
        <v>0</v>
      </c>
      <c r="AU763" s="417">
        <f>IF(AU762=0,0,((+$J254/$AZ762)*AU762)*VLOOKUP('1. SUMMARY'!$C$20,rate,Sheet1!AF$21,0))</f>
        <v>0</v>
      </c>
      <c r="AV763" s="417">
        <f>IF(AV762=0,0,((+$J254/$AZ762)*AV762)*VLOOKUP('1. SUMMARY'!$C$20,rate,Sheet1!AG$21,0))</f>
        <v>0</v>
      </c>
      <c r="AW763" s="417">
        <f>IF(AW762=0,0,((+$J254/$AZ762)*AW762)*VLOOKUP('1. SUMMARY'!$C$20,rate,Sheet1!AH$21,0))</f>
        <v>0</v>
      </c>
      <c r="AX763" s="417">
        <f>IF(AX762=0,0,((+$J254/$AZ762)*AX762)*VLOOKUP('1. SUMMARY'!$C$20,rate,Sheet1!AI$21,0))</f>
        <v>0</v>
      </c>
      <c r="AY763" s="417">
        <f>IF(AY762=0,0,((+$J254/$AZ762)*AY762)*VLOOKUP('1. SUMMARY'!$C$20,rate,Sheet1!AJ$21,0))</f>
        <v>0</v>
      </c>
      <c r="AZ763" s="417">
        <f>SUM(AI763:AY763)</f>
        <v>0</v>
      </c>
    </row>
    <row r="764" spans="17:52" hidden="1">
      <c r="Q764" s="417">
        <f>+Q763/VLOOKUP('1. SUMMARY'!$C$20,rate,Sheet1!T$21,0)</f>
        <v>0</v>
      </c>
      <c r="R764" s="417">
        <f>+R763/VLOOKUP('1. SUMMARY'!$C$20,rate,Sheet1!U$21,0)</f>
        <v>0</v>
      </c>
      <c r="S764" s="417">
        <f>+S763/VLOOKUP('1. SUMMARY'!$C$20,rate,Sheet1!V$21,0)</f>
        <v>0</v>
      </c>
      <c r="T764" s="417">
        <f>+T763/VLOOKUP('1. SUMMARY'!$C$20,rate,Sheet1!W$21,0)</f>
        <v>0</v>
      </c>
      <c r="U764" s="417">
        <f>+U763/VLOOKUP('1. SUMMARY'!$C$20,rate,Sheet1!X$21,0)</f>
        <v>0</v>
      </c>
      <c r="V764" s="417">
        <f>+V763/VLOOKUP('1. SUMMARY'!$C$20,rate,Sheet1!Y$21,0)</f>
        <v>0</v>
      </c>
      <c r="W764" s="417">
        <f>+W763/VLOOKUP('1. SUMMARY'!$C$20,rate,Sheet1!Z$21,0)</f>
        <v>0</v>
      </c>
      <c r="X764" s="417">
        <f>+X763/VLOOKUP('1. SUMMARY'!$C$20,rate,Sheet1!AA$21,0)</f>
        <v>0</v>
      </c>
      <c r="Y764" s="417">
        <f>+Y763/VLOOKUP('1. SUMMARY'!$C$20,rate,Sheet1!AB$21,0)</f>
        <v>0</v>
      </c>
      <c r="Z764" s="417">
        <f>+Z763/VLOOKUP('1. SUMMARY'!$C$20,rate,Sheet1!AC$21,0)</f>
        <v>0</v>
      </c>
      <c r="AA764" s="417">
        <f>+AA763/VLOOKUP('1. SUMMARY'!$C$20,rate,Sheet1!AD$21,0)</f>
        <v>0</v>
      </c>
      <c r="AB764" s="417">
        <f>+AB763/VLOOKUP('1. SUMMARY'!$C$20,rate,Sheet1!AE$21,0)</f>
        <v>0</v>
      </c>
      <c r="AC764" s="417">
        <f>+AC763/VLOOKUP('1. SUMMARY'!$C$20,rate,Sheet1!AF$21,0)</f>
        <v>0</v>
      </c>
      <c r="AD764" s="417">
        <f>+AD763/VLOOKUP('1. SUMMARY'!$C$20,rate,Sheet1!AG$21,0)</f>
        <v>0</v>
      </c>
      <c r="AE764" s="417">
        <f>+AE763/VLOOKUP('1. SUMMARY'!$C$20,rate,Sheet1!AH$21,0)</f>
        <v>0</v>
      </c>
      <c r="AF764" s="417">
        <f>+AF763/VLOOKUP('1. SUMMARY'!$C$20,rate,Sheet1!AI$21,0)</f>
        <v>0</v>
      </c>
      <c r="AG764" s="417">
        <f>+AG763/VLOOKUP('1. SUMMARY'!$C$20,rate,Sheet1!AJ$21,0)</f>
        <v>0</v>
      </c>
      <c r="AH764" s="219"/>
      <c r="AI764" s="417"/>
      <c r="AJ764" s="417"/>
      <c r="AK764" s="417"/>
      <c r="AL764" s="417"/>
      <c r="AM764" s="417"/>
      <c r="AN764" s="417"/>
      <c r="AO764" s="417"/>
      <c r="AP764" s="417"/>
      <c r="AQ764" s="417"/>
      <c r="AR764" s="417"/>
      <c r="AS764" s="417"/>
      <c r="AT764" s="417"/>
      <c r="AU764" s="417"/>
      <c r="AV764" s="417"/>
      <c r="AW764" s="417"/>
      <c r="AX764" s="417"/>
      <c r="AY764" s="417"/>
      <c r="AZ764" s="417"/>
    </row>
    <row r="765" spans="17:52" hidden="1">
      <c r="Q765" s="420">
        <f>Sheet1!$T$8</f>
        <v>44105</v>
      </c>
      <c r="R765" s="420">
        <f>Sheet1!$U$8</f>
        <v>44470</v>
      </c>
      <c r="S765" s="420">
        <f>Sheet1!$V$8</f>
        <v>44835</v>
      </c>
      <c r="T765" s="420">
        <f>Sheet1!$W$8</f>
        <v>45200</v>
      </c>
      <c r="U765" s="420">
        <f>Sheet1!$X$8</f>
        <v>45566</v>
      </c>
      <c r="V765" s="420">
        <f>Sheet1!$Y$8</f>
        <v>45931</v>
      </c>
      <c r="W765" s="420">
        <f>Sheet1!$Z$8</f>
        <v>46296</v>
      </c>
      <c r="X765" s="420">
        <f>Sheet1!$AA$8</f>
        <v>46661</v>
      </c>
      <c r="Y765" s="420">
        <f>Sheet1!$AB$8</f>
        <v>47027</v>
      </c>
      <c r="Z765" s="420">
        <f>Sheet1!$AC$8</f>
        <v>47392</v>
      </c>
      <c r="AA765" s="420">
        <f>$AA$5</f>
        <v>47757</v>
      </c>
      <c r="AB765" s="420">
        <f>$AB$5</f>
        <v>48122</v>
      </c>
      <c r="AC765" s="420">
        <f>$AC$5</f>
        <v>48488</v>
      </c>
      <c r="AD765" s="420">
        <f>$AD$5</f>
        <v>48853</v>
      </c>
      <c r="AE765" s="420">
        <f>$AE$5</f>
        <v>49218</v>
      </c>
      <c r="AF765" s="420">
        <f>$AF$5</f>
        <v>49583</v>
      </c>
      <c r="AG765" s="420">
        <f>$AG$5</f>
        <v>49949</v>
      </c>
      <c r="AH765" s="219"/>
      <c r="AI765" s="420">
        <f t="shared" ref="AI765:AR767" si="336">+Q765</f>
        <v>44105</v>
      </c>
      <c r="AJ765" s="420">
        <f t="shared" si="336"/>
        <v>44470</v>
      </c>
      <c r="AK765" s="420">
        <f t="shared" si="336"/>
        <v>44835</v>
      </c>
      <c r="AL765" s="420">
        <f t="shared" si="336"/>
        <v>45200</v>
      </c>
      <c r="AM765" s="420">
        <f t="shared" si="336"/>
        <v>45566</v>
      </c>
      <c r="AN765" s="420">
        <f t="shared" si="336"/>
        <v>45931</v>
      </c>
      <c r="AO765" s="420">
        <f t="shared" si="336"/>
        <v>46296</v>
      </c>
      <c r="AP765" s="420">
        <f t="shared" si="336"/>
        <v>46661</v>
      </c>
      <c r="AQ765" s="420">
        <f t="shared" si="336"/>
        <v>47027</v>
      </c>
      <c r="AR765" s="420">
        <f t="shared" si="336"/>
        <v>47392</v>
      </c>
      <c r="AS765" s="420">
        <f t="shared" ref="AS765:AY767" si="337">+AA765</f>
        <v>47757</v>
      </c>
      <c r="AT765" s="420">
        <f t="shared" si="337"/>
        <v>48122</v>
      </c>
      <c r="AU765" s="420">
        <f t="shared" si="337"/>
        <v>48488</v>
      </c>
      <c r="AV765" s="420">
        <f t="shared" si="337"/>
        <v>48853</v>
      </c>
      <c r="AW765" s="420">
        <f t="shared" si="337"/>
        <v>49218</v>
      </c>
      <c r="AX765" s="420">
        <f t="shared" si="337"/>
        <v>49583</v>
      </c>
      <c r="AY765" s="420">
        <f t="shared" si="337"/>
        <v>49949</v>
      </c>
      <c r="AZ765" s="420"/>
    </row>
    <row r="766" spans="17:52" hidden="1">
      <c r="Q766" s="420">
        <f>Sheet1!$T$9</f>
        <v>44469</v>
      </c>
      <c r="R766" s="420">
        <f>Sheet1!$U$9</f>
        <v>44834</v>
      </c>
      <c r="S766" s="420">
        <f>Sheet1!$V$9</f>
        <v>45199</v>
      </c>
      <c r="T766" s="420">
        <f>Sheet1!$W$9</f>
        <v>45565</v>
      </c>
      <c r="U766" s="420">
        <f>Sheet1!$X$9</f>
        <v>45930</v>
      </c>
      <c r="V766" s="420">
        <f>Sheet1!$Y$9</f>
        <v>46295</v>
      </c>
      <c r="W766" s="420">
        <f>Sheet1!$Z$9</f>
        <v>46660</v>
      </c>
      <c r="X766" s="420">
        <f>Sheet1!$AA$9</f>
        <v>47026</v>
      </c>
      <c r="Y766" s="420">
        <f>Sheet1!$AB$9</f>
        <v>47391</v>
      </c>
      <c r="Z766" s="420">
        <f>Sheet1!$AC$9</f>
        <v>47756</v>
      </c>
      <c r="AA766" s="420">
        <f>$AA$6</f>
        <v>48121</v>
      </c>
      <c r="AB766" s="420">
        <f>$AB$6</f>
        <v>48487</v>
      </c>
      <c r="AC766" s="420">
        <f>$AC$6</f>
        <v>48852</v>
      </c>
      <c r="AD766" s="420">
        <f>$AD$6</f>
        <v>49217</v>
      </c>
      <c r="AE766" s="420">
        <f>$AE$6</f>
        <v>49582</v>
      </c>
      <c r="AF766" s="420">
        <f>$AF$6</f>
        <v>49948</v>
      </c>
      <c r="AG766" s="420">
        <f>$AG$6</f>
        <v>50313</v>
      </c>
      <c r="AH766" s="219"/>
      <c r="AI766" s="420">
        <f t="shared" si="336"/>
        <v>44469</v>
      </c>
      <c r="AJ766" s="420">
        <f t="shared" si="336"/>
        <v>44834</v>
      </c>
      <c r="AK766" s="420">
        <f t="shared" si="336"/>
        <v>45199</v>
      </c>
      <c r="AL766" s="420">
        <f t="shared" si="336"/>
        <v>45565</v>
      </c>
      <c r="AM766" s="420">
        <f t="shared" si="336"/>
        <v>45930</v>
      </c>
      <c r="AN766" s="420">
        <f t="shared" si="336"/>
        <v>46295</v>
      </c>
      <c r="AO766" s="420">
        <f t="shared" si="336"/>
        <v>46660</v>
      </c>
      <c r="AP766" s="420">
        <f t="shared" si="336"/>
        <v>47026</v>
      </c>
      <c r="AQ766" s="420">
        <f t="shared" si="336"/>
        <v>47391</v>
      </c>
      <c r="AR766" s="420">
        <f t="shared" si="336"/>
        <v>47756</v>
      </c>
      <c r="AS766" s="420">
        <f t="shared" si="337"/>
        <v>48121</v>
      </c>
      <c r="AT766" s="420">
        <f t="shared" si="337"/>
        <v>48487</v>
      </c>
      <c r="AU766" s="420">
        <f t="shared" si="337"/>
        <v>48852</v>
      </c>
      <c r="AV766" s="420">
        <f t="shared" si="337"/>
        <v>49217</v>
      </c>
      <c r="AW766" s="420">
        <f t="shared" si="337"/>
        <v>49582</v>
      </c>
      <c r="AX766" s="420">
        <f t="shared" si="337"/>
        <v>49948</v>
      </c>
      <c r="AY766" s="420">
        <f t="shared" si="337"/>
        <v>50313</v>
      </c>
      <c r="AZ766" s="420"/>
    </row>
    <row r="767" spans="17:52" hidden="1">
      <c r="Q767" s="421">
        <f>IF(IF(Q766&lt;$K$27,0,DATEDIF($K$27,Q766+1,"m"))&lt;0,0,IF(Q766&lt;$K$27,0,DATEDIF($K$27,Q766+1,"m")))</f>
        <v>0</v>
      </c>
      <c r="R767" s="421">
        <f>IF(IF(Q767=12,0,IF(R766&gt;$K$28,12-DATEDIF($K$28,R766+1,"m"),IF(R766&lt;$K$27,0,DATEDIF($K$27,R766+1,"m"))))&lt;0,0,IF(Q767=12,0,IF(R766&gt;$K$28,12-DATEDIF($K$28,R766+1,"m"),IF(R766&lt;$K$27,0,DATEDIF($K$27,R766+1,"m")))))</f>
        <v>0</v>
      </c>
      <c r="S767" s="421">
        <f>IF(IF(Q767+R767=12,0,IF(S766&gt;$K$28,12-DATEDIF($K$28,S766+1,"m"),IF(S766&lt;$K$27,0,DATEDIF($K$27,S766+1,"m"))))&lt;0,0,IF(Q767+R767=12,0,IF(S766&gt;$K$28,12-DATEDIF($K$28,S766+1,"m"),IF(S766&lt;$K$27,0,DATEDIF($K$27,S766+1,"m")))))</f>
        <v>0</v>
      </c>
      <c r="T767" s="421">
        <f>IF(IF(R767+S767+Q767=12,0,IF(T766&gt;$K$28,12-DATEDIF($K$28,T766+1,"m"),IF(T766&lt;$K$27,0,DATEDIF($K$27,T766+1,"m"))))&lt;0,0,IF(R767+S767+Q767=12,0,IF(T766&gt;$K$28,12-DATEDIF($K$28,T766+1,"m"),IF(T766&lt;$K$27,0,DATEDIF($K$27,T766+1,"m")))))</f>
        <v>0</v>
      </c>
      <c r="U767" s="421">
        <f>IF(IF(S767+T767+R767+Q767=12,0,IF(U766&gt;$K$28,12-DATEDIF($K$28,U766+1,"m"),IF(U766&lt;$K$27,0,DATEDIF($K$27,U766+1,"m"))))&lt;0,0,IF(S767+T767+R767+Q767=12,0,IF(U766&gt;$K$28,12-DATEDIF($K$28,U766+1,"m"),IF(U766&lt;$K$27,0,DATEDIF($K$27,U766+1,"m")))))</f>
        <v>0</v>
      </c>
      <c r="V767" s="421">
        <f>IF(IF(T767+U767+S767+R767+Q767=12,0,IF(V766&gt;$K$28,12-DATEDIF($K$28,V766+1,"m"),IF(V766&lt;$K$27,0,DATEDIF($K$27,V766+1,"m"))))&lt;0,0,IF(T767+U767+S767+R767+Q767=12,0,IF(V766&gt;$K$28,12-DATEDIF($K$28,V766+1,"m"),IF(V766&lt;$K$27,0,DATEDIF($K$27,V766+1,"m")))))</f>
        <v>0</v>
      </c>
      <c r="W767" s="421">
        <f>IF(IF(U767+V767+T767+S767+R767+Q767=12,0,IF(W766&gt;$K$28,12-DATEDIF($K$28,W766+1,"m"),IF(W766&lt;$K$27,0,DATEDIF($K$27,W766+1,"m"))))&lt;0,0,IF(U767+V767+T767+S767+R767+Q767=12,0,IF(W766&gt;$K$28,12-DATEDIF($K$28,W766+1,"m"),IF(W766&lt;$K$27,0,DATEDIF($K$27,W766+1,"m")))))</f>
        <v>0</v>
      </c>
      <c r="X767" s="421">
        <f>IF(IF(V767+W767+U767+T767+S767+R767+Q767=12,0,IF(X766&gt;$K$28,12-DATEDIF($K$28,X766+1,"m"),IF(X766&lt;$K$27,0,DATEDIF($K$27,X766+1,"m"))))&lt;0,0,IF(V767+W767+U767+T767+S767+R767+Q767=12,0,IF(X766&gt;$K$28,12-DATEDIF($K$28,X766+1,"m"),IF(X766&lt;$K$27,0,DATEDIF($K$27,X766+1,"m")))))</f>
        <v>0</v>
      </c>
      <c r="Y767" s="421">
        <f>IF(IF(W767+X767+V767+U767+T767+S767+R767+Q767=12,0,IF(Y766&gt;$K$28,12-DATEDIF($K$28,Y766+1,"m"),IF(Y766&lt;$K$27,0,DATEDIF($K$27,Y766+1,"m"))))&lt;0,0,IF(W767+X767+V767+U767+T767+S767+R767+Q767=12,0,IF(Y766&gt;$K$28,12-DATEDIF($K$28,Y766+1,"m"),IF(Y766&lt;$K$27,0,DATEDIF($K$27,Y766+1,"m")))))</f>
        <v>0</v>
      </c>
      <c r="Z767" s="421">
        <f>IF(IF(X767+Y767+W767+V767+U767+T767+S767+R767+Q767=12,0,IF(Z766&gt;$K$28,12-DATEDIF($K$28,Z766+1,"m"),IF(Z766&lt;$K$27,0,DATEDIF($K$27,Z766+1,"m"))))&lt;0,0,IF(X767+Y767+W767+V767+U767+T767+S767+R767+Q767=12,0,IF(Z766&gt;$K$28,12-DATEDIF($K$28,Z766+1,"m"),IF(Z766&lt;$K$27,0,DATEDIF($K$27,Z766+1,"m")))))</f>
        <v>0</v>
      </c>
      <c r="AA767" s="421">
        <f>IF(IF(Q767+R767+S767+Y767+Z767+X767+W767+V767+U767+T767=12,0,IF(AA766&gt;$K$28,12-DATEDIF($K$28,AA766+1,"m"),IF(AA766&lt;$K$27,0,DATEDIF($K$27,AA766+1,"m"))))&lt;0,0,IF(Q767+R767+S767+Y767+Z767+X767+W767+V767+U767+T767=12,0,IF(AA766&gt;$K$28,12-DATEDIF($K$28,AA766+1,"m"),IF(AA766&lt;$K$27,0,DATEDIF($K$27,AA766+1,"m")))))</f>
        <v>0</v>
      </c>
      <c r="AB767" s="421">
        <f>IF(IF(Q767+R767+S767+T767+Z767+AA767+Y767+X767+W767+V767+U767=12,0,IF(AB766&gt;$K$28,12-DATEDIF($K$28,AB766+1,"m"),IF(AB766&lt;$K$27,0,DATEDIF($K$27,AB766+1,"m"))))&lt;0,0,IF(Q767+R767+S767+T767+Z767+AA767+Y767+X767+W767+V767+U767=12,0,IF(AB766&gt;$K$28,12-DATEDIF($K$28,AB766+1,"m"),IF(AB766&lt;$K$27,0,DATEDIF($K$27,AB766+1,"m")))))</f>
        <v>0</v>
      </c>
      <c r="AC767" s="421">
        <f>IF(IF(Q767+R767+S767+T767+U767+AA767+AB767+Z767+Y767+X767+W767+V767=12,0,IF(AC766&gt;$K$28,12-DATEDIF($K$28,AC766+1,"m"),IF(AC766&lt;$K$27,0,DATEDIF($K$27,AC766+1,"m"))))&lt;0,0,IF(Q767+R767+S767+T767+U767+AA767+AB767+Z767+Y767+X767+W767+V767=12,0,IF(AC766&gt;$K$28,12-DATEDIF($K$28,AC766+1,"m"),IF(AC766&lt;$K$27,0,DATEDIF($K$27,AC766+1,"m")))))</f>
        <v>0</v>
      </c>
      <c r="AD767" s="421">
        <f>IF(IF(Q767+R767+S767+T767+U767+V767+AB767+AC767+AA767+Z767+Y767+X767+W767=12,0,IF(AD766&gt;$K$28,12-DATEDIF($K$28,AD766+1,"m"),IF(AD766&lt;$K$27,0,DATEDIF($K$27,AD766+1,"m"))))&lt;0,0,IF(Q767+R767+S767+T767+U767+V767+AB767+AC767+AA767+Z767+Y767+X767+W767=12,0,IF(AD766&gt;$K$28,12-DATEDIF($K$28,AD766+1,"m"),IF(AD766&lt;$K$27,0,DATEDIF($K$27,AD766+1,"m")))))</f>
        <v>0</v>
      </c>
      <c r="AE767" s="421">
        <f>IF(IF(Q767+R767+S767+T767+U767+V767+W767+AC767+AD767+AB767+AA767+Z767+Y767+X767=12,0,IF(AE766&gt;$K$28,12-DATEDIF($K$28,AE766+1,"m"),IF(AE766&lt;$K$27,0,DATEDIF($K$27,AE766+1,"m"))))&lt;0,0,IF(Q767+R767+S767+T767+U767+V767+W767+AC767+AD767+AB767+AA767+Z767+Y767+X767=12,0,IF(AE766&gt;$K$28,12-DATEDIF($K$28,AE766+1,"m"),IF(AE766&lt;$K$27,0,DATEDIF($K$27,AE766+1,"m")))))</f>
        <v>0</v>
      </c>
      <c r="AF767" s="421">
        <f>IF(IF(Q767+R767+S767+T767+U767+V767+W767+X767+AD767+AE767+AC767+AB767+AA767+Z767+Y767=12,0,IF(AF766&gt;$K$28,12-DATEDIF($K$28,AF766+1,"m"),IF(AF766&lt;$K$27,0,DATEDIF($K$27,AF766+1,"m"))))&lt;0,0,IF(Q767+R767+S767+T767+U767+V767+W767+X767+AD767+AE767+AC767+AB767+AA767+Z767+Y767=12,0,IF(AF766&gt;$K$28,12-DATEDIF($K$28,AF766+1,"m"),IF(AF766&lt;$K$27,0,DATEDIF($K$27,AF766+1,"m")))))</f>
        <v>0</v>
      </c>
      <c r="AG767" s="421">
        <f>IF(IF(Q767+R767+S767+T767+U767+V767+W767+X767+Y767+AE767+AF767+AD767+AC767+AB767+AA767+Z767=12,0,IF(AG766&gt;$K$28,12-DATEDIF($K$28,AG766+1,"m"),IF(AG766&lt;$K$27,0,DATEDIF($K$27,AG766+1,"m"))))&lt;0,0,IF(Q767+R767+S767+T767+U767+V767+W767+X767+Y767+AE767+AF767+AD767+AC767+AB767+AA767+Z767=12,0,IF(AG766&gt;$K$28,12-DATEDIF($K$28,AG766+1,"m"),IF(AG766&lt;$K$27,0,DATEDIF($K$27,AG766+1,"m")))))</f>
        <v>0</v>
      </c>
      <c r="AH767" s="423">
        <f>SUM(Q767:AG767)</f>
        <v>0</v>
      </c>
      <c r="AI767" s="428">
        <f t="shared" si="336"/>
        <v>0</v>
      </c>
      <c r="AJ767" s="428">
        <f t="shared" si="336"/>
        <v>0</v>
      </c>
      <c r="AK767" s="428">
        <f t="shared" si="336"/>
        <v>0</v>
      </c>
      <c r="AL767" s="428">
        <f t="shared" si="336"/>
        <v>0</v>
      </c>
      <c r="AM767" s="428">
        <f t="shared" si="336"/>
        <v>0</v>
      </c>
      <c r="AN767" s="428">
        <f t="shared" si="336"/>
        <v>0</v>
      </c>
      <c r="AO767" s="428">
        <f t="shared" si="336"/>
        <v>0</v>
      </c>
      <c r="AP767" s="428">
        <f t="shared" si="336"/>
        <v>0</v>
      </c>
      <c r="AQ767" s="428">
        <f t="shared" si="336"/>
        <v>0</v>
      </c>
      <c r="AR767" s="428">
        <f t="shared" si="336"/>
        <v>0</v>
      </c>
      <c r="AS767" s="428">
        <f t="shared" si="337"/>
        <v>0</v>
      </c>
      <c r="AT767" s="428">
        <f t="shared" si="337"/>
        <v>0</v>
      </c>
      <c r="AU767" s="428">
        <f t="shared" si="337"/>
        <v>0</v>
      </c>
      <c r="AV767" s="428">
        <f t="shared" si="337"/>
        <v>0</v>
      </c>
      <c r="AW767" s="428">
        <f t="shared" si="337"/>
        <v>0</v>
      </c>
      <c r="AX767" s="428">
        <f t="shared" si="337"/>
        <v>0</v>
      </c>
      <c r="AY767" s="428">
        <f t="shared" si="337"/>
        <v>0</v>
      </c>
      <c r="AZ767" s="428">
        <f>SUM(AI767:AY767)</f>
        <v>0</v>
      </c>
    </row>
    <row r="768" spans="17:52" hidden="1">
      <c r="Q768" s="421">
        <f>IF(Q767=0,0,(IF(($B$254+$C$254+$D$254+$E$254+$F$254+$G$254+$H$254+$I$254+$J$254+$K$254)&lt;=25000,(($K$254/+$AH767)*Q767)*VLOOKUP('1. SUMMARY'!$C$20,rate,Sheet1!T$21,0),((IF(($F$254+$B$254+$C$254+$D$254+$E$254+$G$254+$H$254+$I$254+$J$254)&gt;=25000,0,(((25000-($B$254+$C$254+$D$254+$E$254+$F$254+$G$254+$H$254+$I$254+$J$254))/+$AH767)*Q767)*(VLOOKUP('1. SUMMARY'!$C$20,rate,Sheet1!T$21,0))))))))</f>
        <v>0</v>
      </c>
      <c r="R768" s="421">
        <f>IF(R767=0,0,(IF(($B$254+$C$254+$D$254+$E$254+$F$254+$G$254+$H$254+$I$254+$J$254+$K$254)&lt;=25000,(($K$254/+$AH767)*R767)*VLOOKUP('1. SUMMARY'!$C$20,rate,Sheet1!U$21,0),((IF(($F$254+$B$254+$C$254+$D$254+$E$254+$G$254+$H$254+$I$254+$J$254)&gt;=25000,0,(((25000-($B$254+$C$254+$D$254+$E$254+$F$254+$G$254+$H$254+$I$254+$J$254))/+$AH767)*R767)*(VLOOKUP('1. SUMMARY'!$C$20,rate,Sheet1!U$21,0))))))))</f>
        <v>0</v>
      </c>
      <c r="S768" s="421">
        <f>IF(S767=0,0,(IF(($B$254+$C$254+$D$254+$E$254+$F$254+$G$254+$H$254+$I$254+$J$254+$K$254)&lt;=25000,(($K$254/+$AH767)*S767)*VLOOKUP('1. SUMMARY'!$C$20,rate,Sheet1!V$21,0),((IF(($F$254+$B$254+$C$254+$D$254+$E$254+$G$254+$H$254+$I$254+$J$254)&gt;=25000,0,(((25000-($B$254+$C$254+$D$254+$E$254+$F$254+$G$254+$H$254+$I$254+$J$254))/+$AH767)*S767)*(VLOOKUP('1. SUMMARY'!$C$20,rate,Sheet1!V$21,0))))))))</f>
        <v>0</v>
      </c>
      <c r="T768" s="421">
        <f>IF(T767=0,0,(IF(($B$254+$C$254+$D$254+$E$254+$F$254+$G$254+$H$254+$I$254+$J$254+$K$254)&lt;=25000,(($K$254/+$AH767)*T767)*VLOOKUP('1. SUMMARY'!$C$20,rate,Sheet1!W$21,0),((IF(($F$254+$B$254+$C$254+$D$254+$E$254+$G$254+$H$254+$I$254+$J$254)&gt;=25000,0,(((25000-($B$254+$C$254+$D$254+$E$254+$F$254+$G$254+$H$254+$I$254+$J$254))/+$AH767)*T767)*(VLOOKUP('1. SUMMARY'!$C$20,rate,Sheet1!W$21,0))))))))</f>
        <v>0</v>
      </c>
      <c r="U768" s="421">
        <f>IF(U767=0,0,(IF(($B$254+$C$254+$D$254+$E$254+$F$254+$G$254+$H$254+$I$254+$J$254+$K$254)&lt;=25000,(($K$254/+$AH767)*U767)*VLOOKUP('1. SUMMARY'!$C$20,rate,Sheet1!X$21,0),((IF(($F$254+$B$254+$C$254+$D$254+$E$254+$G$254+$H$254+$I$254+$J$254)&gt;=25000,0,(((25000-($B$254+$C$254+$D$254+$E$254+$F$254+$G$254+$H$254+$I$254+$J$254))/+$AH767)*U767)*(VLOOKUP('1. SUMMARY'!$C$20,rate,Sheet1!X$21,0))))))))</f>
        <v>0</v>
      </c>
      <c r="V768" s="421">
        <f>IF(V767=0,0,(IF(($B$254+$C$254+$D$254+$E$254+$F$254+$G$254+$H$254+$I$254+$J$254+$K$254)&lt;=25000,(($K$254/+$AH767)*V767)*VLOOKUP('1. SUMMARY'!$C$20,rate,Sheet1!Y$21,0),((IF(($F$254+$B$254+$C$254+$D$254+$E$254+$G$254+$H$254+$I$254+$J$254)&gt;=25000,0,(((25000-($B$254+$C$254+$D$254+$E$254+$F$254+$G$254+$H$254+$I$254+$J$254))/+$AH767)*V767)*(VLOOKUP('1. SUMMARY'!$C$20,rate,Sheet1!Y$21,0))))))))</f>
        <v>0</v>
      </c>
      <c r="W768" s="421">
        <f>IF(W767=0,0,(IF(($B$254+$C$254+$D$254+$E$254+$F$254+$G$254+$H$254+$I$254+$J$254+$K$254)&lt;=25000,(($K$254/+$AH767)*W767)*VLOOKUP('1. SUMMARY'!$C$20,rate,Sheet1!Z$21,0),((IF(($F$254+$B$254+$C$254+$D$254+$E$254+$G$254+$H$254+$I$254+$J$254)&gt;=25000,0,(((25000-($B$254+$C$254+$D$254+$E$254+$F$254+$G$254+$H$254+$I$254+$J$254))/+$AH767)*W767)*(VLOOKUP('1. SUMMARY'!$C$20,rate,Sheet1!Z$21,0))))))))</f>
        <v>0</v>
      </c>
      <c r="X768" s="421">
        <f>IF(X767=0,0,(IF(($B$254+$C$254+$D$254+$E$254+$F$254+$G$254+$H$254+$I$254+$J$254+$K$254)&lt;=25000,(($K$254/+$AH767)*X767)*VLOOKUP('1. SUMMARY'!$C$20,rate,Sheet1!AA$21,0),((IF(($F$254+$B$254+$C$254+$D$254+$E$254+$G$254+$H$254+$I$254+$J$254)&gt;=25000,0,(((25000-($B$254+$C$254+$D$254+$E$254+$F$254+$G$254+$H$254+$I$254+$J$254))/+$AH767)*X767)*(VLOOKUP('1. SUMMARY'!$C$20,rate,Sheet1!AA$21,0))))))))</f>
        <v>0</v>
      </c>
      <c r="Y768" s="421">
        <f>IF(Y767=0,0,(IF(($B$254+$C$254+$D$254+$E$254+$F$254+$G$254+$H$254+$I$254+$J$254+$K$254)&lt;=25000,(($K$254/+$AH767)*Y767)*VLOOKUP('1. SUMMARY'!$C$20,rate,Sheet1!AB$21,0),((IF(($F$254+$B$254+$C$254+$D$254+$E$254+$G$254+$H$254+$I$254+$J$254)&gt;=25000,0,(((25000-($B$254+$C$254+$D$254+$E$254+$F$254+$G$254+$H$254+$I$254+$J$254))/+$AH767)*Y767)*(VLOOKUP('1. SUMMARY'!$C$20,rate,Sheet1!AB$21,0))))))))</f>
        <v>0</v>
      </c>
      <c r="Z768" s="421">
        <f>IF(Z767=0,0,(IF(($B$254+$C$254+$D$254+$E$254+$F$254+$G$254+$H$254+$I$254+$J$254+$K$254)&lt;=25000,(($K$254/+$AH767)*Z767)*VLOOKUP('1. SUMMARY'!$C$20,rate,Sheet1!AC$21,0),((IF(($F$254+$B$254+$C$254+$D$254+$E$254+$G$254+$H$254+$I$254+$J$254)&gt;=25000,0,(((25000-($B$254+$C$254+$D$254+$E$254+$F$254+$G$254+$H$254+$I$254+$J$254))/+$AH767)*Z767)*(VLOOKUP('1. SUMMARY'!$C$20,rate,Sheet1!AC$21,0))))))))</f>
        <v>0</v>
      </c>
      <c r="AA768" s="421">
        <f>IF(AA767=0,0,(IF(($B$254+$C$254+$D$254+$E$254+$F$254+$G$254+$H$254+$I$254+$J$254+$K$254)&lt;=25000,(($K$254/+$AH767)*AA767)*VLOOKUP('1. SUMMARY'!$C$20,rate,Sheet1!AD$21,0),((IF(($F$254+$B$254+$C$254+$D$254+$E$254+$G$254+$H$254+$I$254+$J$254)&gt;=25000,0,(((25000-($B$254+$C$254+$D$254+$E$254+$F$254+$G$254+$H$254+$I$254+$J$254))/+$AH767)*AA767)*(VLOOKUP('1. SUMMARY'!$C$20,rate,Sheet1!AD$21,0))))))))</f>
        <v>0</v>
      </c>
      <c r="AB768" s="421">
        <f>IF(AB767=0,0,(IF(($B$254+$C$254+$D$254+$E$254+$F$254+$G$254+$H$254+$I$254+$J$254+$K$254)&lt;=25000,(($K$254/+$AH767)*AB767)*VLOOKUP('1. SUMMARY'!$C$20,rate,Sheet1!AE$21,0),((IF(($F$254+$B$254+$C$254+$D$254+$E$254+$G$254+$H$254+$I$254+$J$254)&gt;=25000,0,(((25000-($B$254+$C$254+$D$254+$E$254+$F$254+$G$254+$H$254+$I$254+$J$254))/+$AH767)*AB767)*(VLOOKUP('1. SUMMARY'!$C$20,rate,Sheet1!AE$21,0))))))))</f>
        <v>0</v>
      </c>
      <c r="AC768" s="421">
        <f>IF(AC767=0,0,(IF(($B$254+$C$254+$D$254+$E$254+$F$254+$G$254+$H$254+$I$254+$J$254+$K$254)&lt;=25000,(($K$254/+$AH767)*AC767)*VLOOKUP('1. SUMMARY'!$C$20,rate,Sheet1!AF$21,0),((IF(($F$254+$B$254+$C$254+$D$254+$E$254+$G$254+$H$254+$I$254+$J$254)&gt;=25000,0,(((25000-($B$254+$C$254+$D$254+$E$254+$F$254+$G$254+$H$254+$I$254+$J$254))/+$AH767)*AC767)*(VLOOKUP('1. SUMMARY'!$C$20,rate,Sheet1!AF$21,0))))))))</f>
        <v>0</v>
      </c>
      <c r="AD768" s="421">
        <f>IF(AD767=0,0,(IF(($B$254+$C$254+$D$254+$E$254+$F$254+$G$254+$H$254+$I$254+$J$254+$K$254)&lt;=25000,(($K$254/+$AH767)*AD767)*VLOOKUP('1. SUMMARY'!$C$20,rate,Sheet1!AG$21,0),((IF(($F$254+$B$254+$C$254+$D$254+$E$254+$G$254+$H$254+$I$254+$J$254)&gt;=25000,0,(((25000-($B$254+$C$254+$D$254+$E$254+$F$254+$G$254+$H$254+$I$254+$J$254))/+$AH767)*AD767)*(VLOOKUP('1. SUMMARY'!$C$20,rate,Sheet1!AG$21,0))))))))</f>
        <v>0</v>
      </c>
      <c r="AE768" s="421">
        <f>IF(AE767=0,0,(IF(($B$254+$C$254+$D$254+$E$254+$F$254+$G$254+$H$254+$I$254+$J$254+$K$254)&lt;=25000,(($K$254/+$AH767)*AE767)*VLOOKUP('1. SUMMARY'!$C$20,rate,Sheet1!AH$21,0),((IF(($F$254+$B$254+$C$254+$D$254+$E$254+$G$254+$H$254+$I$254+$J$254)&gt;=25000,0,(((25000-($B$254+$C$254+$D$254+$E$254+$F$254+$G$254+$H$254+$I$254+$J$254))/+$AH767)*AE767)*(VLOOKUP('1. SUMMARY'!$C$20,rate,Sheet1!AH$21,0))))))))</f>
        <v>0</v>
      </c>
      <c r="AF768" s="421">
        <f>IF(AF767=0,0,(IF(($B$254+$C$254+$D$254+$E$254+$F$254+$G$254+$H$254+$I$254+$J$254+$K$254)&lt;=25000,(($K$254/+$AH767)*AF767)*VLOOKUP('1. SUMMARY'!$C$20,rate,Sheet1!AI$21,0),((IF(($F$254+$B$254+$C$254+$D$254+$E$254+$G$254+$H$254+$I$254+$J$254)&gt;=25000,0,(((25000-($B$254+$C$254+$D$254+$E$254+$F$254+$G$254+$H$254+$I$254+$J$254))/+$AH767)*AF767)*(VLOOKUP('1. SUMMARY'!$C$20,rate,Sheet1!AI$21,0))))))))</f>
        <v>0</v>
      </c>
      <c r="AG768" s="421">
        <f>IF(AG767=0,0,(IF(($B$254+$C$254+$D$254+$E$254+$F$254+$G$254+$H$254+$I$254+$J$254+$K$254)&lt;=25000,(($K$254/+$AH767)*AG767)*VLOOKUP('1. SUMMARY'!$C$20,rate,Sheet1!AJ$21,0),((IF(($F$254+$B$254+$C$254+$D$254+$E$254+$G$254+$H$254+$I$254+$J$254)&gt;=25000,0,(((25000-($B$254+$C$254+$D$254+$E$254+$F$254+$G$254+$H$254+$I$254+$J$254))/+$AH767)*AG767)*(VLOOKUP('1. SUMMARY'!$C$20,rate,Sheet1!AJ$21,0))))))))</f>
        <v>0</v>
      </c>
      <c r="AH768" s="219">
        <f>SUM(Q768:AG768)</f>
        <v>0</v>
      </c>
      <c r="AI768" s="421">
        <f>IF(AI767=0,0,((+$K254/$AZ767)*AI767)*VLOOKUP('1. SUMMARY'!$C$20,rate,Sheet1!T$21,0))</f>
        <v>0</v>
      </c>
      <c r="AJ768" s="421">
        <f>IF(AJ767=0,0,((+$K254/$AZ767)*AJ767)*VLOOKUP('1. SUMMARY'!$C$20,rate,Sheet1!U$21,0))</f>
        <v>0</v>
      </c>
      <c r="AK768" s="421">
        <f>IF(AK767=0,0,((+$K254/$AZ767)*AK767)*VLOOKUP('1. SUMMARY'!$C$20,rate,Sheet1!V$21,0))</f>
        <v>0</v>
      </c>
      <c r="AL768" s="421">
        <f>IF(AL767=0,0,((+$K254/$AZ767)*AL767)*VLOOKUP('1. SUMMARY'!$C$20,rate,Sheet1!W$21,0))</f>
        <v>0</v>
      </c>
      <c r="AM768" s="421">
        <f>IF(AM767=0,0,((+$K254/$AZ767)*AM767)*VLOOKUP('1. SUMMARY'!$C$20,rate,Sheet1!X$21,0))</f>
        <v>0</v>
      </c>
      <c r="AN768" s="421">
        <f>IF(AN767=0,0,((+$K254/$AZ767)*AN767)*VLOOKUP('1. SUMMARY'!$C$20,rate,Sheet1!Y$21,0))</f>
        <v>0</v>
      </c>
      <c r="AO768" s="421">
        <f>IF(AO767=0,0,((+$K254/$AZ767)*AO767)*VLOOKUP('1. SUMMARY'!$C$20,rate,Sheet1!Z$21,0))</f>
        <v>0</v>
      </c>
      <c r="AP768" s="421">
        <f>IF(AP767=0,0,((+$K254/$AZ767)*AP767)*VLOOKUP('1. SUMMARY'!$C$20,rate,Sheet1!AA$21,0))</f>
        <v>0</v>
      </c>
      <c r="AQ768" s="421">
        <f>IF(AQ767=0,0,((+$K254/$AZ767)*AQ767)*VLOOKUP('1. SUMMARY'!$C$20,rate,Sheet1!AB$21,0))</f>
        <v>0</v>
      </c>
      <c r="AR768" s="421">
        <f>IF(AR767=0,0,((+$K254/$AZ767)*AR767)*VLOOKUP('1. SUMMARY'!$C$20,rate,Sheet1!AC$21,0))</f>
        <v>0</v>
      </c>
      <c r="AS768" s="421">
        <f>IF(AS767=0,0,((+$K254/$AZ767)*AS767)*VLOOKUP('1. SUMMARY'!$C$20,rate,Sheet1!AD$21,0))</f>
        <v>0</v>
      </c>
      <c r="AT768" s="421">
        <f>IF(AT767=0,0,((+$K254/$AZ767)*AT767)*VLOOKUP('1. SUMMARY'!$C$20,rate,Sheet1!AE$21,0))</f>
        <v>0</v>
      </c>
      <c r="AU768" s="421">
        <f>IF(AU767=0,0,((+$K254/$AZ767)*AU767)*VLOOKUP('1. SUMMARY'!$C$20,rate,Sheet1!AF$21,0))</f>
        <v>0</v>
      </c>
      <c r="AV768" s="421">
        <f>IF(AV767=0,0,((+$K254/$AZ767)*AV767)*VLOOKUP('1. SUMMARY'!$C$20,rate,Sheet1!AG$21,0))</f>
        <v>0</v>
      </c>
      <c r="AW768" s="421">
        <f>IF(AW767=0,0,((+$K254/$AZ767)*AW767)*VLOOKUP('1. SUMMARY'!$C$20,rate,Sheet1!AH$21,0))</f>
        <v>0</v>
      </c>
      <c r="AX768" s="421">
        <f>IF(AX767=0,0,((+$K254/$AZ767)*AX767)*VLOOKUP('1. SUMMARY'!$C$20,rate,Sheet1!AI$21,0))</f>
        <v>0</v>
      </c>
      <c r="AY768" s="421">
        <f>IF(AY767=0,0,((+$K254/$AZ767)*AY767)*VLOOKUP('1. SUMMARY'!$C$20,rate,Sheet1!AJ$21,0))</f>
        <v>0</v>
      </c>
      <c r="AZ768" s="421">
        <f>SUM(AI768:AY768)</f>
        <v>0</v>
      </c>
    </row>
    <row r="769" spans="16:52" hidden="1">
      <c r="Q769" s="421">
        <f>+Q768/VLOOKUP('1. SUMMARY'!$C$20,rate,Sheet1!T$21,0)</f>
        <v>0</v>
      </c>
      <c r="R769" s="421">
        <f>+R768/VLOOKUP('1. SUMMARY'!$C$20,rate,Sheet1!U$21,0)</f>
        <v>0</v>
      </c>
      <c r="S769" s="421">
        <f>+S768/VLOOKUP('1. SUMMARY'!$C$20,rate,Sheet1!V$21,0)</f>
        <v>0</v>
      </c>
      <c r="T769" s="421">
        <f>+T768/VLOOKUP('1. SUMMARY'!$C$20,rate,Sheet1!W$21,0)</f>
        <v>0</v>
      </c>
      <c r="U769" s="421">
        <f>+U768/VLOOKUP('1. SUMMARY'!$C$20,rate,Sheet1!X$21,0)</f>
        <v>0</v>
      </c>
      <c r="V769" s="421">
        <f>+V768/VLOOKUP('1. SUMMARY'!$C$20,rate,Sheet1!Y$21,0)</f>
        <v>0</v>
      </c>
      <c r="W769" s="421">
        <f>+W768/VLOOKUP('1. SUMMARY'!$C$20,rate,Sheet1!Z$21,0)</f>
        <v>0</v>
      </c>
      <c r="X769" s="421">
        <f>+X768/VLOOKUP('1. SUMMARY'!$C$20,rate,Sheet1!AA$21,0)</f>
        <v>0</v>
      </c>
      <c r="Y769" s="421">
        <f>+Y768/VLOOKUP('1. SUMMARY'!$C$20,rate,Sheet1!AB$21,0)</f>
        <v>0</v>
      </c>
      <c r="Z769" s="421">
        <f>+Z768/VLOOKUP('1. SUMMARY'!$C$20,rate,Sheet1!AC$21,0)</f>
        <v>0</v>
      </c>
      <c r="AA769" s="421">
        <f>+AA768/VLOOKUP('1. SUMMARY'!$C$20,rate,Sheet1!AD$21,0)</f>
        <v>0</v>
      </c>
      <c r="AB769" s="421">
        <f>+AB768/VLOOKUP('1. SUMMARY'!$C$20,rate,Sheet1!AE$21,0)</f>
        <v>0</v>
      </c>
      <c r="AC769" s="421">
        <f>+AC768/VLOOKUP('1. SUMMARY'!$C$20,rate,Sheet1!AF$21,0)</f>
        <v>0</v>
      </c>
      <c r="AD769" s="421">
        <f>+AD768/VLOOKUP('1. SUMMARY'!$C$20,rate,Sheet1!AG$21,0)</f>
        <v>0</v>
      </c>
      <c r="AE769" s="421">
        <f>+AE768/VLOOKUP('1. SUMMARY'!$C$20,rate,Sheet1!AH$21,0)</f>
        <v>0</v>
      </c>
      <c r="AF769" s="421">
        <f>+AF768/VLOOKUP('1. SUMMARY'!$C$20,rate,Sheet1!AI$21,0)</f>
        <v>0</v>
      </c>
      <c r="AG769" s="421">
        <f>+AG768/VLOOKUP('1. SUMMARY'!$C$20,rate,Sheet1!AJ$21,0)</f>
        <v>0</v>
      </c>
      <c r="AH769" s="219"/>
      <c r="AI769" s="421"/>
      <c r="AJ769" s="421"/>
      <c r="AK769" s="421"/>
      <c r="AL769" s="421"/>
      <c r="AM769" s="421"/>
      <c r="AN769" s="421"/>
      <c r="AO769" s="421"/>
      <c r="AP769" s="421"/>
      <c r="AQ769" s="421"/>
      <c r="AR769" s="421"/>
      <c r="AS769" s="421"/>
      <c r="AT769" s="421"/>
      <c r="AU769" s="421"/>
      <c r="AV769" s="421"/>
      <c r="AW769" s="421"/>
      <c r="AX769" s="421"/>
      <c r="AY769" s="421"/>
      <c r="AZ769" s="421"/>
    </row>
    <row r="770" spans="16:52" hidden="1">
      <c r="P770" s="207" t="s">
        <v>172</v>
      </c>
      <c r="Q770" s="258">
        <f>+Q723+Q673+Q623+Q573+Q523+Q473+Q413+Q363+Q313+Q263+Q213+Q163+Q113+Q63+Q8</f>
        <v>0</v>
      </c>
      <c r="R770" s="258">
        <f t="shared" ref="R770:AG770" si="338">+R723+R673+R623+R573+R523+R473+R413+R363+R313+R263+R213+R163+R113+R63+R8</f>
        <v>0</v>
      </c>
      <c r="S770" s="258">
        <f t="shared" si="338"/>
        <v>0</v>
      </c>
      <c r="T770" s="258">
        <f t="shared" si="338"/>
        <v>0</v>
      </c>
      <c r="U770" s="258">
        <f t="shared" si="338"/>
        <v>0</v>
      </c>
      <c r="V770" s="258">
        <f t="shared" si="338"/>
        <v>0</v>
      </c>
      <c r="W770" s="258">
        <f t="shared" si="338"/>
        <v>0</v>
      </c>
      <c r="X770" s="258">
        <f t="shared" si="338"/>
        <v>0</v>
      </c>
      <c r="Y770" s="258">
        <f t="shared" si="338"/>
        <v>0</v>
      </c>
      <c r="Z770" s="258">
        <f t="shared" si="338"/>
        <v>0</v>
      </c>
      <c r="AA770" s="258">
        <f t="shared" si="338"/>
        <v>0</v>
      </c>
      <c r="AB770" s="258">
        <f t="shared" si="338"/>
        <v>0</v>
      </c>
      <c r="AC770" s="258">
        <f t="shared" si="338"/>
        <v>0</v>
      </c>
      <c r="AD770" s="258">
        <f t="shared" si="338"/>
        <v>0</v>
      </c>
      <c r="AE770" s="258">
        <f t="shared" si="338"/>
        <v>0</v>
      </c>
      <c r="AF770" s="258">
        <f t="shared" si="338"/>
        <v>0</v>
      </c>
      <c r="AG770" s="258">
        <f t="shared" si="338"/>
        <v>0</v>
      </c>
      <c r="AH770" s="259">
        <f>SUM(Q770:AG770)</f>
        <v>0</v>
      </c>
      <c r="AI770" s="210"/>
      <c r="AJ770" s="210"/>
      <c r="AK770" s="210"/>
      <c r="AL770" s="210"/>
      <c r="AM770" s="210"/>
      <c r="AN770" s="210"/>
      <c r="AO770" s="210"/>
      <c r="AP770" s="210"/>
      <c r="AQ770" s="210"/>
      <c r="AR770" s="210"/>
      <c r="AS770" s="210"/>
      <c r="AT770" s="210"/>
      <c r="AU770" s="210"/>
      <c r="AV770" s="210"/>
      <c r="AW770" s="210"/>
      <c r="AX770" s="210"/>
      <c r="AY770" s="210"/>
    </row>
    <row r="771" spans="16:52" hidden="1">
      <c r="P771" s="207" t="s">
        <v>173</v>
      </c>
      <c r="Q771" s="258">
        <f>+Q724+Q674+Q624+Q574+Q524+Q474+Q414+Q364+Q314+Q264+Q214+Q164+Q114+Q64+Q9</f>
        <v>0</v>
      </c>
      <c r="R771" s="258">
        <f t="shared" ref="R771:AG771" si="339">+R724+R674+R624+R574+R524+R474+R414+R364+R314+R264+R214+R164+R114+R64+R9</f>
        <v>0</v>
      </c>
      <c r="S771" s="258">
        <f t="shared" si="339"/>
        <v>0</v>
      </c>
      <c r="T771" s="258">
        <f t="shared" si="339"/>
        <v>0</v>
      </c>
      <c r="U771" s="258">
        <f t="shared" si="339"/>
        <v>0</v>
      </c>
      <c r="V771" s="258">
        <f t="shared" si="339"/>
        <v>0</v>
      </c>
      <c r="W771" s="258">
        <f t="shared" si="339"/>
        <v>0</v>
      </c>
      <c r="X771" s="258">
        <f t="shared" si="339"/>
        <v>0</v>
      </c>
      <c r="Y771" s="258">
        <f t="shared" si="339"/>
        <v>0</v>
      </c>
      <c r="Z771" s="258">
        <f t="shared" si="339"/>
        <v>0</v>
      </c>
      <c r="AA771" s="258">
        <f t="shared" si="339"/>
        <v>0</v>
      </c>
      <c r="AB771" s="258">
        <f t="shared" si="339"/>
        <v>0</v>
      </c>
      <c r="AC771" s="258">
        <f t="shared" si="339"/>
        <v>0</v>
      </c>
      <c r="AD771" s="258">
        <f t="shared" si="339"/>
        <v>0</v>
      </c>
      <c r="AE771" s="258">
        <f t="shared" si="339"/>
        <v>0</v>
      </c>
      <c r="AF771" s="258">
        <f t="shared" si="339"/>
        <v>0</v>
      </c>
      <c r="AG771" s="258">
        <f t="shared" si="339"/>
        <v>0</v>
      </c>
      <c r="AH771" s="259">
        <f t="shared" ref="AH771:AH789" si="340">SUM(Q771:AG771)</f>
        <v>0</v>
      </c>
      <c r="AI771" s="210"/>
      <c r="AJ771" s="210"/>
      <c r="AK771" s="210"/>
      <c r="AL771" s="210"/>
      <c r="AM771" s="210"/>
      <c r="AN771" s="210"/>
      <c r="AO771" s="210"/>
      <c r="AP771" s="210"/>
      <c r="AQ771" s="210"/>
      <c r="AR771" s="210"/>
      <c r="AS771" s="210"/>
      <c r="AT771" s="210"/>
      <c r="AU771" s="210"/>
      <c r="AV771" s="210"/>
      <c r="AW771" s="210"/>
      <c r="AX771" s="210"/>
      <c r="AY771" s="210"/>
    </row>
    <row r="772" spans="16:52" hidden="1">
      <c r="P772" s="207" t="s">
        <v>172</v>
      </c>
      <c r="Q772" s="258">
        <f>+Q728+Q678+Q628+Q578+Q528+Q478+Q418+Q368+Q318+Q268+Q218+Q168+Q118+Q68+Q13</f>
        <v>0</v>
      </c>
      <c r="R772" s="258">
        <f t="shared" ref="R772:AG772" si="341">+R728+R678+R628+R578+R528+R478+R418+R368+R318+R268+R218+R168+R118+R68+R13</f>
        <v>0</v>
      </c>
      <c r="S772" s="258">
        <f t="shared" si="341"/>
        <v>0</v>
      </c>
      <c r="T772" s="258">
        <f t="shared" si="341"/>
        <v>0</v>
      </c>
      <c r="U772" s="258">
        <f t="shared" si="341"/>
        <v>0</v>
      </c>
      <c r="V772" s="258">
        <f t="shared" si="341"/>
        <v>0</v>
      </c>
      <c r="W772" s="258">
        <f t="shared" si="341"/>
        <v>0</v>
      </c>
      <c r="X772" s="258">
        <f t="shared" si="341"/>
        <v>0</v>
      </c>
      <c r="Y772" s="258">
        <f t="shared" si="341"/>
        <v>0</v>
      </c>
      <c r="Z772" s="258">
        <f t="shared" si="341"/>
        <v>0</v>
      </c>
      <c r="AA772" s="258">
        <f t="shared" si="341"/>
        <v>0</v>
      </c>
      <c r="AB772" s="258">
        <f t="shared" si="341"/>
        <v>0</v>
      </c>
      <c r="AC772" s="258">
        <f t="shared" si="341"/>
        <v>0</v>
      </c>
      <c r="AD772" s="258">
        <f t="shared" si="341"/>
        <v>0</v>
      </c>
      <c r="AE772" s="258">
        <f t="shared" si="341"/>
        <v>0</v>
      </c>
      <c r="AF772" s="258">
        <f t="shared" si="341"/>
        <v>0</v>
      </c>
      <c r="AG772" s="258">
        <f t="shared" si="341"/>
        <v>0</v>
      </c>
      <c r="AH772" s="259">
        <f t="shared" si="340"/>
        <v>0</v>
      </c>
      <c r="AI772" s="211"/>
      <c r="AJ772" s="211"/>
      <c r="AK772" s="211"/>
      <c r="AL772" s="211"/>
      <c r="AM772" s="211"/>
      <c r="AN772" s="211"/>
      <c r="AO772" s="211"/>
      <c r="AP772" s="211"/>
      <c r="AQ772" s="211"/>
      <c r="AR772" s="211"/>
      <c r="AS772" s="211"/>
      <c r="AT772" s="211"/>
      <c r="AU772" s="211"/>
      <c r="AV772" s="211"/>
      <c r="AW772" s="211"/>
      <c r="AX772" s="211"/>
      <c r="AY772" s="211"/>
    </row>
    <row r="773" spans="16:52" hidden="1">
      <c r="P773" s="207" t="s">
        <v>173</v>
      </c>
      <c r="Q773" s="258">
        <f>+Q729+Q679+Q629+Q579+Q529+Q479+Q419+Q369+Q319+Q269+Q219+Q169+Q119+Q69+Q14</f>
        <v>0</v>
      </c>
      <c r="R773" s="258">
        <f t="shared" ref="R773:AG773" si="342">+R729+R679+R629+R579+R529+R479+R419+R369+R319+R269+R219+R169+R119+R69+R14</f>
        <v>0</v>
      </c>
      <c r="S773" s="258">
        <f t="shared" si="342"/>
        <v>0</v>
      </c>
      <c r="T773" s="258">
        <f t="shared" si="342"/>
        <v>0</v>
      </c>
      <c r="U773" s="258">
        <f t="shared" si="342"/>
        <v>0</v>
      </c>
      <c r="V773" s="258">
        <f t="shared" si="342"/>
        <v>0</v>
      </c>
      <c r="W773" s="258">
        <f t="shared" si="342"/>
        <v>0</v>
      </c>
      <c r="X773" s="258">
        <f t="shared" si="342"/>
        <v>0</v>
      </c>
      <c r="Y773" s="258">
        <f t="shared" si="342"/>
        <v>0</v>
      </c>
      <c r="Z773" s="258">
        <f t="shared" si="342"/>
        <v>0</v>
      </c>
      <c r="AA773" s="258">
        <f t="shared" si="342"/>
        <v>0</v>
      </c>
      <c r="AB773" s="258">
        <f t="shared" si="342"/>
        <v>0</v>
      </c>
      <c r="AC773" s="258">
        <f t="shared" si="342"/>
        <v>0</v>
      </c>
      <c r="AD773" s="258">
        <f t="shared" si="342"/>
        <v>0</v>
      </c>
      <c r="AE773" s="258">
        <f t="shared" si="342"/>
        <v>0</v>
      </c>
      <c r="AF773" s="258">
        <f t="shared" si="342"/>
        <v>0</v>
      </c>
      <c r="AG773" s="258">
        <f t="shared" si="342"/>
        <v>0</v>
      </c>
      <c r="AH773" s="259">
        <f t="shared" si="340"/>
        <v>0</v>
      </c>
      <c r="AI773" s="219"/>
      <c r="AJ773" s="219"/>
      <c r="AK773" s="219"/>
      <c r="AL773" s="219"/>
      <c r="AM773" s="219"/>
      <c r="AN773" s="219"/>
      <c r="AO773" s="219"/>
      <c r="AP773" s="219"/>
      <c r="AQ773" s="219"/>
      <c r="AR773" s="219"/>
      <c r="AS773" s="219"/>
      <c r="AT773" s="219"/>
      <c r="AU773" s="219"/>
      <c r="AV773" s="219"/>
      <c r="AW773" s="219"/>
      <c r="AX773" s="219"/>
      <c r="AY773" s="219"/>
    </row>
    <row r="774" spans="16:52" hidden="1">
      <c r="P774" s="207" t="s">
        <v>172</v>
      </c>
      <c r="Q774" s="258">
        <f>+Q733+Q683+Q633+Q583+Q533+Q483+Q423+Q373+Q323+Q273+Q223+Q173+Q123+Q73+Q18</f>
        <v>0</v>
      </c>
      <c r="R774" s="258">
        <f t="shared" ref="R774:AG774" si="343">+R733+R683+R633+R583+R533+R483+R423+R373+R323+R273+R223+R173+R123+R73+R18</f>
        <v>0</v>
      </c>
      <c r="S774" s="258">
        <f t="shared" si="343"/>
        <v>0</v>
      </c>
      <c r="T774" s="258">
        <f t="shared" si="343"/>
        <v>0</v>
      </c>
      <c r="U774" s="258">
        <f t="shared" si="343"/>
        <v>0</v>
      </c>
      <c r="V774" s="258">
        <f t="shared" si="343"/>
        <v>0</v>
      </c>
      <c r="W774" s="258">
        <f t="shared" si="343"/>
        <v>0</v>
      </c>
      <c r="X774" s="258">
        <f t="shared" si="343"/>
        <v>0</v>
      </c>
      <c r="Y774" s="258">
        <f t="shared" si="343"/>
        <v>0</v>
      </c>
      <c r="Z774" s="258">
        <f t="shared" si="343"/>
        <v>0</v>
      </c>
      <c r="AA774" s="258">
        <f t="shared" si="343"/>
        <v>0</v>
      </c>
      <c r="AB774" s="258">
        <f t="shared" si="343"/>
        <v>0</v>
      </c>
      <c r="AC774" s="258">
        <f t="shared" si="343"/>
        <v>0</v>
      </c>
      <c r="AD774" s="258">
        <f t="shared" si="343"/>
        <v>0</v>
      </c>
      <c r="AE774" s="258">
        <f t="shared" si="343"/>
        <v>0</v>
      </c>
      <c r="AF774" s="258">
        <f t="shared" si="343"/>
        <v>0</v>
      </c>
      <c r="AG774" s="258">
        <f t="shared" si="343"/>
        <v>0</v>
      </c>
      <c r="AH774" s="259">
        <f t="shared" si="340"/>
        <v>0</v>
      </c>
      <c r="AI774" s="210"/>
      <c r="AJ774" s="210"/>
      <c r="AK774" s="210"/>
      <c r="AL774" s="210"/>
      <c r="AM774" s="210"/>
      <c r="AN774" s="210"/>
      <c r="AO774" s="210"/>
      <c r="AP774" s="210"/>
      <c r="AQ774" s="210"/>
      <c r="AR774" s="210"/>
      <c r="AS774" s="210"/>
      <c r="AT774" s="210"/>
      <c r="AU774" s="210"/>
      <c r="AV774" s="210"/>
      <c r="AW774" s="210"/>
      <c r="AX774" s="210"/>
      <c r="AY774" s="210"/>
    </row>
    <row r="775" spans="16:52" hidden="1">
      <c r="P775" s="207" t="s">
        <v>173</v>
      </c>
      <c r="Q775" s="258">
        <f>+Q734+Q684+Q634+Q584+Q534+Q484+Q424+Q374+Q324+Q274+Q224+Q174+Q124+Q74+Q19</f>
        <v>0</v>
      </c>
      <c r="R775" s="258">
        <f t="shared" ref="R775:AG775" si="344">+R734+R684+R634+R584+R534+R484+R424+R374+R324+R274+R224+R174+R124+R74+R19</f>
        <v>0</v>
      </c>
      <c r="S775" s="258">
        <f t="shared" si="344"/>
        <v>0</v>
      </c>
      <c r="T775" s="258">
        <f t="shared" si="344"/>
        <v>0</v>
      </c>
      <c r="U775" s="258">
        <f t="shared" si="344"/>
        <v>0</v>
      </c>
      <c r="V775" s="258">
        <f t="shared" si="344"/>
        <v>0</v>
      </c>
      <c r="W775" s="258">
        <f t="shared" si="344"/>
        <v>0</v>
      </c>
      <c r="X775" s="258">
        <f t="shared" si="344"/>
        <v>0</v>
      </c>
      <c r="Y775" s="258">
        <f t="shared" si="344"/>
        <v>0</v>
      </c>
      <c r="Z775" s="258">
        <f t="shared" si="344"/>
        <v>0</v>
      </c>
      <c r="AA775" s="258">
        <f t="shared" si="344"/>
        <v>0</v>
      </c>
      <c r="AB775" s="258">
        <f t="shared" si="344"/>
        <v>0</v>
      </c>
      <c r="AC775" s="258">
        <f t="shared" si="344"/>
        <v>0</v>
      </c>
      <c r="AD775" s="258">
        <f t="shared" si="344"/>
        <v>0</v>
      </c>
      <c r="AE775" s="258">
        <f t="shared" si="344"/>
        <v>0</v>
      </c>
      <c r="AF775" s="258">
        <f t="shared" si="344"/>
        <v>0</v>
      </c>
      <c r="AG775" s="258">
        <f t="shared" si="344"/>
        <v>0</v>
      </c>
      <c r="AH775" s="259">
        <f t="shared" si="340"/>
        <v>0</v>
      </c>
      <c r="AI775" s="210"/>
      <c r="AJ775" s="210"/>
      <c r="AK775" s="210"/>
      <c r="AL775" s="210"/>
      <c r="AM775" s="210"/>
      <c r="AN775" s="210"/>
      <c r="AO775" s="210"/>
      <c r="AP775" s="210"/>
      <c r="AQ775" s="210"/>
      <c r="AR775" s="210"/>
      <c r="AS775" s="210"/>
      <c r="AT775" s="210"/>
      <c r="AU775" s="210"/>
      <c r="AV775" s="210"/>
      <c r="AW775" s="210"/>
      <c r="AX775" s="210"/>
      <c r="AY775" s="210"/>
    </row>
    <row r="776" spans="16:52" hidden="1">
      <c r="P776" s="207" t="s">
        <v>172</v>
      </c>
      <c r="Q776" s="258">
        <f>+Q738+Q688+Q638+Q588+Q538+Q488+Q428+Q378+Q328+Q278+Q228+Q178+Q128+Q78+Q23</f>
        <v>0</v>
      </c>
      <c r="R776" s="258">
        <f t="shared" ref="R776:AG776" si="345">+R738+R688+R638+R588+R538+R488+R428+R378+R328+R278+R228+R178+R128+R78+R23</f>
        <v>0</v>
      </c>
      <c r="S776" s="258">
        <f t="shared" si="345"/>
        <v>0</v>
      </c>
      <c r="T776" s="258">
        <f t="shared" si="345"/>
        <v>0</v>
      </c>
      <c r="U776" s="258">
        <f t="shared" si="345"/>
        <v>0</v>
      </c>
      <c r="V776" s="258">
        <f t="shared" si="345"/>
        <v>0</v>
      </c>
      <c r="W776" s="258">
        <f t="shared" si="345"/>
        <v>0</v>
      </c>
      <c r="X776" s="258">
        <f t="shared" si="345"/>
        <v>0</v>
      </c>
      <c r="Y776" s="258">
        <f t="shared" si="345"/>
        <v>0</v>
      </c>
      <c r="Z776" s="258">
        <f t="shared" si="345"/>
        <v>0</v>
      </c>
      <c r="AA776" s="258">
        <f t="shared" si="345"/>
        <v>0</v>
      </c>
      <c r="AB776" s="258">
        <f t="shared" si="345"/>
        <v>0</v>
      </c>
      <c r="AC776" s="258">
        <f t="shared" si="345"/>
        <v>0</v>
      </c>
      <c r="AD776" s="258">
        <f t="shared" si="345"/>
        <v>0</v>
      </c>
      <c r="AE776" s="258">
        <f t="shared" si="345"/>
        <v>0</v>
      </c>
      <c r="AF776" s="258">
        <f t="shared" si="345"/>
        <v>0</v>
      </c>
      <c r="AG776" s="258">
        <f t="shared" si="345"/>
        <v>0</v>
      </c>
      <c r="AH776" s="259">
        <f t="shared" si="340"/>
        <v>0</v>
      </c>
      <c r="AI776" s="211"/>
      <c r="AJ776" s="211"/>
      <c r="AK776" s="211"/>
      <c r="AL776" s="211"/>
      <c r="AM776" s="211"/>
      <c r="AN776" s="211"/>
      <c r="AO776" s="211"/>
      <c r="AP776" s="211"/>
      <c r="AQ776" s="211"/>
      <c r="AR776" s="211"/>
      <c r="AS776" s="211"/>
      <c r="AT776" s="211"/>
      <c r="AU776" s="211"/>
      <c r="AV776" s="211"/>
      <c r="AW776" s="211"/>
      <c r="AX776" s="211"/>
      <c r="AY776" s="211"/>
    </row>
    <row r="777" spans="16:52" hidden="1">
      <c r="P777" s="207" t="s">
        <v>173</v>
      </c>
      <c r="Q777" s="258">
        <f>+Q739+Q689+Q639+Q589+Q539+Q489+Q429+Q379+Q329+Q279+Q229+Q179+Q129+Q79+Q24</f>
        <v>0</v>
      </c>
      <c r="R777" s="258">
        <f t="shared" ref="R777:AG777" si="346">+R739+R689+R639+R589+R539+R489+R429+R379+R329+R279+R229+R179+R129+R79+R24</f>
        <v>0</v>
      </c>
      <c r="S777" s="258">
        <f t="shared" si="346"/>
        <v>0</v>
      </c>
      <c r="T777" s="258">
        <f t="shared" si="346"/>
        <v>0</v>
      </c>
      <c r="U777" s="258">
        <f t="shared" si="346"/>
        <v>0</v>
      </c>
      <c r="V777" s="258">
        <f t="shared" si="346"/>
        <v>0</v>
      </c>
      <c r="W777" s="258">
        <f t="shared" si="346"/>
        <v>0</v>
      </c>
      <c r="X777" s="258">
        <f t="shared" si="346"/>
        <v>0</v>
      </c>
      <c r="Y777" s="258">
        <f t="shared" si="346"/>
        <v>0</v>
      </c>
      <c r="Z777" s="258">
        <f t="shared" si="346"/>
        <v>0</v>
      </c>
      <c r="AA777" s="258">
        <f t="shared" si="346"/>
        <v>0</v>
      </c>
      <c r="AB777" s="258">
        <f t="shared" si="346"/>
        <v>0</v>
      </c>
      <c r="AC777" s="258">
        <f t="shared" si="346"/>
        <v>0</v>
      </c>
      <c r="AD777" s="258">
        <f t="shared" si="346"/>
        <v>0</v>
      </c>
      <c r="AE777" s="258">
        <f t="shared" si="346"/>
        <v>0</v>
      </c>
      <c r="AF777" s="258">
        <f t="shared" si="346"/>
        <v>0</v>
      </c>
      <c r="AG777" s="258">
        <f t="shared" si="346"/>
        <v>0</v>
      </c>
      <c r="AH777" s="259">
        <f t="shared" si="340"/>
        <v>0</v>
      </c>
      <c r="AI777" s="219"/>
      <c r="AJ777" s="219"/>
      <c r="AK777" s="219"/>
      <c r="AL777" s="219"/>
      <c r="AM777" s="219"/>
      <c r="AN777" s="219"/>
      <c r="AO777" s="219"/>
      <c r="AP777" s="219"/>
      <c r="AQ777" s="219"/>
      <c r="AR777" s="219"/>
      <c r="AS777" s="219"/>
      <c r="AT777" s="219"/>
      <c r="AU777" s="219"/>
      <c r="AV777" s="219"/>
      <c r="AW777" s="219"/>
      <c r="AX777" s="219"/>
      <c r="AY777" s="219"/>
    </row>
    <row r="778" spans="16:52" hidden="1">
      <c r="P778" s="207" t="s">
        <v>172</v>
      </c>
      <c r="Q778" s="258">
        <f>+Q743+Q693+Q643+Q593+Q543+Q493+Q433+Q383+Q333+Q283+Q233+Q183+Q133+Q83+Q28</f>
        <v>0</v>
      </c>
      <c r="R778" s="258">
        <f t="shared" ref="R778:AG778" si="347">+R743+R693+R643+R593+R543+R493+R433+R383+R333+R283+R233+R183+R133+R83+R28</f>
        <v>0</v>
      </c>
      <c r="S778" s="258">
        <f t="shared" si="347"/>
        <v>0</v>
      </c>
      <c r="T778" s="258">
        <f t="shared" si="347"/>
        <v>0</v>
      </c>
      <c r="U778" s="258">
        <f t="shared" si="347"/>
        <v>0</v>
      </c>
      <c r="V778" s="258">
        <f t="shared" si="347"/>
        <v>0</v>
      </c>
      <c r="W778" s="258">
        <f t="shared" si="347"/>
        <v>0</v>
      </c>
      <c r="X778" s="258">
        <f t="shared" si="347"/>
        <v>0</v>
      </c>
      <c r="Y778" s="258">
        <f t="shared" si="347"/>
        <v>0</v>
      </c>
      <c r="Z778" s="258">
        <f t="shared" si="347"/>
        <v>0</v>
      </c>
      <c r="AA778" s="258">
        <f t="shared" si="347"/>
        <v>0</v>
      </c>
      <c r="AB778" s="258">
        <f t="shared" si="347"/>
        <v>0</v>
      </c>
      <c r="AC778" s="258">
        <f t="shared" si="347"/>
        <v>0</v>
      </c>
      <c r="AD778" s="258">
        <f t="shared" si="347"/>
        <v>0</v>
      </c>
      <c r="AE778" s="258">
        <f t="shared" si="347"/>
        <v>0</v>
      </c>
      <c r="AF778" s="258">
        <f t="shared" si="347"/>
        <v>0</v>
      </c>
      <c r="AG778" s="258">
        <f t="shared" si="347"/>
        <v>0</v>
      </c>
      <c r="AH778" s="259">
        <f t="shared" si="340"/>
        <v>0</v>
      </c>
      <c r="AI778" s="230"/>
      <c r="AJ778" s="230"/>
      <c r="AK778" s="230"/>
      <c r="AL778" s="230"/>
      <c r="AM778" s="230"/>
      <c r="AN778" s="230"/>
      <c r="AO778" s="230"/>
      <c r="AP778" s="230"/>
      <c r="AQ778" s="230"/>
      <c r="AR778" s="230"/>
      <c r="AS778" s="230"/>
      <c r="AT778" s="230"/>
      <c r="AU778" s="230"/>
      <c r="AV778" s="230"/>
      <c r="AW778" s="230"/>
      <c r="AX778" s="230"/>
      <c r="AY778" s="230"/>
    </row>
    <row r="779" spans="16:52" hidden="1">
      <c r="P779" s="207" t="s">
        <v>173</v>
      </c>
      <c r="Q779" s="258">
        <f>+Q744+Q694+Q644+Q594+Q544+Q494+Q434+Q384+Q334+Q284+Q234+Q184+Q134+Q84+Q29</f>
        <v>0</v>
      </c>
      <c r="R779" s="258">
        <f t="shared" ref="R779:AG779" si="348">+R744+R694+R644+R594+R544+R494+R434+R384+R334+R284+R234+R184+R134+R84+R29</f>
        <v>0</v>
      </c>
      <c r="S779" s="258">
        <f t="shared" si="348"/>
        <v>0</v>
      </c>
      <c r="T779" s="258">
        <f t="shared" si="348"/>
        <v>0</v>
      </c>
      <c r="U779" s="258">
        <f t="shared" si="348"/>
        <v>0</v>
      </c>
      <c r="V779" s="258">
        <f t="shared" si="348"/>
        <v>0</v>
      </c>
      <c r="W779" s="258">
        <f t="shared" si="348"/>
        <v>0</v>
      </c>
      <c r="X779" s="258">
        <f t="shared" si="348"/>
        <v>0</v>
      </c>
      <c r="Y779" s="258">
        <f t="shared" si="348"/>
        <v>0</v>
      </c>
      <c r="Z779" s="258">
        <f t="shared" si="348"/>
        <v>0</v>
      </c>
      <c r="AA779" s="258">
        <f t="shared" si="348"/>
        <v>0</v>
      </c>
      <c r="AB779" s="258">
        <f t="shared" si="348"/>
        <v>0</v>
      </c>
      <c r="AC779" s="258">
        <f t="shared" si="348"/>
        <v>0</v>
      </c>
      <c r="AD779" s="258">
        <f t="shared" si="348"/>
        <v>0</v>
      </c>
      <c r="AE779" s="258">
        <f t="shared" si="348"/>
        <v>0</v>
      </c>
      <c r="AF779" s="258">
        <f t="shared" si="348"/>
        <v>0</v>
      </c>
      <c r="AG779" s="258">
        <f t="shared" si="348"/>
        <v>0</v>
      </c>
      <c r="AH779" s="259">
        <f t="shared" si="340"/>
        <v>0</v>
      </c>
      <c r="AI779" s="230"/>
      <c r="AJ779" s="230"/>
      <c r="AK779" s="230"/>
      <c r="AL779" s="230"/>
      <c r="AM779" s="230"/>
      <c r="AN779" s="230"/>
      <c r="AO779" s="230"/>
      <c r="AP779" s="230"/>
      <c r="AQ779" s="230"/>
      <c r="AR779" s="230"/>
      <c r="AS779" s="230"/>
      <c r="AT779" s="230"/>
      <c r="AU779" s="230"/>
      <c r="AV779" s="230"/>
      <c r="AW779" s="230"/>
      <c r="AX779" s="230"/>
      <c r="AY779" s="230"/>
    </row>
    <row r="780" spans="16:52" hidden="1">
      <c r="P780" s="207" t="s">
        <v>172</v>
      </c>
      <c r="Q780" s="258">
        <f>+Q748+Q698+Q648+Q598+Q548+Q498+Q438+Q388+Q338+Q288+Q238+Q188+Q138+Q88+Q33</f>
        <v>0</v>
      </c>
      <c r="R780" s="258">
        <f t="shared" ref="R780:AG780" si="349">+R748+R698+R648+R598+R548+R498+R438+R388+R338+R288+R238+R188+R138+R88+R33</f>
        <v>0</v>
      </c>
      <c r="S780" s="258">
        <f t="shared" si="349"/>
        <v>0</v>
      </c>
      <c r="T780" s="258">
        <f t="shared" si="349"/>
        <v>0</v>
      </c>
      <c r="U780" s="258">
        <f t="shared" si="349"/>
        <v>0</v>
      </c>
      <c r="V780" s="258">
        <f t="shared" si="349"/>
        <v>0</v>
      </c>
      <c r="W780" s="258">
        <f t="shared" si="349"/>
        <v>0</v>
      </c>
      <c r="X780" s="258">
        <f t="shared" si="349"/>
        <v>0</v>
      </c>
      <c r="Y780" s="258">
        <f t="shared" si="349"/>
        <v>0</v>
      </c>
      <c r="Z780" s="258">
        <f t="shared" si="349"/>
        <v>0</v>
      </c>
      <c r="AA780" s="258">
        <f t="shared" si="349"/>
        <v>0</v>
      </c>
      <c r="AB780" s="258">
        <f t="shared" si="349"/>
        <v>0</v>
      </c>
      <c r="AC780" s="258">
        <f t="shared" si="349"/>
        <v>0</v>
      </c>
      <c r="AD780" s="258">
        <f t="shared" si="349"/>
        <v>0</v>
      </c>
      <c r="AE780" s="258">
        <f t="shared" si="349"/>
        <v>0</v>
      </c>
      <c r="AF780" s="258">
        <f t="shared" si="349"/>
        <v>0</v>
      </c>
      <c r="AG780" s="258">
        <f t="shared" si="349"/>
        <v>0</v>
      </c>
      <c r="AH780" s="259">
        <f t="shared" si="340"/>
        <v>0</v>
      </c>
      <c r="AI780" s="232"/>
      <c r="AJ780" s="232"/>
      <c r="AK780" s="232"/>
      <c r="AL780" s="232"/>
      <c r="AM780" s="232"/>
      <c r="AN780" s="232"/>
      <c r="AO780" s="232"/>
      <c r="AP780" s="232"/>
      <c r="AQ780" s="232"/>
      <c r="AR780" s="232"/>
      <c r="AS780" s="232"/>
      <c r="AT780" s="232"/>
      <c r="AU780" s="232"/>
      <c r="AV780" s="232"/>
      <c r="AW780" s="232"/>
      <c r="AX780" s="232"/>
      <c r="AY780" s="232"/>
    </row>
    <row r="781" spans="16:52" hidden="1">
      <c r="P781" s="207" t="s">
        <v>173</v>
      </c>
      <c r="Q781" s="258">
        <f>+Q749+Q699+Q649+Q599+Q549+Q499+Q439+Q389+Q339+Q289+Q239+Q189+Q139+Q89+Q34</f>
        <v>0</v>
      </c>
      <c r="R781" s="258">
        <f t="shared" ref="R781:AG781" si="350">+R749+R699+R649+R599+R549+R499+R439+R389+R339+R289+R239+R189+R139+R89+R34</f>
        <v>0</v>
      </c>
      <c r="S781" s="258">
        <f t="shared" si="350"/>
        <v>0</v>
      </c>
      <c r="T781" s="258">
        <f t="shared" si="350"/>
        <v>0</v>
      </c>
      <c r="U781" s="258">
        <f t="shared" si="350"/>
        <v>0</v>
      </c>
      <c r="V781" s="258">
        <f t="shared" si="350"/>
        <v>0</v>
      </c>
      <c r="W781" s="258">
        <f t="shared" si="350"/>
        <v>0</v>
      </c>
      <c r="X781" s="258">
        <f t="shared" si="350"/>
        <v>0</v>
      </c>
      <c r="Y781" s="258">
        <f t="shared" si="350"/>
        <v>0</v>
      </c>
      <c r="Z781" s="258">
        <f t="shared" si="350"/>
        <v>0</v>
      </c>
      <c r="AA781" s="258">
        <f t="shared" si="350"/>
        <v>0</v>
      </c>
      <c r="AB781" s="258">
        <f t="shared" si="350"/>
        <v>0</v>
      </c>
      <c r="AC781" s="258">
        <f t="shared" si="350"/>
        <v>0</v>
      </c>
      <c r="AD781" s="258">
        <f t="shared" si="350"/>
        <v>0</v>
      </c>
      <c r="AE781" s="258">
        <f t="shared" si="350"/>
        <v>0</v>
      </c>
      <c r="AF781" s="258">
        <f t="shared" si="350"/>
        <v>0</v>
      </c>
      <c r="AG781" s="258">
        <f t="shared" si="350"/>
        <v>0</v>
      </c>
      <c r="AH781" s="259">
        <f t="shared" si="340"/>
        <v>0</v>
      </c>
      <c r="AI781" s="219"/>
      <c r="AJ781" s="219"/>
      <c r="AK781" s="219"/>
      <c r="AL781" s="219"/>
      <c r="AM781" s="219"/>
      <c r="AN781" s="219"/>
      <c r="AO781" s="219"/>
      <c r="AP781" s="219"/>
      <c r="AQ781" s="219"/>
      <c r="AR781" s="219"/>
      <c r="AS781" s="219"/>
      <c r="AT781" s="219"/>
      <c r="AU781" s="219"/>
      <c r="AV781" s="219"/>
      <c r="AW781" s="219"/>
      <c r="AX781" s="219"/>
      <c r="AY781" s="219"/>
    </row>
    <row r="782" spans="16:52" hidden="1">
      <c r="P782" s="207" t="s">
        <v>172</v>
      </c>
      <c r="Q782" s="258">
        <f>+Q753+Q703+Q653+Q603+Q553+Q503+Q443+Q393+Q343+Q293+Q243+Q193+Q143+Q93+Q38</f>
        <v>0</v>
      </c>
      <c r="R782" s="258">
        <f t="shared" ref="R782:AG782" si="351">+R753+R703+R653+R603+R553+R503+R443+R393+R343+R293+R243+R193+R143+R93+R38</f>
        <v>0</v>
      </c>
      <c r="S782" s="258">
        <f t="shared" si="351"/>
        <v>0</v>
      </c>
      <c r="T782" s="258">
        <f t="shared" si="351"/>
        <v>0</v>
      </c>
      <c r="U782" s="258">
        <f t="shared" si="351"/>
        <v>0</v>
      </c>
      <c r="V782" s="258">
        <f t="shared" si="351"/>
        <v>0</v>
      </c>
      <c r="W782" s="258">
        <f t="shared" si="351"/>
        <v>0</v>
      </c>
      <c r="X782" s="258">
        <f t="shared" si="351"/>
        <v>0</v>
      </c>
      <c r="Y782" s="258">
        <f t="shared" si="351"/>
        <v>0</v>
      </c>
      <c r="Z782" s="258">
        <f t="shared" si="351"/>
        <v>0</v>
      </c>
      <c r="AA782" s="258">
        <f t="shared" si="351"/>
        <v>0</v>
      </c>
      <c r="AB782" s="258">
        <f t="shared" si="351"/>
        <v>0</v>
      </c>
      <c r="AC782" s="258">
        <f t="shared" si="351"/>
        <v>0</v>
      </c>
      <c r="AD782" s="258">
        <f t="shared" si="351"/>
        <v>0</v>
      </c>
      <c r="AE782" s="258">
        <f t="shared" si="351"/>
        <v>0</v>
      </c>
      <c r="AF782" s="258">
        <f t="shared" si="351"/>
        <v>0</v>
      </c>
      <c r="AG782" s="258">
        <f t="shared" si="351"/>
        <v>0</v>
      </c>
      <c r="AH782" s="259">
        <f t="shared" si="340"/>
        <v>0</v>
      </c>
      <c r="AI782" s="210"/>
      <c r="AJ782" s="210"/>
      <c r="AK782" s="210"/>
      <c r="AL782" s="210"/>
      <c r="AM782" s="210"/>
      <c r="AN782" s="210"/>
      <c r="AO782" s="210"/>
      <c r="AP782" s="210"/>
      <c r="AQ782" s="210"/>
      <c r="AR782" s="210"/>
      <c r="AS782" s="210"/>
      <c r="AT782" s="210"/>
      <c r="AU782" s="210"/>
      <c r="AV782" s="210"/>
      <c r="AW782" s="210"/>
      <c r="AX782" s="210"/>
      <c r="AY782" s="210"/>
    </row>
    <row r="783" spans="16:52" hidden="1">
      <c r="P783" s="207" t="s">
        <v>173</v>
      </c>
      <c r="Q783" s="258">
        <f>+Q754+Q704+Q654+Q604+Q554+Q504+Q444+Q394+Q344+Q294+Q244+Q194+Q144+Q94+Q39</f>
        <v>0</v>
      </c>
      <c r="R783" s="258">
        <f t="shared" ref="R783:AG783" si="352">+R754+R704+R654+R604+R554+R504+R444+R394+R344+R294+R244+R194+R144+R94+R39</f>
        <v>0</v>
      </c>
      <c r="S783" s="258">
        <f t="shared" si="352"/>
        <v>0</v>
      </c>
      <c r="T783" s="258">
        <f t="shared" si="352"/>
        <v>0</v>
      </c>
      <c r="U783" s="258">
        <f t="shared" si="352"/>
        <v>0</v>
      </c>
      <c r="V783" s="258">
        <f t="shared" si="352"/>
        <v>0</v>
      </c>
      <c r="W783" s="258">
        <f t="shared" si="352"/>
        <v>0</v>
      </c>
      <c r="X783" s="258">
        <f t="shared" si="352"/>
        <v>0</v>
      </c>
      <c r="Y783" s="258">
        <f t="shared" si="352"/>
        <v>0</v>
      </c>
      <c r="Z783" s="258">
        <f t="shared" si="352"/>
        <v>0</v>
      </c>
      <c r="AA783" s="258">
        <f t="shared" si="352"/>
        <v>0</v>
      </c>
      <c r="AB783" s="258">
        <f t="shared" si="352"/>
        <v>0</v>
      </c>
      <c r="AC783" s="258">
        <f t="shared" si="352"/>
        <v>0</v>
      </c>
      <c r="AD783" s="258">
        <f t="shared" si="352"/>
        <v>0</v>
      </c>
      <c r="AE783" s="258">
        <f t="shared" si="352"/>
        <v>0</v>
      </c>
      <c r="AF783" s="258">
        <f t="shared" si="352"/>
        <v>0</v>
      </c>
      <c r="AG783" s="258">
        <f t="shared" si="352"/>
        <v>0</v>
      </c>
      <c r="AH783" s="259">
        <f t="shared" si="340"/>
        <v>0</v>
      </c>
      <c r="AI783" s="210"/>
      <c r="AJ783" s="210"/>
      <c r="AK783" s="210"/>
      <c r="AL783" s="210"/>
      <c r="AM783" s="210"/>
      <c r="AN783" s="210"/>
      <c r="AO783" s="210"/>
      <c r="AP783" s="210"/>
      <c r="AQ783" s="210"/>
      <c r="AR783" s="210"/>
      <c r="AS783" s="210"/>
      <c r="AT783" s="210"/>
      <c r="AU783" s="210"/>
      <c r="AV783" s="210"/>
      <c r="AW783" s="210"/>
      <c r="AX783" s="210"/>
      <c r="AY783" s="210"/>
    </row>
    <row r="784" spans="16:52" hidden="1">
      <c r="P784" s="207" t="s">
        <v>172</v>
      </c>
      <c r="Q784" s="258">
        <f>+Q758+Q708+Q658+Q608+Q558+Q508+Q448+Q398+Q348+Q298+Q248+Q198+Q148+Q98+Q43</f>
        <v>0</v>
      </c>
      <c r="R784" s="258">
        <f t="shared" ref="R784:AG784" si="353">+R758+R708+R658+R608+R558+R508+R448+R398+R348+R298+R248+R198+R148+R98+R43</f>
        <v>0</v>
      </c>
      <c r="S784" s="258">
        <f t="shared" si="353"/>
        <v>0</v>
      </c>
      <c r="T784" s="258">
        <f t="shared" si="353"/>
        <v>0</v>
      </c>
      <c r="U784" s="258">
        <f t="shared" si="353"/>
        <v>0</v>
      </c>
      <c r="V784" s="258">
        <f t="shared" si="353"/>
        <v>0</v>
      </c>
      <c r="W784" s="258">
        <f t="shared" si="353"/>
        <v>0</v>
      </c>
      <c r="X784" s="258">
        <f t="shared" si="353"/>
        <v>0</v>
      </c>
      <c r="Y784" s="258">
        <f t="shared" si="353"/>
        <v>0</v>
      </c>
      <c r="Z784" s="258">
        <f t="shared" si="353"/>
        <v>0</v>
      </c>
      <c r="AA784" s="258">
        <f t="shared" si="353"/>
        <v>0</v>
      </c>
      <c r="AB784" s="258">
        <f t="shared" si="353"/>
        <v>0</v>
      </c>
      <c r="AC784" s="258">
        <f t="shared" si="353"/>
        <v>0</v>
      </c>
      <c r="AD784" s="258">
        <f t="shared" si="353"/>
        <v>0</v>
      </c>
      <c r="AE784" s="258">
        <f t="shared" si="353"/>
        <v>0</v>
      </c>
      <c r="AF784" s="258">
        <f t="shared" si="353"/>
        <v>0</v>
      </c>
      <c r="AG784" s="258">
        <f t="shared" si="353"/>
        <v>0</v>
      </c>
      <c r="AH784" s="259">
        <f t="shared" si="340"/>
        <v>0</v>
      </c>
      <c r="AI784" s="211"/>
      <c r="AJ784" s="211"/>
      <c r="AK784" s="211"/>
      <c r="AL784" s="211"/>
      <c r="AM784" s="211"/>
      <c r="AN784" s="211"/>
      <c r="AO784" s="211"/>
      <c r="AP784" s="211"/>
      <c r="AQ784" s="211"/>
      <c r="AR784" s="211"/>
      <c r="AS784" s="211"/>
      <c r="AT784" s="211"/>
      <c r="AU784" s="211"/>
      <c r="AV784" s="211"/>
      <c r="AW784" s="211"/>
      <c r="AX784" s="211"/>
      <c r="AY784" s="211"/>
    </row>
    <row r="785" spans="16:51" hidden="1">
      <c r="P785" s="207" t="s">
        <v>173</v>
      </c>
      <c r="Q785" s="258">
        <f>+Q759+Q709+Q659+Q609+Q559+Q509+Q449+Q399+Q349+Q299+Q249+Q199+Q149+Q99+Q44</f>
        <v>0</v>
      </c>
      <c r="R785" s="258">
        <f t="shared" ref="R785:AG785" si="354">+R759+R709+R659+R609+R559+R509+R449+R399+R349+R299+R249+R199+R149+R99+R44</f>
        <v>0</v>
      </c>
      <c r="S785" s="258">
        <f t="shared" si="354"/>
        <v>0</v>
      </c>
      <c r="T785" s="258">
        <f t="shared" si="354"/>
        <v>0</v>
      </c>
      <c r="U785" s="258">
        <f t="shared" si="354"/>
        <v>0</v>
      </c>
      <c r="V785" s="258">
        <f t="shared" si="354"/>
        <v>0</v>
      </c>
      <c r="W785" s="258">
        <f t="shared" si="354"/>
        <v>0</v>
      </c>
      <c r="X785" s="258">
        <f t="shared" si="354"/>
        <v>0</v>
      </c>
      <c r="Y785" s="258">
        <f t="shared" si="354"/>
        <v>0</v>
      </c>
      <c r="Z785" s="258">
        <f t="shared" si="354"/>
        <v>0</v>
      </c>
      <c r="AA785" s="258">
        <f t="shared" si="354"/>
        <v>0</v>
      </c>
      <c r="AB785" s="258">
        <f t="shared" si="354"/>
        <v>0</v>
      </c>
      <c r="AC785" s="258">
        <f t="shared" si="354"/>
        <v>0</v>
      </c>
      <c r="AD785" s="258">
        <f t="shared" si="354"/>
        <v>0</v>
      </c>
      <c r="AE785" s="258">
        <f t="shared" si="354"/>
        <v>0</v>
      </c>
      <c r="AF785" s="258">
        <f t="shared" si="354"/>
        <v>0</v>
      </c>
      <c r="AG785" s="258">
        <f t="shared" si="354"/>
        <v>0</v>
      </c>
      <c r="AH785" s="259">
        <f t="shared" si="340"/>
        <v>0</v>
      </c>
      <c r="AI785" s="219"/>
      <c r="AJ785" s="219"/>
      <c r="AK785" s="219"/>
      <c r="AL785" s="219"/>
      <c r="AM785" s="219"/>
      <c r="AN785" s="219"/>
      <c r="AO785" s="219"/>
      <c r="AP785" s="219"/>
      <c r="AQ785" s="219"/>
      <c r="AR785" s="219"/>
      <c r="AS785" s="219"/>
      <c r="AT785" s="219"/>
      <c r="AU785" s="219"/>
      <c r="AV785" s="219"/>
      <c r="AW785" s="219"/>
      <c r="AX785" s="219"/>
      <c r="AY785" s="219"/>
    </row>
    <row r="786" spans="16:51" hidden="1">
      <c r="P786" s="207" t="s">
        <v>172</v>
      </c>
      <c r="Q786" s="258">
        <f>+Q763+Q713+Q663+Q613+Q563+Q513+Q453+Q403+Q353+Q303+Q253+Q203+Q153+Q103+Q48</f>
        <v>0</v>
      </c>
      <c r="R786" s="258">
        <f t="shared" ref="R786:AG786" si="355">+R763+R713+R663+R613+R563+R513+R453+R403+R353+R303+R253+R203+R153+R103+R48</f>
        <v>0</v>
      </c>
      <c r="S786" s="258">
        <f t="shared" si="355"/>
        <v>0</v>
      </c>
      <c r="T786" s="258">
        <f t="shared" si="355"/>
        <v>0</v>
      </c>
      <c r="U786" s="258">
        <f t="shared" si="355"/>
        <v>0</v>
      </c>
      <c r="V786" s="258">
        <f t="shared" si="355"/>
        <v>0</v>
      </c>
      <c r="W786" s="258">
        <f t="shared" si="355"/>
        <v>0</v>
      </c>
      <c r="X786" s="258">
        <f t="shared" si="355"/>
        <v>0</v>
      </c>
      <c r="Y786" s="258">
        <f t="shared" si="355"/>
        <v>0</v>
      </c>
      <c r="Z786" s="258">
        <f t="shared" si="355"/>
        <v>0</v>
      </c>
      <c r="AA786" s="258">
        <f t="shared" si="355"/>
        <v>0</v>
      </c>
      <c r="AB786" s="258">
        <f t="shared" si="355"/>
        <v>0</v>
      </c>
      <c r="AC786" s="258">
        <f t="shared" si="355"/>
        <v>0</v>
      </c>
      <c r="AD786" s="258">
        <f t="shared" si="355"/>
        <v>0</v>
      </c>
      <c r="AE786" s="258">
        <f t="shared" si="355"/>
        <v>0</v>
      </c>
      <c r="AF786" s="258">
        <f t="shared" si="355"/>
        <v>0</v>
      </c>
      <c r="AG786" s="258">
        <f t="shared" si="355"/>
        <v>0</v>
      </c>
      <c r="AH786" s="259">
        <f t="shared" si="340"/>
        <v>0</v>
      </c>
      <c r="AI786" s="210"/>
      <c r="AJ786" s="210"/>
      <c r="AK786" s="210"/>
      <c r="AL786" s="210"/>
      <c r="AM786" s="210"/>
      <c r="AN786" s="210"/>
      <c r="AO786" s="210"/>
      <c r="AP786" s="210"/>
      <c r="AQ786" s="210"/>
      <c r="AR786" s="210"/>
      <c r="AS786" s="210"/>
      <c r="AT786" s="210"/>
      <c r="AU786" s="210"/>
      <c r="AV786" s="210"/>
      <c r="AW786" s="210"/>
      <c r="AX786" s="210"/>
      <c r="AY786" s="210"/>
    </row>
    <row r="787" spans="16:51" hidden="1">
      <c r="P787" s="207" t="s">
        <v>173</v>
      </c>
      <c r="Q787" s="258">
        <f>+Q764+Q714+Q664+Q614+Q564+Q514+Q454+Q404+Q354+Q304+Q254+Q204+Q154+Q104+Q49</f>
        <v>0</v>
      </c>
      <c r="R787" s="258">
        <f t="shared" ref="R787:AG787" si="356">+R764+R714+R664+R614+R564+R514+R454+R404+R354+R304+R254+R204+R154+R104+R49</f>
        <v>0</v>
      </c>
      <c r="S787" s="258">
        <f t="shared" si="356"/>
        <v>0</v>
      </c>
      <c r="T787" s="258">
        <f t="shared" si="356"/>
        <v>0</v>
      </c>
      <c r="U787" s="258">
        <f t="shared" si="356"/>
        <v>0</v>
      </c>
      <c r="V787" s="258">
        <f t="shared" si="356"/>
        <v>0</v>
      </c>
      <c r="W787" s="258">
        <f t="shared" si="356"/>
        <v>0</v>
      </c>
      <c r="X787" s="258">
        <f t="shared" si="356"/>
        <v>0</v>
      </c>
      <c r="Y787" s="258">
        <f t="shared" si="356"/>
        <v>0</v>
      </c>
      <c r="Z787" s="258">
        <f t="shared" si="356"/>
        <v>0</v>
      </c>
      <c r="AA787" s="258">
        <f t="shared" si="356"/>
        <v>0</v>
      </c>
      <c r="AB787" s="258">
        <f t="shared" si="356"/>
        <v>0</v>
      </c>
      <c r="AC787" s="258">
        <f t="shared" si="356"/>
        <v>0</v>
      </c>
      <c r="AD787" s="258">
        <f t="shared" si="356"/>
        <v>0</v>
      </c>
      <c r="AE787" s="258">
        <f t="shared" si="356"/>
        <v>0</v>
      </c>
      <c r="AF787" s="258">
        <f t="shared" si="356"/>
        <v>0</v>
      </c>
      <c r="AG787" s="258">
        <f t="shared" si="356"/>
        <v>0</v>
      </c>
      <c r="AH787" s="259">
        <f t="shared" si="340"/>
        <v>0</v>
      </c>
      <c r="AI787" s="210"/>
      <c r="AJ787" s="210"/>
      <c r="AK787" s="210"/>
      <c r="AL787" s="210"/>
      <c r="AM787" s="210"/>
      <c r="AN787" s="210"/>
      <c r="AO787" s="210"/>
      <c r="AP787" s="210"/>
      <c r="AQ787" s="210"/>
      <c r="AR787" s="210"/>
      <c r="AS787" s="210"/>
      <c r="AT787" s="210"/>
      <c r="AU787" s="210"/>
      <c r="AV787" s="210"/>
      <c r="AW787" s="210"/>
      <c r="AX787" s="210"/>
      <c r="AY787" s="210"/>
    </row>
    <row r="788" spans="16:51" hidden="1">
      <c r="P788" s="207" t="s">
        <v>172</v>
      </c>
      <c r="Q788" s="258">
        <f>+Q768+Q718+Q668+Q618+Q568+Q518+Q458+Q408+Q358+Q308+Q258+Q208+Q158+Q108+Q53</f>
        <v>0</v>
      </c>
      <c r="R788" s="258">
        <f t="shared" ref="R788:AG788" si="357">+R768+R718+R668+R618+R568+R518+R458+R408+R358+R308+R258+R208+R158+R108+R53</f>
        <v>0</v>
      </c>
      <c r="S788" s="258">
        <f t="shared" si="357"/>
        <v>0</v>
      </c>
      <c r="T788" s="258">
        <f t="shared" si="357"/>
        <v>0</v>
      </c>
      <c r="U788" s="258">
        <f t="shared" si="357"/>
        <v>0</v>
      </c>
      <c r="V788" s="258">
        <f t="shared" si="357"/>
        <v>0</v>
      </c>
      <c r="W788" s="258">
        <f t="shared" si="357"/>
        <v>0</v>
      </c>
      <c r="X788" s="258">
        <f t="shared" si="357"/>
        <v>0</v>
      </c>
      <c r="Y788" s="258">
        <f t="shared" si="357"/>
        <v>0</v>
      </c>
      <c r="Z788" s="258">
        <f t="shared" si="357"/>
        <v>0</v>
      </c>
      <c r="AA788" s="258">
        <f t="shared" si="357"/>
        <v>0</v>
      </c>
      <c r="AB788" s="258">
        <f t="shared" si="357"/>
        <v>0</v>
      </c>
      <c r="AC788" s="258">
        <f t="shared" si="357"/>
        <v>0</v>
      </c>
      <c r="AD788" s="258">
        <f t="shared" si="357"/>
        <v>0</v>
      </c>
      <c r="AE788" s="258">
        <f t="shared" si="357"/>
        <v>0</v>
      </c>
      <c r="AF788" s="258">
        <f t="shared" si="357"/>
        <v>0</v>
      </c>
      <c r="AG788" s="258">
        <f t="shared" si="357"/>
        <v>0</v>
      </c>
      <c r="AH788" s="259">
        <f t="shared" si="340"/>
        <v>0</v>
      </c>
      <c r="AI788" s="211"/>
      <c r="AJ788" s="211"/>
      <c r="AK788" s="211"/>
      <c r="AL788" s="211"/>
      <c r="AM788" s="211"/>
      <c r="AN788" s="211"/>
      <c r="AO788" s="211"/>
      <c r="AP788" s="211"/>
      <c r="AQ788" s="211"/>
      <c r="AR788" s="211"/>
      <c r="AS788" s="211"/>
      <c r="AT788" s="211"/>
      <c r="AU788" s="211"/>
      <c r="AV788" s="211"/>
      <c r="AW788" s="211"/>
      <c r="AX788" s="211"/>
      <c r="AY788" s="211"/>
    </row>
    <row r="789" spans="16:51" hidden="1">
      <c r="P789" s="207" t="s">
        <v>173</v>
      </c>
      <c r="Q789" s="258">
        <f>+Q769+Q719+Q669+Q619+Q569+Q519+Q459+Q409+Q359+Q309+Q259+Q209+Q159+Q109+Q54</f>
        <v>0</v>
      </c>
      <c r="R789" s="258">
        <f t="shared" ref="R789:AF789" si="358">+R769+R719+R669+R619+R569+R519+R459+R409+R359+R309+R259+R209+R159+R109+R54</f>
        <v>0</v>
      </c>
      <c r="S789" s="258">
        <f t="shared" si="358"/>
        <v>0</v>
      </c>
      <c r="T789" s="258">
        <f t="shared" si="358"/>
        <v>0</v>
      </c>
      <c r="U789" s="258">
        <f t="shared" si="358"/>
        <v>0</v>
      </c>
      <c r="V789" s="258">
        <f t="shared" si="358"/>
        <v>0</v>
      </c>
      <c r="W789" s="258">
        <f t="shared" si="358"/>
        <v>0</v>
      </c>
      <c r="X789" s="258">
        <f t="shared" si="358"/>
        <v>0</v>
      </c>
      <c r="Y789" s="258">
        <f t="shared" si="358"/>
        <v>0</v>
      </c>
      <c r="Z789" s="258">
        <f t="shared" si="358"/>
        <v>0</v>
      </c>
      <c r="AA789" s="258">
        <f t="shared" si="358"/>
        <v>0</v>
      </c>
      <c r="AB789" s="258">
        <f>+AB769+AB719+AB669+AB619+AB569+AB519+AB459+AB409+AB359+AB309+AB259+AB209+AB159+AB109+AB54</f>
        <v>0</v>
      </c>
      <c r="AC789" s="258">
        <f t="shared" si="358"/>
        <v>0</v>
      </c>
      <c r="AD789" s="258">
        <f t="shared" si="358"/>
        <v>0</v>
      </c>
      <c r="AE789" s="258">
        <f t="shared" si="358"/>
        <v>0</v>
      </c>
      <c r="AF789" s="258">
        <f t="shared" si="358"/>
        <v>0</v>
      </c>
      <c r="AG789" s="258">
        <f>+AG769+AG719+AG669+AG619+AG569+AG519+AG459+AG409+AG359+AG309+AG259+AG209+AG159+AG109+AG54</f>
        <v>0</v>
      </c>
      <c r="AH789" s="259">
        <f t="shared" si="340"/>
        <v>0</v>
      </c>
      <c r="AI789" s="219"/>
      <c r="AJ789" s="219"/>
      <c r="AK789" s="219"/>
      <c r="AL789" s="219"/>
      <c r="AM789" s="219"/>
      <c r="AN789" s="219"/>
      <c r="AO789" s="219"/>
      <c r="AP789" s="219"/>
      <c r="AQ789" s="219"/>
      <c r="AR789" s="219"/>
      <c r="AS789" s="219"/>
      <c r="AT789" s="219"/>
      <c r="AU789" s="219"/>
      <c r="AV789" s="219"/>
      <c r="AW789" s="219"/>
      <c r="AX789" s="219"/>
      <c r="AY789" s="219"/>
    </row>
    <row r="790" spans="16:51" hidden="1">
      <c r="Q790" s="210"/>
      <c r="R790" s="210"/>
      <c r="S790" s="210"/>
      <c r="T790" s="210"/>
      <c r="U790" s="210"/>
      <c r="V790" s="210"/>
      <c r="W790" s="210"/>
      <c r="X790" s="210"/>
      <c r="Y790" s="210"/>
      <c r="Z790" s="210"/>
      <c r="AA790" s="210"/>
      <c r="AB790" s="210"/>
      <c r="AC790" s="210"/>
      <c r="AD790" s="210"/>
      <c r="AE790" s="210"/>
      <c r="AF790" s="210"/>
      <c r="AG790" s="210"/>
      <c r="AI790" s="210"/>
      <c r="AJ790" s="210"/>
      <c r="AK790" s="210"/>
      <c r="AL790" s="210"/>
      <c r="AM790" s="210"/>
      <c r="AN790" s="210"/>
      <c r="AO790" s="210"/>
      <c r="AP790" s="210"/>
      <c r="AQ790" s="210"/>
      <c r="AR790" s="210"/>
      <c r="AS790" s="210"/>
      <c r="AT790" s="210"/>
      <c r="AU790" s="210"/>
      <c r="AV790" s="210"/>
      <c r="AW790" s="210"/>
      <c r="AX790" s="210"/>
      <c r="AY790" s="210"/>
    </row>
    <row r="791" spans="16:51" hidden="1">
      <c r="Q791" s="210"/>
      <c r="R791" s="210"/>
      <c r="S791" s="210"/>
      <c r="T791" s="210"/>
      <c r="U791" s="210"/>
      <c r="V791" s="210"/>
      <c r="W791" s="210"/>
      <c r="X791" s="210"/>
      <c r="Y791" s="210"/>
      <c r="Z791" s="210"/>
      <c r="AA791" s="210"/>
      <c r="AB791" s="210"/>
      <c r="AC791" s="210"/>
      <c r="AD791" s="210"/>
      <c r="AE791" s="210"/>
      <c r="AF791" s="210"/>
      <c r="AG791" s="210"/>
      <c r="AI791" s="210"/>
      <c r="AJ791" s="210"/>
      <c r="AK791" s="210"/>
      <c r="AL791" s="210"/>
      <c r="AM791" s="210"/>
      <c r="AN791" s="210"/>
      <c r="AO791" s="210"/>
      <c r="AP791" s="210"/>
      <c r="AQ791" s="210"/>
      <c r="AR791" s="210"/>
      <c r="AS791" s="210"/>
      <c r="AT791" s="210"/>
      <c r="AU791" s="210"/>
      <c r="AV791" s="210"/>
      <c r="AW791" s="210"/>
      <c r="AX791" s="210"/>
      <c r="AY791" s="210"/>
    </row>
    <row r="792" spans="16:51" hidden="1">
      <c r="Q792" s="211"/>
      <c r="R792" s="211"/>
      <c r="S792" s="211"/>
      <c r="T792" s="211"/>
      <c r="U792" s="211"/>
      <c r="V792" s="211"/>
      <c r="W792" s="211"/>
      <c r="X792" s="211"/>
      <c r="Y792" s="211"/>
      <c r="Z792" s="211"/>
      <c r="AA792" s="211"/>
      <c r="AB792" s="211"/>
      <c r="AC792" s="211"/>
      <c r="AD792" s="211"/>
      <c r="AE792" s="211"/>
      <c r="AF792" s="211"/>
      <c r="AG792" s="211"/>
      <c r="AI792" s="211"/>
      <c r="AJ792" s="211"/>
      <c r="AK792" s="211"/>
      <c r="AL792" s="211"/>
      <c r="AM792" s="211"/>
      <c r="AN792" s="211"/>
      <c r="AO792" s="211"/>
      <c r="AP792" s="211"/>
      <c r="AQ792" s="211"/>
      <c r="AR792" s="211"/>
      <c r="AS792" s="211"/>
      <c r="AT792" s="211"/>
      <c r="AU792" s="211"/>
      <c r="AV792" s="211"/>
      <c r="AW792" s="211"/>
      <c r="AX792" s="211"/>
      <c r="AY792" s="211"/>
    </row>
    <row r="793" spans="16:51" hidden="1">
      <c r="Q793" s="219"/>
      <c r="R793" s="219"/>
      <c r="S793" s="219"/>
      <c r="T793" s="219"/>
      <c r="U793" s="219"/>
      <c r="V793" s="219"/>
      <c r="W793" s="219"/>
      <c r="X793" s="219"/>
      <c r="Y793" s="219"/>
      <c r="Z793" s="219"/>
      <c r="AA793" s="219"/>
      <c r="AB793" s="219"/>
      <c r="AC793" s="219"/>
      <c r="AD793" s="219"/>
      <c r="AE793" s="219"/>
      <c r="AF793" s="219"/>
      <c r="AG793" s="219"/>
      <c r="AI793" s="219"/>
      <c r="AJ793" s="219"/>
      <c r="AK793" s="219"/>
      <c r="AL793" s="219"/>
      <c r="AM793" s="219"/>
      <c r="AN793" s="219"/>
      <c r="AO793" s="219"/>
      <c r="AP793" s="219"/>
      <c r="AQ793" s="219"/>
      <c r="AR793" s="219"/>
      <c r="AS793" s="219"/>
      <c r="AT793" s="219"/>
      <c r="AU793" s="219"/>
      <c r="AV793" s="219"/>
      <c r="AW793" s="219"/>
      <c r="AX793" s="219"/>
      <c r="AY793" s="219"/>
    </row>
    <row r="794" spans="16:51" hidden="1">
      <c r="Q794" s="210"/>
      <c r="R794" s="210"/>
      <c r="S794" s="210"/>
      <c r="T794" s="210"/>
      <c r="U794" s="210"/>
      <c r="V794" s="210"/>
      <c r="W794" s="210"/>
      <c r="X794" s="210"/>
      <c r="Y794" s="210"/>
      <c r="Z794" s="210"/>
      <c r="AA794" s="210"/>
      <c r="AB794" s="210"/>
      <c r="AC794" s="210"/>
      <c r="AD794" s="210"/>
      <c r="AE794" s="210"/>
      <c r="AF794" s="210"/>
      <c r="AG794" s="210"/>
      <c r="AI794" s="210"/>
      <c r="AJ794" s="210"/>
      <c r="AK794" s="210"/>
      <c r="AL794" s="210"/>
      <c r="AM794" s="210"/>
      <c r="AN794" s="210"/>
      <c r="AO794" s="210"/>
      <c r="AP794" s="210"/>
      <c r="AQ794" s="210"/>
      <c r="AR794" s="210"/>
      <c r="AS794" s="210"/>
      <c r="AT794" s="210"/>
      <c r="AU794" s="210"/>
      <c r="AV794" s="210"/>
      <c r="AW794" s="210"/>
      <c r="AX794" s="210"/>
      <c r="AY794" s="210"/>
    </row>
    <row r="795" spans="16:51" hidden="1">
      <c r="Q795" s="210"/>
      <c r="R795" s="210"/>
      <c r="S795" s="210"/>
      <c r="T795" s="210"/>
      <c r="U795" s="210"/>
      <c r="V795" s="210"/>
      <c r="W795" s="210"/>
      <c r="X795" s="210"/>
      <c r="Y795" s="210"/>
      <c r="Z795" s="210"/>
      <c r="AA795" s="210"/>
      <c r="AB795" s="210"/>
      <c r="AC795" s="210"/>
      <c r="AD795" s="210"/>
      <c r="AE795" s="210"/>
      <c r="AF795" s="210"/>
      <c r="AG795" s="210"/>
      <c r="AI795" s="210"/>
      <c r="AJ795" s="210"/>
      <c r="AK795" s="210"/>
      <c r="AL795" s="210"/>
      <c r="AM795" s="210"/>
      <c r="AN795" s="210"/>
      <c r="AO795" s="210"/>
      <c r="AP795" s="210"/>
      <c r="AQ795" s="210"/>
      <c r="AR795" s="210"/>
      <c r="AS795" s="210"/>
      <c r="AT795" s="210"/>
      <c r="AU795" s="210"/>
      <c r="AV795" s="210"/>
      <c r="AW795" s="210"/>
      <c r="AX795" s="210"/>
      <c r="AY795" s="210"/>
    </row>
    <row r="796" spans="16:51" hidden="1">
      <c r="Q796" s="211"/>
      <c r="R796" s="211"/>
      <c r="S796" s="211"/>
      <c r="T796" s="211"/>
      <c r="U796" s="211"/>
      <c r="V796" s="211"/>
      <c r="W796" s="211"/>
      <c r="X796" s="211"/>
      <c r="Y796" s="211"/>
      <c r="Z796" s="211"/>
      <c r="AA796" s="211"/>
      <c r="AB796" s="211"/>
      <c r="AC796" s="211"/>
      <c r="AD796" s="211"/>
      <c r="AE796" s="211"/>
      <c r="AF796" s="211"/>
      <c r="AG796" s="211"/>
      <c r="AI796" s="211"/>
      <c r="AJ796" s="211"/>
      <c r="AK796" s="211"/>
      <c r="AL796" s="211"/>
      <c r="AM796" s="211"/>
      <c r="AN796" s="211"/>
      <c r="AO796" s="211"/>
      <c r="AP796" s="211"/>
      <c r="AQ796" s="211"/>
      <c r="AR796" s="211"/>
      <c r="AS796" s="211"/>
      <c r="AT796" s="211"/>
      <c r="AU796" s="211"/>
      <c r="AV796" s="211"/>
      <c r="AW796" s="211"/>
      <c r="AX796" s="211"/>
      <c r="AY796" s="211"/>
    </row>
    <row r="797" spans="16:51" hidden="1">
      <c r="Q797" s="219"/>
      <c r="R797" s="219"/>
      <c r="S797" s="219"/>
      <c r="T797" s="219"/>
      <c r="U797" s="219"/>
      <c r="V797" s="219"/>
      <c r="W797" s="219"/>
      <c r="X797" s="219"/>
      <c r="Y797" s="219"/>
      <c r="Z797" s="219"/>
      <c r="AA797" s="219"/>
      <c r="AB797" s="219"/>
      <c r="AC797" s="219"/>
      <c r="AD797" s="219"/>
      <c r="AE797" s="219"/>
      <c r="AF797" s="219"/>
      <c r="AG797" s="219"/>
      <c r="AI797" s="219"/>
      <c r="AJ797" s="219"/>
      <c r="AK797" s="219"/>
      <c r="AL797" s="219"/>
      <c r="AM797" s="219"/>
      <c r="AN797" s="219"/>
      <c r="AO797" s="219"/>
      <c r="AP797" s="219"/>
      <c r="AQ797" s="219"/>
      <c r="AR797" s="219"/>
      <c r="AS797" s="219"/>
      <c r="AT797" s="219"/>
      <c r="AU797" s="219"/>
      <c r="AV797" s="219"/>
      <c r="AW797" s="219"/>
      <c r="AX797" s="219"/>
      <c r="AY797" s="219"/>
    </row>
    <row r="798" spans="16:51" hidden="1">
      <c r="Q798" s="210"/>
      <c r="R798" s="210"/>
      <c r="S798" s="210"/>
      <c r="T798" s="210"/>
      <c r="U798" s="210"/>
      <c r="V798" s="210"/>
      <c r="W798" s="210"/>
      <c r="X798" s="210"/>
      <c r="Y798" s="210"/>
      <c r="Z798" s="210"/>
      <c r="AA798" s="210"/>
      <c r="AB798" s="210"/>
      <c r="AC798" s="210"/>
      <c r="AD798" s="210"/>
      <c r="AE798" s="210"/>
      <c r="AF798" s="210"/>
      <c r="AG798" s="210"/>
      <c r="AI798" s="230"/>
      <c r="AJ798" s="230"/>
      <c r="AK798" s="230"/>
      <c r="AL798" s="230"/>
      <c r="AM798" s="230"/>
      <c r="AN798" s="230"/>
      <c r="AO798" s="230"/>
      <c r="AP798" s="230"/>
      <c r="AQ798" s="230"/>
      <c r="AR798" s="230"/>
      <c r="AS798" s="230"/>
      <c r="AT798" s="230"/>
      <c r="AU798" s="230"/>
      <c r="AV798" s="230"/>
      <c r="AW798" s="230"/>
      <c r="AX798" s="230"/>
      <c r="AY798" s="230"/>
    </row>
    <row r="799" spans="16:51" hidden="1">
      <c r="Q799" s="210"/>
      <c r="R799" s="210"/>
      <c r="S799" s="210"/>
      <c r="T799" s="210"/>
      <c r="U799" s="210"/>
      <c r="V799" s="210"/>
      <c r="W799" s="210"/>
      <c r="X799" s="210"/>
      <c r="Y799" s="210"/>
      <c r="Z799" s="210"/>
      <c r="AA799" s="210"/>
      <c r="AB799" s="210"/>
      <c r="AC799" s="210"/>
      <c r="AD799" s="210"/>
      <c r="AE799" s="210"/>
      <c r="AF799" s="210"/>
      <c r="AG799" s="210"/>
      <c r="AI799" s="230"/>
      <c r="AJ799" s="230"/>
      <c r="AK799" s="230"/>
      <c r="AL799" s="230"/>
      <c r="AM799" s="230"/>
      <c r="AN799" s="230"/>
      <c r="AO799" s="230"/>
      <c r="AP799" s="230"/>
      <c r="AQ799" s="230"/>
      <c r="AR799" s="230"/>
      <c r="AS799" s="230"/>
      <c r="AT799" s="230"/>
      <c r="AU799" s="230"/>
      <c r="AV799" s="230"/>
      <c r="AW799" s="230"/>
      <c r="AX799" s="230"/>
      <c r="AY799" s="230"/>
    </row>
    <row r="800" spans="16:51" hidden="1">
      <c r="Q800" s="211"/>
      <c r="R800" s="211"/>
      <c r="S800" s="211"/>
      <c r="T800" s="211"/>
      <c r="U800" s="211"/>
      <c r="V800" s="211"/>
      <c r="W800" s="211"/>
      <c r="X800" s="211"/>
      <c r="Y800" s="211"/>
      <c r="Z800" s="211"/>
      <c r="AA800" s="211"/>
      <c r="AB800" s="211"/>
      <c r="AC800" s="211"/>
      <c r="AD800" s="211"/>
      <c r="AE800" s="211"/>
      <c r="AF800" s="211"/>
      <c r="AG800" s="211"/>
      <c r="AI800" s="232"/>
      <c r="AJ800" s="232"/>
      <c r="AK800" s="232"/>
      <c r="AL800" s="232"/>
      <c r="AM800" s="232"/>
      <c r="AN800" s="232"/>
      <c r="AO800" s="232"/>
      <c r="AP800" s="232"/>
      <c r="AQ800" s="232"/>
      <c r="AR800" s="232"/>
      <c r="AS800" s="232"/>
      <c r="AT800" s="232"/>
      <c r="AU800" s="232"/>
      <c r="AV800" s="232"/>
      <c r="AW800" s="232"/>
      <c r="AX800" s="232"/>
      <c r="AY800" s="232"/>
    </row>
    <row r="801" spans="17:51" hidden="1">
      <c r="Q801" s="219"/>
      <c r="R801" s="219"/>
      <c r="S801" s="219"/>
      <c r="T801" s="219"/>
      <c r="U801" s="219"/>
      <c r="V801" s="219"/>
      <c r="W801" s="219"/>
      <c r="X801" s="219"/>
      <c r="Y801" s="219"/>
      <c r="Z801" s="219"/>
      <c r="AA801" s="219"/>
      <c r="AB801" s="219"/>
      <c r="AC801" s="219"/>
      <c r="AD801" s="219"/>
      <c r="AE801" s="219"/>
      <c r="AF801" s="219"/>
      <c r="AG801" s="219"/>
      <c r="AI801" s="219"/>
      <c r="AJ801" s="219"/>
      <c r="AK801" s="219"/>
      <c r="AL801" s="219"/>
      <c r="AM801" s="219"/>
      <c r="AN801" s="219"/>
      <c r="AO801" s="219"/>
      <c r="AP801" s="219"/>
      <c r="AQ801" s="219"/>
      <c r="AR801" s="219"/>
      <c r="AS801" s="219"/>
      <c r="AT801" s="219"/>
      <c r="AU801" s="219"/>
      <c r="AV801" s="219"/>
      <c r="AW801" s="219"/>
      <c r="AX801" s="219"/>
      <c r="AY801" s="219"/>
    </row>
    <row r="802" spans="17:51" hidden="1">
      <c r="Q802" s="210"/>
      <c r="R802" s="210"/>
      <c r="S802" s="210"/>
      <c r="T802" s="210"/>
      <c r="U802" s="210"/>
      <c r="V802" s="210"/>
      <c r="W802" s="210"/>
      <c r="X802" s="210"/>
      <c r="Y802" s="210"/>
      <c r="Z802" s="210"/>
      <c r="AA802" s="210"/>
      <c r="AB802" s="210"/>
      <c r="AC802" s="210"/>
      <c r="AD802" s="210"/>
      <c r="AE802" s="210"/>
      <c r="AF802" s="210"/>
      <c r="AG802" s="210"/>
      <c r="AI802" s="210"/>
      <c r="AJ802" s="210"/>
      <c r="AK802" s="210"/>
      <c r="AL802" s="210"/>
      <c r="AM802" s="210"/>
      <c r="AN802" s="210"/>
      <c r="AO802" s="210"/>
      <c r="AP802" s="210"/>
      <c r="AQ802" s="210"/>
      <c r="AR802" s="210"/>
      <c r="AS802" s="210"/>
      <c r="AT802" s="210"/>
      <c r="AU802" s="210"/>
      <c r="AV802" s="210"/>
      <c r="AW802" s="210"/>
      <c r="AX802" s="210"/>
      <c r="AY802" s="210"/>
    </row>
    <row r="803" spans="17:51" hidden="1">
      <c r="Q803" s="210"/>
      <c r="R803" s="210"/>
      <c r="S803" s="210"/>
      <c r="T803" s="210"/>
      <c r="U803" s="210"/>
      <c r="V803" s="210"/>
      <c r="W803" s="210"/>
      <c r="X803" s="210"/>
      <c r="Y803" s="210"/>
      <c r="Z803" s="210"/>
      <c r="AA803" s="210"/>
      <c r="AB803" s="210"/>
      <c r="AC803" s="210"/>
      <c r="AD803" s="210"/>
      <c r="AE803" s="210"/>
      <c r="AF803" s="210"/>
      <c r="AG803" s="210"/>
      <c r="AI803" s="210"/>
      <c r="AJ803" s="210"/>
      <c r="AK803" s="210"/>
      <c r="AL803" s="210"/>
      <c r="AM803" s="210"/>
      <c r="AN803" s="210"/>
      <c r="AO803" s="210"/>
      <c r="AP803" s="210"/>
      <c r="AQ803" s="210"/>
      <c r="AR803" s="210"/>
      <c r="AS803" s="210"/>
      <c r="AT803" s="210"/>
      <c r="AU803" s="210"/>
      <c r="AV803" s="210"/>
      <c r="AW803" s="210"/>
      <c r="AX803" s="210"/>
      <c r="AY803" s="210"/>
    </row>
    <row r="804" spans="17:51" hidden="1">
      <c r="Q804" s="211"/>
      <c r="R804" s="211"/>
      <c r="S804" s="211"/>
      <c r="T804" s="211"/>
      <c r="U804" s="211"/>
      <c r="V804" s="211"/>
      <c r="W804" s="211"/>
      <c r="X804" s="211"/>
      <c r="Y804" s="211"/>
      <c r="Z804" s="211"/>
      <c r="AA804" s="211"/>
      <c r="AB804" s="211"/>
      <c r="AC804" s="211"/>
      <c r="AD804" s="211"/>
      <c r="AE804" s="211"/>
      <c r="AF804" s="211"/>
      <c r="AG804" s="211"/>
      <c r="AI804" s="211"/>
      <c r="AJ804" s="211"/>
      <c r="AK804" s="211"/>
      <c r="AL804" s="211"/>
      <c r="AM804" s="211"/>
      <c r="AN804" s="211"/>
      <c r="AO804" s="211"/>
      <c r="AP804" s="211"/>
      <c r="AQ804" s="211"/>
      <c r="AR804" s="211"/>
      <c r="AS804" s="211"/>
      <c r="AT804" s="211"/>
      <c r="AU804" s="211"/>
      <c r="AV804" s="211"/>
      <c r="AW804" s="211"/>
      <c r="AX804" s="211"/>
      <c r="AY804" s="211"/>
    </row>
    <row r="805" spans="17:51" hidden="1">
      <c r="Q805" s="219"/>
      <c r="R805" s="219"/>
      <c r="S805" s="219"/>
      <c r="T805" s="219"/>
      <c r="U805" s="219"/>
      <c r="V805" s="219"/>
      <c r="W805" s="219"/>
      <c r="X805" s="219"/>
      <c r="Y805" s="219"/>
      <c r="Z805" s="219"/>
      <c r="AA805" s="219"/>
      <c r="AB805" s="219"/>
      <c r="AC805" s="219"/>
      <c r="AD805" s="219"/>
      <c r="AE805" s="219"/>
      <c r="AF805" s="219"/>
      <c r="AG805" s="219"/>
      <c r="AI805" s="219"/>
      <c r="AJ805" s="219"/>
      <c r="AK805" s="219"/>
      <c r="AL805" s="219"/>
      <c r="AM805" s="219"/>
      <c r="AN805" s="219"/>
      <c r="AO805" s="219"/>
      <c r="AP805" s="219"/>
      <c r="AQ805" s="219"/>
      <c r="AR805" s="219"/>
      <c r="AS805" s="219"/>
      <c r="AT805" s="219"/>
      <c r="AU805" s="219"/>
      <c r="AV805" s="219"/>
      <c r="AW805" s="219"/>
      <c r="AX805" s="219"/>
      <c r="AY805" s="219"/>
    </row>
    <row r="806" spans="17:51" hidden="1">
      <c r="Q806" s="210"/>
      <c r="R806" s="210"/>
      <c r="S806" s="210"/>
      <c r="T806" s="210"/>
      <c r="U806" s="210"/>
      <c r="V806" s="210"/>
      <c r="W806" s="210"/>
      <c r="X806" s="210"/>
      <c r="Y806" s="210"/>
      <c r="Z806" s="210"/>
      <c r="AA806" s="210"/>
      <c r="AB806" s="210"/>
      <c r="AC806" s="210"/>
      <c r="AD806" s="210"/>
      <c r="AE806" s="210"/>
      <c r="AF806" s="210"/>
      <c r="AG806" s="210"/>
      <c r="AI806" s="210"/>
      <c r="AJ806" s="210"/>
      <c r="AK806" s="210"/>
      <c r="AL806" s="210"/>
      <c r="AM806" s="210"/>
      <c r="AN806" s="210"/>
      <c r="AO806" s="210"/>
      <c r="AP806" s="210"/>
      <c r="AQ806" s="210"/>
      <c r="AR806" s="210"/>
      <c r="AS806" s="210"/>
      <c r="AT806" s="210"/>
      <c r="AU806" s="210"/>
      <c r="AV806" s="210"/>
      <c r="AW806" s="210"/>
      <c r="AX806" s="210"/>
      <c r="AY806" s="210"/>
    </row>
    <row r="807" spans="17:51" hidden="1">
      <c r="Q807" s="210"/>
      <c r="R807" s="210"/>
      <c r="S807" s="210"/>
      <c r="T807" s="210"/>
      <c r="U807" s="210"/>
      <c r="V807" s="210"/>
      <c r="W807" s="210"/>
      <c r="X807" s="210"/>
      <c r="Y807" s="210"/>
      <c r="Z807" s="210"/>
      <c r="AA807" s="210"/>
      <c r="AB807" s="210"/>
      <c r="AC807" s="210"/>
      <c r="AD807" s="210"/>
      <c r="AE807" s="210"/>
      <c r="AF807" s="210"/>
      <c r="AG807" s="210"/>
      <c r="AI807" s="210"/>
      <c r="AJ807" s="210"/>
      <c r="AK807" s="210"/>
      <c r="AL807" s="210"/>
      <c r="AM807" s="210"/>
      <c r="AN807" s="210"/>
      <c r="AO807" s="210"/>
      <c r="AP807" s="210"/>
      <c r="AQ807" s="210"/>
      <c r="AR807" s="210"/>
      <c r="AS807" s="210"/>
      <c r="AT807" s="210"/>
      <c r="AU807" s="210"/>
      <c r="AV807" s="210"/>
      <c r="AW807" s="210"/>
      <c r="AX807" s="210"/>
      <c r="AY807" s="210"/>
    </row>
    <row r="808" spans="17:51" hidden="1">
      <c r="Q808" s="211"/>
      <c r="R808" s="211"/>
      <c r="S808" s="211"/>
      <c r="T808" s="211"/>
      <c r="U808" s="211"/>
      <c r="V808" s="211"/>
      <c r="W808" s="211"/>
      <c r="X808" s="211"/>
      <c r="Y808" s="211"/>
      <c r="Z808" s="211"/>
      <c r="AA808" s="211"/>
      <c r="AB808" s="211"/>
      <c r="AC808" s="211"/>
      <c r="AD808" s="211"/>
      <c r="AE808" s="211"/>
      <c r="AF808" s="211"/>
      <c r="AG808" s="211"/>
      <c r="AI808" s="211"/>
      <c r="AJ808" s="211"/>
      <c r="AK808" s="211"/>
      <c r="AL808" s="211"/>
      <c r="AM808" s="211"/>
      <c r="AN808" s="211"/>
      <c r="AO808" s="211"/>
      <c r="AP808" s="211"/>
      <c r="AQ808" s="211"/>
      <c r="AR808" s="211"/>
      <c r="AS808" s="211"/>
      <c r="AT808" s="211"/>
      <c r="AU808" s="211"/>
      <c r="AV808" s="211"/>
      <c r="AW808" s="211"/>
      <c r="AX808" s="211"/>
      <c r="AY808" s="211"/>
    </row>
    <row r="809" spans="17:51" hidden="1">
      <c r="Q809" s="219"/>
      <c r="R809" s="219"/>
      <c r="S809" s="219"/>
      <c r="T809" s="219"/>
      <c r="U809" s="219"/>
      <c r="V809" s="219"/>
      <c r="W809" s="219"/>
      <c r="X809" s="219"/>
      <c r="Y809" s="219"/>
      <c r="Z809" s="219"/>
      <c r="AA809" s="219"/>
      <c r="AB809" s="219"/>
      <c r="AC809" s="219"/>
      <c r="AD809" s="219"/>
      <c r="AE809" s="219"/>
      <c r="AF809" s="219"/>
      <c r="AG809" s="219"/>
      <c r="AI809" s="219"/>
      <c r="AJ809" s="219"/>
      <c r="AK809" s="219"/>
      <c r="AL809" s="219"/>
      <c r="AM809" s="219"/>
      <c r="AN809" s="219"/>
      <c r="AO809" s="219"/>
      <c r="AP809" s="219"/>
      <c r="AQ809" s="219"/>
      <c r="AR809" s="219"/>
      <c r="AS809" s="219"/>
      <c r="AT809" s="219"/>
      <c r="AU809" s="219"/>
      <c r="AV809" s="219"/>
      <c r="AW809" s="219"/>
      <c r="AX809" s="219"/>
      <c r="AY809" s="219"/>
    </row>
  </sheetData>
  <sheetProtection algorithmName="SHA-512" hashValue="cjr6BYds/nv2vk0CALlSZu4+Bhob2QWrhviu95NN6hWiN5pYAA8ZR5qEiWiV7bkgNAuQ9qDjcWScV0doIz235A==" saltValue="0zlvcbQmZoSVunJV9Fe0AQ==" spinCount="100000" sheet="1" objects="1" scenarios="1"/>
  <mergeCells count="16">
    <mergeCell ref="B92:L92"/>
    <mergeCell ref="B7:L7"/>
    <mergeCell ref="B24:L24"/>
    <mergeCell ref="B41:L41"/>
    <mergeCell ref="B58:L58"/>
    <mergeCell ref="B75:L75"/>
    <mergeCell ref="B211:L211"/>
    <mergeCell ref="B228:L228"/>
    <mergeCell ref="B245:L245"/>
    <mergeCell ref="B262:L262"/>
    <mergeCell ref="B109:L109"/>
    <mergeCell ref="B126:L126"/>
    <mergeCell ref="B143:L143"/>
    <mergeCell ref="B160:L160"/>
    <mergeCell ref="B177:L177"/>
    <mergeCell ref="B194:L19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AQ163"/>
  <sheetViews>
    <sheetView zoomScale="70" zoomScaleNormal="70" workbookViewId="0">
      <pane xSplit="1" topLeftCell="B1" activePane="topRight" state="frozen"/>
      <selection activeCell="A7" sqref="A7"/>
      <selection pane="topRight" activeCell="D8" sqref="D8"/>
    </sheetView>
  </sheetViews>
  <sheetFormatPr baseColWidth="10" defaultColWidth="0" defaultRowHeight="12.75" customHeight="1" zeroHeight="1"/>
  <cols>
    <col min="1" max="1" width="28.6640625" style="217" customWidth="1"/>
    <col min="2" max="21" width="14.83203125" style="217" customWidth="1"/>
    <col min="22" max="22" width="16.83203125" style="217" customWidth="1"/>
    <col min="23" max="23" width="5.5" style="217" customWidth="1"/>
    <col min="24" max="24" width="17.5" style="260" hidden="1" customWidth="1"/>
    <col min="25" max="41" width="13" style="260" hidden="1" customWidth="1"/>
    <col min="42" max="42" width="11.33203125" style="260" hidden="1" customWidth="1"/>
    <col min="43" max="16384" width="9.1640625" style="260" hidden="1"/>
  </cols>
  <sheetData>
    <row r="1" spans="1:43" ht="15">
      <c r="W1" s="2" t="str">
        <f>+INSTRUCTIONS!$O$1</f>
        <v>FY22-10year-10/26/2021</v>
      </c>
    </row>
    <row r="2" spans="1:43" ht="15">
      <c r="AP2" s="261"/>
    </row>
    <row r="3" spans="1:43" ht="15">
      <c r="AP3" s="261"/>
    </row>
    <row r="4" spans="1:43" ht="15">
      <c r="AP4" s="261"/>
    </row>
    <row r="5" spans="1:43" ht="15">
      <c r="Y5" s="261"/>
      <c r="Z5" s="261"/>
      <c r="AA5" s="261"/>
      <c r="AB5" s="261"/>
      <c r="AC5" s="261"/>
      <c r="AD5" s="261"/>
      <c r="AE5" s="261"/>
      <c r="AF5" s="261"/>
      <c r="AG5" s="261"/>
      <c r="AH5" s="261"/>
      <c r="AI5" s="261"/>
      <c r="AJ5" s="261"/>
      <c r="AK5" s="261"/>
      <c r="AL5" s="261"/>
      <c r="AM5" s="261"/>
      <c r="AN5" s="261"/>
      <c r="AO5" s="261"/>
      <c r="AP5" s="261"/>
    </row>
    <row r="6" spans="1:43" ht="15">
      <c r="A6" s="530" t="str">
        <f>"PI: "&amp;+'1. SUMMARY'!$C$13</f>
        <v xml:space="preserve">PI: </v>
      </c>
      <c r="Y6" s="263">
        <f>+Sheet1!$T$8</f>
        <v>44105</v>
      </c>
      <c r="Z6" s="263">
        <f>+Sheet1!$U$8</f>
        <v>44470</v>
      </c>
      <c r="AA6" s="263">
        <f>+Sheet1!$V$8</f>
        <v>44835</v>
      </c>
      <c r="AB6" s="263">
        <f>+Sheet1!$W$8</f>
        <v>45200</v>
      </c>
      <c r="AC6" s="263">
        <f>+Sheet1!$X$8</f>
        <v>45566</v>
      </c>
      <c r="AD6" s="263">
        <f>+Sheet1!$Y$8</f>
        <v>45931</v>
      </c>
      <c r="AE6" s="263">
        <f>+Sheet1!$Z$8</f>
        <v>46296</v>
      </c>
      <c r="AF6" s="263">
        <f>+Sheet1!AA$8</f>
        <v>46661</v>
      </c>
      <c r="AG6" s="263">
        <f>+Sheet1!AB$8</f>
        <v>47027</v>
      </c>
      <c r="AH6" s="263">
        <f>+Sheet1!AC$8</f>
        <v>47392</v>
      </c>
      <c r="AI6" s="263">
        <f>+Sheet1!AD$8</f>
        <v>47757</v>
      </c>
      <c r="AJ6" s="263">
        <f>+Sheet1!AE$8</f>
        <v>48122</v>
      </c>
      <c r="AK6" s="263">
        <f>+Sheet1!AF$8</f>
        <v>48488</v>
      </c>
      <c r="AL6" s="263">
        <f>+Sheet1!AG$8</f>
        <v>48853</v>
      </c>
      <c r="AM6" s="263">
        <f>+Sheet1!AH$8</f>
        <v>49218</v>
      </c>
      <c r="AN6" s="263">
        <f>+Sheet1!AI$8</f>
        <v>49583</v>
      </c>
      <c r="AO6" s="263">
        <f>+Sheet1!AJ$8</f>
        <v>49949</v>
      </c>
      <c r="AP6" s="261"/>
    </row>
    <row r="7" spans="1:43" ht="15">
      <c r="A7" s="262" t="str">
        <f>"Sponsor: "&amp;'1. SUMMARY'!C19</f>
        <v xml:space="preserve">Sponsor: </v>
      </c>
      <c r="X7" s="260">
        <v>1</v>
      </c>
      <c r="Y7" s="263">
        <f>+Sheet1!$T$9</f>
        <v>44469</v>
      </c>
      <c r="Z7" s="263">
        <f>+Sheet1!$U$9</f>
        <v>44834</v>
      </c>
      <c r="AA7" s="263">
        <f>+Sheet1!$V$9</f>
        <v>45199</v>
      </c>
      <c r="AB7" s="263">
        <f>+Sheet1!$W$9</f>
        <v>45565</v>
      </c>
      <c r="AC7" s="263">
        <f>+Sheet1!$X$9</f>
        <v>45930</v>
      </c>
      <c r="AD7" s="263">
        <f>+Sheet1!$Y$9</f>
        <v>46295</v>
      </c>
      <c r="AE7" s="263">
        <f>+Sheet1!$Z$9</f>
        <v>46660</v>
      </c>
      <c r="AF7" s="263">
        <f>+Sheet1!AA$9</f>
        <v>47026</v>
      </c>
      <c r="AG7" s="263">
        <f>+Sheet1!AB$9</f>
        <v>47391</v>
      </c>
      <c r="AH7" s="263">
        <f>+Sheet1!AC$9</f>
        <v>47756</v>
      </c>
      <c r="AI7" s="263">
        <f>+Sheet1!AD$9</f>
        <v>48121</v>
      </c>
      <c r="AJ7" s="263">
        <f>+Sheet1!AE$9</f>
        <v>48487</v>
      </c>
      <c r="AK7" s="263">
        <f>+Sheet1!AF$9</f>
        <v>48852</v>
      </c>
      <c r="AL7" s="263">
        <f>+Sheet1!AG$9</f>
        <v>49217</v>
      </c>
      <c r="AM7" s="263">
        <f>+Sheet1!AH$9</f>
        <v>49582</v>
      </c>
      <c r="AN7" s="263">
        <f>+Sheet1!AI$9</f>
        <v>49948</v>
      </c>
      <c r="AO7" s="263">
        <f>+Sheet1!AJ$9</f>
        <v>50313</v>
      </c>
      <c r="AP7" s="261"/>
      <c r="AQ7" s="260">
        <v>1</v>
      </c>
    </row>
    <row r="8" spans="1:43" ht="15">
      <c r="A8" s="262" t="str">
        <f>"Title: "&amp;'1. SUMMARY'!C16</f>
        <v xml:space="preserve">Title: </v>
      </c>
      <c r="Y8" s="261">
        <f>'4. SUBAWARDS'!Q7</f>
        <v>1461</v>
      </c>
      <c r="Z8" s="261">
        <f>'4. SUBAWARDS'!R7</f>
        <v>0</v>
      </c>
      <c r="AA8" s="261">
        <f>'4. SUBAWARDS'!S7</f>
        <v>0</v>
      </c>
      <c r="AB8" s="261">
        <f>'4. SUBAWARDS'!T7</f>
        <v>0</v>
      </c>
      <c r="AC8" s="261">
        <f>'4. SUBAWARDS'!U7</f>
        <v>0</v>
      </c>
      <c r="AD8" s="261">
        <f>'4. SUBAWARDS'!V7</f>
        <v>0</v>
      </c>
      <c r="AE8" s="261">
        <f>'4. SUBAWARDS'!W7</f>
        <v>0</v>
      </c>
      <c r="AF8" s="261">
        <f>'4. SUBAWARDS'!X7</f>
        <v>0</v>
      </c>
      <c r="AG8" s="261">
        <f>'4. SUBAWARDS'!Y7</f>
        <v>0</v>
      </c>
      <c r="AH8" s="261">
        <f>'4. SUBAWARDS'!Z7</f>
        <v>0</v>
      </c>
      <c r="AI8" s="261">
        <f>'4. SUBAWARDS'!AA7</f>
        <v>0</v>
      </c>
      <c r="AJ8" s="261">
        <f>'4. SUBAWARDS'!AB7</f>
        <v>0</v>
      </c>
      <c r="AK8" s="261">
        <f>'4. SUBAWARDS'!AC7</f>
        <v>0</v>
      </c>
      <c r="AL8" s="261">
        <f>'4. SUBAWARDS'!AD7</f>
        <v>0</v>
      </c>
      <c r="AM8" s="261">
        <f>'4. SUBAWARDS'!AE7</f>
        <v>0</v>
      </c>
      <c r="AN8" s="261">
        <f>'4. SUBAWARDS'!AF7</f>
        <v>0</v>
      </c>
      <c r="AO8" s="261">
        <f>'4. SUBAWARDS'!AG7</f>
        <v>0</v>
      </c>
      <c r="AP8" s="266">
        <f>SUM(Y8:AO8)</f>
        <v>1461</v>
      </c>
    </row>
    <row r="9" spans="1:43" ht="15">
      <c r="A9" s="262"/>
      <c r="Y9" s="264"/>
      <c r="Z9" s="264"/>
      <c r="AA9" s="264"/>
      <c r="AB9" s="264"/>
      <c r="AC9" s="264"/>
      <c r="AD9" s="264"/>
      <c r="AE9" s="264"/>
      <c r="AF9" s="264"/>
      <c r="AG9" s="264"/>
      <c r="AH9" s="264"/>
      <c r="AI9" s="264"/>
      <c r="AJ9" s="264"/>
      <c r="AK9" s="264"/>
      <c r="AL9" s="264"/>
      <c r="AM9" s="264"/>
      <c r="AN9" s="264"/>
      <c r="AO9" s="264"/>
      <c r="AP9" s="264"/>
    </row>
    <row r="10" spans="1:43" ht="16" thickBot="1">
      <c r="B10" s="583" t="s">
        <v>81</v>
      </c>
      <c r="C10" s="584"/>
      <c r="D10" s="585" t="s">
        <v>82</v>
      </c>
      <c r="E10" s="584"/>
      <c r="F10" s="585" t="s">
        <v>83</v>
      </c>
      <c r="G10" s="584"/>
      <c r="H10" s="585" t="s">
        <v>84</v>
      </c>
      <c r="I10" s="584"/>
      <c r="J10" s="585" t="s">
        <v>85</v>
      </c>
      <c r="K10" s="584"/>
      <c r="L10" s="585" t="s">
        <v>86</v>
      </c>
      <c r="M10" s="584"/>
      <c r="N10" s="585" t="s">
        <v>87</v>
      </c>
      <c r="O10" s="584"/>
      <c r="P10" s="585" t="s">
        <v>224</v>
      </c>
      <c r="Q10" s="584"/>
      <c r="R10" s="585" t="s">
        <v>225</v>
      </c>
      <c r="S10" s="584"/>
      <c r="T10" s="585" t="s">
        <v>226</v>
      </c>
      <c r="U10" s="584"/>
      <c r="V10" s="80" t="s">
        <v>47</v>
      </c>
      <c r="Y10" s="265">
        <f>IF($Y$8=0,0,(($B$43/$AP$8)*Y8)*VLOOKUP('1. SUMMARY'!$C$20,rate,+Sheet1!T21,0))</f>
        <v>0</v>
      </c>
      <c r="Z10" s="265">
        <f>IF($Z$8=0,0,(($B$43/$AP$8)*Z8)*VLOOKUP('1. SUMMARY'!$C$20,rate,+Sheet1!U21,0))</f>
        <v>0</v>
      </c>
      <c r="AA10" s="265">
        <f>IF($AA$8=0,0,(($B$43/$AP$8)*AA8)*VLOOKUP('1. SUMMARY'!$C$20,rate,+Sheet1!V21,0))</f>
        <v>0</v>
      </c>
      <c r="AB10" s="265">
        <f>IF(AB8=0,0,(($B$43/$AP$8)*AB8)*VLOOKUP('1. SUMMARY'!$C$20,rate,+Sheet1!W21,0))</f>
        <v>0</v>
      </c>
      <c r="AC10" s="265">
        <f>IF(AC8=0,0,(($B$43/$AP$8)*AC8)*VLOOKUP('1. SUMMARY'!$C$20,rate,+Sheet1!X21,0))</f>
        <v>0</v>
      </c>
      <c r="AD10" s="265">
        <f>IF(AD8=0,0,(($B$43/$AP$8)*AD8)*VLOOKUP('1. SUMMARY'!$C$20,rate,+Sheet1!Y21,0))</f>
        <v>0</v>
      </c>
      <c r="AE10" s="265">
        <f>IF(AE8=0,0,(($B$43/$AP$8)*AE8)*VLOOKUP('1. SUMMARY'!$C$20,rate,+Sheet1!Z21,0))</f>
        <v>0</v>
      </c>
      <c r="AF10" s="265">
        <f>IF(AF8=0,0,(($B$43/$AP$8)*AF8)*VLOOKUP('1. SUMMARY'!$C$20,rate,+Sheet1!AA21,0))</f>
        <v>0</v>
      </c>
      <c r="AG10" s="265">
        <f>IF(AG8=0,0,(($B$43/$AP$8)*AG8)*VLOOKUP('1. SUMMARY'!$C$20,rate,+Sheet1!AB21,0))</f>
        <v>0</v>
      </c>
      <c r="AH10" s="265">
        <f>IF(AH8=0,0,(($B$43/$AP$8)*AH8)*VLOOKUP('1. SUMMARY'!$C$20,rate,+Sheet1!AC21,0))</f>
        <v>0</v>
      </c>
      <c r="AI10" s="265">
        <f>IF(AI8=0,0,(($B$43/$AP$8)*AI8)*VLOOKUP('1. SUMMARY'!$C$20,rate,+Sheet1!AD21,0))</f>
        <v>0</v>
      </c>
      <c r="AJ10" s="265">
        <f>IF(AJ8=0,0,(($B$43/$AP$8)*AJ8)*VLOOKUP('1. SUMMARY'!$C$20,rate,+Sheet1!AE21,0))</f>
        <v>0</v>
      </c>
      <c r="AK10" s="265">
        <f>IF(AK8=0,0,(($B$43/$AP$8)*AK8)*VLOOKUP('1. SUMMARY'!$C$20,rate,+Sheet1!AF21,0))</f>
        <v>0</v>
      </c>
      <c r="AL10" s="265">
        <f>IF(AL8=0,0,(($B$43/$AP$8)*AL8)*VLOOKUP('1. SUMMARY'!$C$20,rate,+Sheet1!AG21,0))</f>
        <v>0</v>
      </c>
      <c r="AM10" s="265">
        <f>IF(AM8=0,0,(($B$43/$AP$8)*AM8)*VLOOKUP('1. SUMMARY'!$C$20,rate,+Sheet1!AH21,0))</f>
        <v>0</v>
      </c>
      <c r="AN10" s="265">
        <f>IF(AN8=0,0,(($B$43/$AP$8)*AN8)*VLOOKUP('1. SUMMARY'!$C$20,rate,+Sheet1!AI21,0))</f>
        <v>0</v>
      </c>
      <c r="AO10" s="265">
        <f>IF(AO8=0,0,(($B$43/$AP$8)*AO8)*VLOOKUP('1. SUMMARY'!$C$20,rate,+Sheet1!AJ21,0))</f>
        <v>0</v>
      </c>
      <c r="AP10" s="266">
        <f>SUM(Y10:AO10)</f>
        <v>0</v>
      </c>
    </row>
    <row r="11" spans="1:43" ht="16" thickTop="1">
      <c r="B11" s="588">
        <f>'1. SUMMARY'!C17</f>
        <v>0</v>
      </c>
      <c r="C11" s="589"/>
      <c r="D11" s="590" t="str">
        <f>IF(+B12+1&gt;'1. SUMMARY'!$C$18,"No "&amp;D10,+B12+1)</f>
        <v>No Year 2</v>
      </c>
      <c r="E11" s="591"/>
      <c r="F11" s="590" t="str">
        <f>IF(D11="No "&amp;D10,"No "&amp;F10,IF(+D12+1&gt;'1. SUMMARY'!$C$18,"No "&amp;F10,+D12+1))</f>
        <v>No Year 3</v>
      </c>
      <c r="G11" s="591"/>
      <c r="H11" s="590" t="str">
        <f>IF(F11="No "&amp;F10,"No "&amp;H10,IF(+F12+1&gt;'1. SUMMARY'!$C$18,"No "&amp;H10,+F12+1))</f>
        <v>No Year 4</v>
      </c>
      <c r="I11" s="591"/>
      <c r="J11" s="590" t="str">
        <f>IF(H11="No "&amp;H10,"No "&amp;J10,IF(+H12+1&gt;'1. SUMMARY'!$C$18,"No "&amp;J10,+H12+1))</f>
        <v>No Year 5</v>
      </c>
      <c r="K11" s="591"/>
      <c r="L11" s="590" t="str">
        <f>'3. NON-PERSONNEL EXPENSES'!G10</f>
        <v>No Year 6</v>
      </c>
      <c r="M11" s="591"/>
      <c r="N11" s="590" t="str">
        <f>'3. NON-PERSONNEL EXPENSES'!H10</f>
        <v>No Year 7</v>
      </c>
      <c r="O11" s="591"/>
      <c r="P11" s="590" t="str">
        <f>'3. NON-PERSONNEL EXPENSES'!I10</f>
        <v>No Year 8</v>
      </c>
      <c r="Q11" s="591"/>
      <c r="R11" s="590" t="str">
        <f>'3. NON-PERSONNEL EXPENSES'!J10</f>
        <v>No Year 9</v>
      </c>
      <c r="S11" s="591"/>
      <c r="T11" s="590" t="str">
        <f>'3. NON-PERSONNEL EXPENSES'!K10</f>
        <v>No Year 10</v>
      </c>
      <c r="U11" s="591"/>
      <c r="V11" s="267">
        <f>+B11</f>
        <v>0</v>
      </c>
      <c r="Y11" s="265">
        <f>IF(Y8=0,0,+($B$43/$AP$8)*Y8)</f>
        <v>0</v>
      </c>
      <c r="Z11" s="265">
        <f t="shared" ref="Z11:AO11" si="0">IF(Z8=0,0,+($B$43/$AP$8)*Z8)</f>
        <v>0</v>
      </c>
      <c r="AA11" s="265">
        <f t="shared" si="0"/>
        <v>0</v>
      </c>
      <c r="AB11" s="265">
        <f t="shared" si="0"/>
        <v>0</v>
      </c>
      <c r="AC11" s="265">
        <f t="shared" si="0"/>
        <v>0</v>
      </c>
      <c r="AD11" s="265">
        <f t="shared" si="0"/>
        <v>0</v>
      </c>
      <c r="AE11" s="265">
        <f t="shared" si="0"/>
        <v>0</v>
      </c>
      <c r="AF11" s="265">
        <f t="shared" si="0"/>
        <v>0</v>
      </c>
      <c r="AG11" s="265">
        <f t="shared" si="0"/>
        <v>0</v>
      </c>
      <c r="AH11" s="265">
        <f t="shared" si="0"/>
        <v>0</v>
      </c>
      <c r="AI11" s="265">
        <f t="shared" si="0"/>
        <v>0</v>
      </c>
      <c r="AJ11" s="265">
        <f t="shared" si="0"/>
        <v>0</v>
      </c>
      <c r="AK11" s="265">
        <f t="shared" si="0"/>
        <v>0</v>
      </c>
      <c r="AL11" s="265">
        <f t="shared" si="0"/>
        <v>0</v>
      </c>
      <c r="AM11" s="265">
        <f t="shared" si="0"/>
        <v>0</v>
      </c>
      <c r="AN11" s="265">
        <f t="shared" si="0"/>
        <v>0</v>
      </c>
      <c r="AO11" s="265">
        <f t="shared" si="0"/>
        <v>0</v>
      </c>
      <c r="AP11" s="266">
        <f>SUM(Y11:AO11)</f>
        <v>0</v>
      </c>
    </row>
    <row r="12" spans="1:43" ht="15">
      <c r="B12" s="586">
        <f>IF((DATE(YEAR(B11), MONTH(B11)+12, DAY(B11)-1))&lt;=('1. SUMMARY'!$C$18),DATE(YEAR(B11), MONTH(B11)+12, DAY(B11)-1),'1. SUMMARY'!$C$18)</f>
        <v>0</v>
      </c>
      <c r="C12" s="587"/>
      <c r="D12" s="579" t="str">
        <f>IF(D11="No "&amp;D10,"No "&amp;D10,IF(B12='1. SUMMARY'!B17,"a",IF((DATE(YEAR(D11),MONTH(D11)+12,DAY(D11)-1))&lt;=('1. SUMMARY'!$C$18),DATE(YEAR(D11),MONTH(D11)+12,DAY(D11)-1),'1. SUMMARY'!$C$18)))</f>
        <v>No Year 2</v>
      </c>
      <c r="E12" s="580"/>
      <c r="F12" s="579" t="str">
        <f>IF(F11="No "&amp;F10,"No "&amp;F10,IF(D12='1. SUMMARY'!C17,"a",IF((DATE(YEAR(F11),MONTH(F11)+12,DAY(F11)-1))&lt;=('1. SUMMARY'!$C$18),DATE(YEAR(F11),MONTH(F11)+12,DAY(F11)-1),'1. SUMMARY'!$C$18)))</f>
        <v>No Year 3</v>
      </c>
      <c r="G12" s="580"/>
      <c r="H12" s="579" t="str">
        <f>IF(H11="No "&amp;H10,"No "&amp;H10,IF(F12='1. SUMMARY'!E28,"a",IF((DATE(YEAR(H11),MONTH(H11)+12,DAY(H11)-1))&lt;=('1. SUMMARY'!$C$18),DATE(YEAR(H11),MONTH(H11)+12,DAY(H11)-1),'1. SUMMARY'!$C$18)))</f>
        <v>No Year 4</v>
      </c>
      <c r="I12" s="580"/>
      <c r="J12" s="579" t="str">
        <f>IF(J11="No "&amp;J10,"No "&amp;J10,IF(H12='1. SUMMARY'!F28,"a",IF((DATE(YEAR(J11),MONTH(J11)+12,DAY(J11)-1))&lt;=('1. SUMMARY'!$C$18),DATE(YEAR(J11),MONTH(J11)+12,DAY(J11)-1),'1. SUMMARY'!$C$18)))</f>
        <v>No Year 5</v>
      </c>
      <c r="K12" s="580"/>
      <c r="L12" s="579" t="str">
        <f>'3. NON-PERSONNEL EXPENSES'!G11</f>
        <v>No Year 6</v>
      </c>
      <c r="M12" s="580"/>
      <c r="N12" s="579" t="str">
        <f>'3. NON-PERSONNEL EXPENSES'!H11</f>
        <v>No Year 7</v>
      </c>
      <c r="O12" s="580"/>
      <c r="P12" s="579" t="str">
        <f>'3. NON-PERSONNEL EXPENSES'!I11</f>
        <v>No Year 8</v>
      </c>
      <c r="Q12" s="580"/>
      <c r="R12" s="579" t="str">
        <f>'3. NON-PERSONNEL EXPENSES'!J11</f>
        <v>No Year 9</v>
      </c>
      <c r="S12" s="580"/>
      <c r="T12" s="579" t="str">
        <f>'3. NON-PERSONNEL EXPENSES'!K11</f>
        <v>No Year 10</v>
      </c>
      <c r="U12" s="580"/>
      <c r="V12" s="268">
        <f>'1. SUMMARY'!C18</f>
        <v>0</v>
      </c>
      <c r="Y12" s="261"/>
      <c r="Z12" s="261"/>
      <c r="AA12" s="261"/>
      <c r="AB12" s="261"/>
      <c r="AC12" s="261"/>
      <c r="AD12" s="261"/>
      <c r="AE12" s="261"/>
      <c r="AF12" s="261"/>
      <c r="AG12" s="261"/>
      <c r="AH12" s="261"/>
      <c r="AI12" s="261"/>
      <c r="AJ12" s="261"/>
      <c r="AK12" s="261"/>
      <c r="AL12" s="261"/>
      <c r="AM12" s="261"/>
      <c r="AN12" s="261"/>
      <c r="AO12" s="261"/>
      <c r="AP12" s="261"/>
    </row>
    <row r="13" spans="1:43" ht="15">
      <c r="A13" s="269" t="s">
        <v>103</v>
      </c>
      <c r="B13" s="270"/>
      <c r="C13" s="234"/>
      <c r="D13" s="271"/>
      <c r="E13" s="272"/>
      <c r="F13" s="271"/>
      <c r="G13" s="272"/>
      <c r="H13" s="271"/>
      <c r="I13" s="272"/>
      <c r="J13" s="271"/>
      <c r="K13" s="272"/>
      <c r="L13" s="271"/>
      <c r="M13" s="272"/>
      <c r="N13" s="271"/>
      <c r="O13" s="272"/>
      <c r="P13" s="271"/>
      <c r="Q13" s="272"/>
      <c r="R13" s="271"/>
      <c r="S13" s="272"/>
      <c r="T13" s="271"/>
      <c r="U13" s="272"/>
      <c r="V13" s="273"/>
      <c r="Y13" s="263">
        <f>+Sheet1!$T$8</f>
        <v>44105</v>
      </c>
      <c r="Z13" s="263">
        <f>+Sheet1!$U$8</f>
        <v>44470</v>
      </c>
      <c r="AA13" s="263">
        <f>+Sheet1!$V$8</f>
        <v>44835</v>
      </c>
      <c r="AB13" s="263">
        <f>+Sheet1!$W$8</f>
        <v>45200</v>
      </c>
      <c r="AC13" s="263">
        <f>+Sheet1!$X$8</f>
        <v>45566</v>
      </c>
      <c r="AD13" s="263">
        <f>+Sheet1!$Y$8</f>
        <v>45931</v>
      </c>
      <c r="AE13" s="263">
        <f>+Sheet1!$Z$8</f>
        <v>46296</v>
      </c>
      <c r="AF13" s="263">
        <f>+Sheet1!AA$8</f>
        <v>46661</v>
      </c>
      <c r="AG13" s="263">
        <f>+Sheet1!AB$8</f>
        <v>47027</v>
      </c>
      <c r="AH13" s="263">
        <f>+Sheet1!AC$8</f>
        <v>47392</v>
      </c>
      <c r="AI13" s="263">
        <f>+Sheet1!AD$8</f>
        <v>47757</v>
      </c>
      <c r="AJ13" s="263">
        <f>+Sheet1!AE$8</f>
        <v>48122</v>
      </c>
      <c r="AK13" s="263">
        <f>+Sheet1!AF$8</f>
        <v>48488</v>
      </c>
      <c r="AL13" s="263">
        <f>+Sheet1!AG$8</f>
        <v>48853</v>
      </c>
      <c r="AM13" s="263">
        <f>+Sheet1!AH$8</f>
        <v>49218</v>
      </c>
      <c r="AN13" s="263">
        <f>+Sheet1!AI$8</f>
        <v>49583</v>
      </c>
      <c r="AO13" s="263">
        <f>+Sheet1!AJ$8</f>
        <v>49949</v>
      </c>
      <c r="AP13" s="261"/>
    </row>
    <row r="14" spans="1:43" ht="15">
      <c r="A14" s="274" t="s">
        <v>174</v>
      </c>
      <c r="B14" s="275">
        <f>+'2. PERSONNEL'!G35</f>
        <v>0</v>
      </c>
      <c r="C14" s="276"/>
      <c r="D14" s="277">
        <f>+'2. PERSONNEL'!G67</f>
        <v>0</v>
      </c>
      <c r="E14" s="278"/>
      <c r="F14" s="277">
        <f>+'2. PERSONNEL'!G99</f>
        <v>0</v>
      </c>
      <c r="G14" s="278"/>
      <c r="H14" s="277">
        <f>+'2. PERSONNEL'!G131</f>
        <v>0</v>
      </c>
      <c r="I14" s="278"/>
      <c r="J14" s="277">
        <f>+'2. PERSONNEL'!G163</f>
        <v>0</v>
      </c>
      <c r="K14" s="278"/>
      <c r="L14" s="277">
        <f>'2. PERSONNEL'!G195</f>
        <v>0</v>
      </c>
      <c r="M14" s="278"/>
      <c r="N14" s="277">
        <f>'2. PERSONNEL'!G227</f>
        <v>0</v>
      </c>
      <c r="O14" s="278"/>
      <c r="P14" s="277">
        <f>'2. PERSONNEL'!G259</f>
        <v>0</v>
      </c>
      <c r="Q14" s="278"/>
      <c r="R14" s="277">
        <f>'2. PERSONNEL'!G291</f>
        <v>0</v>
      </c>
      <c r="S14" s="278"/>
      <c r="T14" s="277">
        <f>'2. PERSONNEL'!G323</f>
        <v>0</v>
      </c>
      <c r="U14" s="278"/>
      <c r="V14" s="279">
        <f>SUM(B14:U14)</f>
        <v>0</v>
      </c>
      <c r="X14" s="260">
        <v>2</v>
      </c>
      <c r="Y14" s="263">
        <f>+Sheet1!$T$9</f>
        <v>44469</v>
      </c>
      <c r="Z14" s="263">
        <f>+Sheet1!$U$9</f>
        <v>44834</v>
      </c>
      <c r="AA14" s="263">
        <f>+Sheet1!$V$9</f>
        <v>45199</v>
      </c>
      <c r="AB14" s="263">
        <f>+Sheet1!$W$9</f>
        <v>45565</v>
      </c>
      <c r="AC14" s="263">
        <f>+Sheet1!$X$9</f>
        <v>45930</v>
      </c>
      <c r="AD14" s="263">
        <f>+Sheet1!$Y$9</f>
        <v>46295</v>
      </c>
      <c r="AE14" s="263">
        <f>+Sheet1!$Z$9</f>
        <v>46660</v>
      </c>
      <c r="AF14" s="263">
        <f>+Sheet1!AA$9</f>
        <v>47026</v>
      </c>
      <c r="AG14" s="263">
        <f>+Sheet1!AB$9</f>
        <v>47391</v>
      </c>
      <c r="AH14" s="263">
        <f>+Sheet1!AC$9</f>
        <v>47756</v>
      </c>
      <c r="AI14" s="263">
        <f>+Sheet1!AD$9</f>
        <v>48121</v>
      </c>
      <c r="AJ14" s="263">
        <f>+Sheet1!AE$9</f>
        <v>48487</v>
      </c>
      <c r="AK14" s="263">
        <f>+Sheet1!AF$9</f>
        <v>48852</v>
      </c>
      <c r="AL14" s="263">
        <f>+Sheet1!AG$9</f>
        <v>49217</v>
      </c>
      <c r="AM14" s="263">
        <f>+Sheet1!AH$9</f>
        <v>49582</v>
      </c>
      <c r="AN14" s="263">
        <f>+Sheet1!AI$9</f>
        <v>49948</v>
      </c>
      <c r="AO14" s="263">
        <f>+Sheet1!AJ$9</f>
        <v>50313</v>
      </c>
      <c r="AP14" s="261"/>
      <c r="AQ14" s="260">
        <v>2</v>
      </c>
    </row>
    <row r="15" spans="1:43" ht="15">
      <c r="A15" s="274" t="s">
        <v>175</v>
      </c>
      <c r="B15" s="275">
        <f>+'2. PERSONNEL'!H35</f>
        <v>0</v>
      </c>
      <c r="C15" s="276"/>
      <c r="D15" s="277">
        <f>+'2. PERSONNEL'!H67</f>
        <v>0</v>
      </c>
      <c r="E15" s="278"/>
      <c r="F15" s="277">
        <f>+'2. PERSONNEL'!H99</f>
        <v>0</v>
      </c>
      <c r="G15" s="278"/>
      <c r="H15" s="277">
        <f>+'2. PERSONNEL'!H131</f>
        <v>0</v>
      </c>
      <c r="I15" s="278"/>
      <c r="J15" s="277">
        <f>+'2. PERSONNEL'!H163</f>
        <v>0</v>
      </c>
      <c r="K15" s="278"/>
      <c r="L15" s="277">
        <f>'2. PERSONNEL'!H195</f>
        <v>0</v>
      </c>
      <c r="M15" s="278"/>
      <c r="N15" s="277">
        <f>'2. PERSONNEL'!H227</f>
        <v>0</v>
      </c>
      <c r="O15" s="278"/>
      <c r="P15" s="277">
        <f>'2. PERSONNEL'!H259</f>
        <v>0</v>
      </c>
      <c r="Q15" s="278"/>
      <c r="R15" s="277">
        <f>'2. PERSONNEL'!H291</f>
        <v>0</v>
      </c>
      <c r="S15" s="278"/>
      <c r="T15" s="277">
        <f>'2. PERSONNEL'!H323</f>
        <v>0</v>
      </c>
      <c r="U15" s="278"/>
      <c r="V15" s="279">
        <f>SUM(B15:U15)</f>
        <v>0</v>
      </c>
      <c r="Y15" s="261">
        <f>'4. SUBAWARDS'!Q12</f>
        <v>0</v>
      </c>
      <c r="Z15" s="261">
        <f>'4. SUBAWARDS'!R12</f>
        <v>0</v>
      </c>
      <c r="AA15" s="261">
        <f>'4. SUBAWARDS'!S12</f>
        <v>0</v>
      </c>
      <c r="AB15" s="261">
        <f>'4. SUBAWARDS'!T12</f>
        <v>0</v>
      </c>
      <c r="AC15" s="261">
        <f>'4. SUBAWARDS'!U12</f>
        <v>0</v>
      </c>
      <c r="AD15" s="261">
        <f>'4. SUBAWARDS'!V12</f>
        <v>0</v>
      </c>
      <c r="AE15" s="261">
        <f>'4. SUBAWARDS'!W12</f>
        <v>0</v>
      </c>
      <c r="AF15" s="261">
        <f>'4. SUBAWARDS'!X12</f>
        <v>0</v>
      </c>
      <c r="AG15" s="261">
        <f>'4. SUBAWARDS'!Y12</f>
        <v>0</v>
      </c>
      <c r="AH15" s="261">
        <f>'4. SUBAWARDS'!Z12</f>
        <v>0</v>
      </c>
      <c r="AI15" s="261">
        <f>'4. SUBAWARDS'!AA12</f>
        <v>0</v>
      </c>
      <c r="AJ15" s="261">
        <f>'4. SUBAWARDS'!AB12</f>
        <v>0</v>
      </c>
      <c r="AK15" s="261">
        <f>'4. SUBAWARDS'!AC12</f>
        <v>0</v>
      </c>
      <c r="AL15" s="261">
        <f>'4. SUBAWARDS'!AD12</f>
        <v>0</v>
      </c>
      <c r="AM15" s="261">
        <f>'4. SUBAWARDS'!AE12</f>
        <v>0</v>
      </c>
      <c r="AN15" s="261">
        <f>'4. SUBAWARDS'!AF12</f>
        <v>0</v>
      </c>
      <c r="AO15" s="261">
        <f>'4. SUBAWARDS'!AG12</f>
        <v>0</v>
      </c>
      <c r="AP15" s="261">
        <f>SUM(Y15:AO15)</f>
        <v>0</v>
      </c>
    </row>
    <row r="16" spans="1:43" ht="15">
      <c r="A16" s="200" t="s">
        <v>176</v>
      </c>
      <c r="B16" s="280">
        <f>SUM(B14:B15)</f>
        <v>0</v>
      </c>
      <c r="C16" s="281"/>
      <c r="D16" s="282">
        <f>SUM(D14:D15)</f>
        <v>0</v>
      </c>
      <c r="E16" s="283"/>
      <c r="F16" s="282">
        <f>SUM(F14:F15)</f>
        <v>0</v>
      </c>
      <c r="G16" s="283"/>
      <c r="H16" s="282">
        <f>SUM(H14:H15)</f>
        <v>0</v>
      </c>
      <c r="I16" s="283"/>
      <c r="J16" s="282">
        <f>SUM(J14:J15)</f>
        <v>0</v>
      </c>
      <c r="K16" s="283"/>
      <c r="L16" s="282">
        <f>SUM(L14:L15)</f>
        <v>0</v>
      </c>
      <c r="M16" s="283"/>
      <c r="N16" s="282">
        <f>SUM(N14:N15)</f>
        <v>0</v>
      </c>
      <c r="O16" s="283"/>
      <c r="P16" s="282">
        <f>SUM(P14:P15)</f>
        <v>0</v>
      </c>
      <c r="Q16" s="283"/>
      <c r="R16" s="282">
        <f>SUM(R14:R15)</f>
        <v>0</v>
      </c>
      <c r="S16" s="283"/>
      <c r="T16" s="282">
        <f>SUM(T14:T15)</f>
        <v>0</v>
      </c>
      <c r="U16" s="283"/>
      <c r="V16" s="284">
        <f>SUM(B16:U16)</f>
        <v>0</v>
      </c>
      <c r="Y16" s="264"/>
      <c r="Z16" s="264"/>
      <c r="AA16" s="264"/>
      <c r="AB16" s="264"/>
      <c r="AC16" s="264"/>
      <c r="AD16" s="264"/>
      <c r="AE16" s="264"/>
      <c r="AF16" s="264"/>
      <c r="AG16" s="264"/>
      <c r="AH16" s="264"/>
      <c r="AI16" s="264"/>
      <c r="AJ16" s="264"/>
      <c r="AK16" s="264"/>
      <c r="AL16" s="264"/>
      <c r="AM16" s="264"/>
      <c r="AN16" s="264"/>
      <c r="AO16" s="264"/>
      <c r="AP16" s="264"/>
    </row>
    <row r="17" spans="1:43" ht="15">
      <c r="A17" s="181"/>
      <c r="B17" s="270"/>
      <c r="C17" s="234"/>
      <c r="D17" s="271"/>
      <c r="E17" s="272"/>
      <c r="F17" s="271"/>
      <c r="G17" s="272"/>
      <c r="H17" s="271"/>
      <c r="I17" s="272"/>
      <c r="J17" s="271"/>
      <c r="K17" s="272"/>
      <c r="L17" s="271"/>
      <c r="M17" s="272"/>
      <c r="N17" s="271"/>
      <c r="O17" s="272"/>
      <c r="P17" s="271"/>
      <c r="Q17" s="272"/>
      <c r="R17" s="271"/>
      <c r="S17" s="272"/>
      <c r="T17" s="271"/>
      <c r="U17" s="272"/>
      <c r="V17" s="285"/>
      <c r="Y17" s="265">
        <f>IF(Y15=0,0,(($D$43/$AP$15)*Y15)*VLOOKUP('1. SUMMARY'!$C$20,rate,+Sheet1!T21,0))</f>
        <v>0</v>
      </c>
      <c r="Z17" s="265">
        <f>IF(Z15=0,0,(($D$43/$AP$15)*Z15)*VLOOKUP('1. SUMMARY'!$C$20,rate,+Sheet1!U21,0))</f>
        <v>0</v>
      </c>
      <c r="AA17" s="265">
        <f>IF(AA15=0,0,(($D$43/$AP$15)*AA15)*VLOOKUP('1. SUMMARY'!$C$20,rate,+Sheet1!V21,0))</f>
        <v>0</v>
      </c>
      <c r="AB17" s="265">
        <f>IF(AB15=0,0,(($D$43/$AP$15)*AB15)*VLOOKUP('1. SUMMARY'!$C$20,rate,+Sheet1!W21,0))</f>
        <v>0</v>
      </c>
      <c r="AC17" s="265">
        <f>IF(AC15=0,0,(($D$43/$AP$15)*AC15)*VLOOKUP('1. SUMMARY'!$C$20,rate,+Sheet1!X21,0))</f>
        <v>0</v>
      </c>
      <c r="AD17" s="265">
        <f>IF(AD15=0,0,(($D$43/$AP$15)*AD15)*VLOOKUP('1. SUMMARY'!$C$20,rate,+Sheet1!Y21,0))</f>
        <v>0</v>
      </c>
      <c r="AE17" s="265">
        <f>IF(AE15=0,0,(($D$43/$AP$15)*AE15)*VLOOKUP('1. SUMMARY'!$C$20,rate,+Sheet1!Z21,0))</f>
        <v>0</v>
      </c>
      <c r="AF17" s="265">
        <f>IF(AF15=0,0,(($D$43/$AP$15)*AF15)*VLOOKUP('1. SUMMARY'!$C$20,rate,+Sheet1!AA21,0))</f>
        <v>0</v>
      </c>
      <c r="AG17" s="265">
        <f>IF(AG15=0,0,(($D$43/$AP$15)*AG15)*VLOOKUP('1. SUMMARY'!$C$20,rate,+Sheet1!AB21,0))</f>
        <v>0</v>
      </c>
      <c r="AH17" s="265">
        <f>IF(AH15=0,0,(($D$43/$AP$15)*AH15)*VLOOKUP('1. SUMMARY'!$C$20,rate,+Sheet1!AC21,0))</f>
        <v>0</v>
      </c>
      <c r="AI17" s="265">
        <f>IF(AI15=0,0,(($D$43/$AP$15)*AI15)*VLOOKUP('1. SUMMARY'!$C$20,rate,+Sheet1!AD21,0))</f>
        <v>0</v>
      </c>
      <c r="AJ17" s="265">
        <f>IF(AJ15=0,0,(($D$43/$AP$15)*AJ15)*VLOOKUP('1. SUMMARY'!$C$20,rate,+Sheet1!AE21,0))</f>
        <v>0</v>
      </c>
      <c r="AK17" s="265">
        <f>IF(AK15=0,0,(($D$43/$AP$15)*AK15)*VLOOKUP('1. SUMMARY'!$C$20,rate,+Sheet1!AF21,0))</f>
        <v>0</v>
      </c>
      <c r="AL17" s="265">
        <f>IF(AL15=0,0,(($D$43/$AP$15)*AL15)*VLOOKUP('1. SUMMARY'!$C$20,rate,+Sheet1!AG21,0))</f>
        <v>0</v>
      </c>
      <c r="AM17" s="265">
        <f>IF(AM15=0,0,(($D$43/$AP$15)*AM15)*VLOOKUP('1. SUMMARY'!$C$20,rate,+Sheet1!AH21,0))</f>
        <v>0</v>
      </c>
      <c r="AN17" s="265">
        <f>IF(AN15=0,0,(($D$43/$AP$15)*AN15)*VLOOKUP('1. SUMMARY'!$C$20,rate,+Sheet1!AI21,0))</f>
        <v>0</v>
      </c>
      <c r="AO17" s="265">
        <f>IF(AO15=0,0,(($D$43/$AP$15)*AO15)*VLOOKUP('1. SUMMARY'!$C$20,rate,+Sheet1!AJ21,0))</f>
        <v>0</v>
      </c>
      <c r="AP17" s="266">
        <f>SUM(Y17:AO17)</f>
        <v>0</v>
      </c>
    </row>
    <row r="18" spans="1:43" ht="15">
      <c r="A18" s="286" t="s">
        <v>115</v>
      </c>
      <c r="B18" s="270"/>
      <c r="C18" s="234"/>
      <c r="D18" s="271"/>
      <c r="E18" s="272"/>
      <c r="F18" s="271"/>
      <c r="G18" s="272"/>
      <c r="H18" s="271"/>
      <c r="I18" s="272"/>
      <c r="J18" s="271"/>
      <c r="K18" s="272"/>
      <c r="L18" s="271"/>
      <c r="M18" s="272"/>
      <c r="N18" s="271"/>
      <c r="O18" s="272"/>
      <c r="P18" s="271"/>
      <c r="Q18" s="272"/>
      <c r="R18" s="271"/>
      <c r="S18" s="272"/>
      <c r="T18" s="271"/>
      <c r="U18" s="272"/>
      <c r="V18" s="285"/>
      <c r="Y18" s="265">
        <f>IF(Y15=0,0,+($D$43/$AP$15)*Y15)</f>
        <v>0</v>
      </c>
      <c r="Z18" s="265">
        <f t="shared" ref="Z18:AO18" si="1">IF(Z15=0,0,+($D$43/$AP$15)*Z15)</f>
        <v>0</v>
      </c>
      <c r="AA18" s="265">
        <f t="shared" si="1"/>
        <v>0</v>
      </c>
      <c r="AB18" s="265">
        <f t="shared" si="1"/>
        <v>0</v>
      </c>
      <c r="AC18" s="265">
        <f t="shared" si="1"/>
        <v>0</v>
      </c>
      <c r="AD18" s="265">
        <f t="shared" si="1"/>
        <v>0</v>
      </c>
      <c r="AE18" s="265">
        <f t="shared" si="1"/>
        <v>0</v>
      </c>
      <c r="AF18" s="265">
        <f t="shared" si="1"/>
        <v>0</v>
      </c>
      <c r="AG18" s="265">
        <f t="shared" si="1"/>
        <v>0</v>
      </c>
      <c r="AH18" s="265">
        <f t="shared" si="1"/>
        <v>0</v>
      </c>
      <c r="AI18" s="265">
        <f t="shared" si="1"/>
        <v>0</v>
      </c>
      <c r="AJ18" s="265">
        <f t="shared" si="1"/>
        <v>0</v>
      </c>
      <c r="AK18" s="265">
        <f t="shared" si="1"/>
        <v>0</v>
      </c>
      <c r="AL18" s="265">
        <f t="shared" si="1"/>
        <v>0</v>
      </c>
      <c r="AM18" s="265">
        <f t="shared" si="1"/>
        <v>0</v>
      </c>
      <c r="AN18" s="265">
        <f t="shared" si="1"/>
        <v>0</v>
      </c>
      <c r="AO18" s="265">
        <f t="shared" si="1"/>
        <v>0</v>
      </c>
      <c r="AP18" s="265">
        <f>SUM(Y18:AO18)</f>
        <v>0</v>
      </c>
    </row>
    <row r="19" spans="1:43" ht="15">
      <c r="A19" s="181" t="s">
        <v>227</v>
      </c>
      <c r="B19" s="275">
        <f>VLOOKUP($A19,'3. NON-PERSONNEL EXPENSES'!$A$13:$F$48,2,0)</f>
        <v>0</v>
      </c>
      <c r="C19" s="276"/>
      <c r="D19" s="277">
        <f>VLOOKUP($A19,'3. NON-PERSONNEL EXPENSES'!$A$13:$F$48,3,0)</f>
        <v>0</v>
      </c>
      <c r="E19" s="278"/>
      <c r="F19" s="277">
        <f>VLOOKUP($A19,'3. NON-PERSONNEL EXPENSES'!$A$13:$F$48,4,0)</f>
        <v>0</v>
      </c>
      <c r="G19" s="278"/>
      <c r="H19" s="277">
        <f>VLOOKUP($A19,'3. NON-PERSONNEL EXPENSES'!$A$13:$F$48,5,0)</f>
        <v>0</v>
      </c>
      <c r="I19" s="278"/>
      <c r="J19" s="277">
        <f>VLOOKUP($A19,'3. NON-PERSONNEL EXPENSES'!$A$13:$F$48,6,0)</f>
        <v>0</v>
      </c>
      <c r="K19" s="278"/>
      <c r="L19" s="277">
        <f>VLOOKUP($A19,'3. NON-PERSONNEL EXPENSES'!$A$13:$M$48,7,0)</f>
        <v>0</v>
      </c>
      <c r="M19" s="278"/>
      <c r="N19" s="277">
        <f>VLOOKUP($A19,'3. NON-PERSONNEL EXPENSES'!$A$13:$M$48,8,0)</f>
        <v>0</v>
      </c>
      <c r="O19" s="278"/>
      <c r="P19" s="277">
        <f>VLOOKUP($A19,'3. NON-PERSONNEL EXPENSES'!$A$13:$M$48,9,0)</f>
        <v>0</v>
      </c>
      <c r="Q19" s="278"/>
      <c r="R19" s="277">
        <f>VLOOKUP($A19,'3. NON-PERSONNEL EXPENSES'!$A$13:$M$48,10,0)</f>
        <v>0</v>
      </c>
      <c r="S19" s="278"/>
      <c r="T19" s="277">
        <f>VLOOKUP($A19,'3. NON-PERSONNEL EXPENSES'!$A$13:$M$48,11,0)</f>
        <v>0</v>
      </c>
      <c r="U19" s="278"/>
      <c r="V19" s="279">
        <f>SUM(B19:U19)</f>
        <v>0</v>
      </c>
      <c r="Y19" s="263">
        <f>+Sheet1!$T$8</f>
        <v>44105</v>
      </c>
      <c r="Z19" s="263">
        <f>+Sheet1!$U$8</f>
        <v>44470</v>
      </c>
      <c r="AA19" s="263">
        <f>+Sheet1!$V$8</f>
        <v>44835</v>
      </c>
      <c r="AB19" s="263">
        <f>+Sheet1!$W$8</f>
        <v>45200</v>
      </c>
      <c r="AC19" s="263">
        <f>+Sheet1!$X$8</f>
        <v>45566</v>
      </c>
      <c r="AD19" s="263">
        <f>+Sheet1!$Y$8</f>
        <v>45931</v>
      </c>
      <c r="AE19" s="263">
        <f>+Sheet1!$Z$8</f>
        <v>46296</v>
      </c>
      <c r="AF19" s="263">
        <f>+Sheet1!AA$8</f>
        <v>46661</v>
      </c>
      <c r="AG19" s="263">
        <f>+Sheet1!AB$8</f>
        <v>47027</v>
      </c>
      <c r="AH19" s="263">
        <f>+Sheet1!AC$8</f>
        <v>47392</v>
      </c>
      <c r="AI19" s="263">
        <f>+Sheet1!AD$8</f>
        <v>47757</v>
      </c>
      <c r="AJ19" s="263">
        <f>+Sheet1!AE$8</f>
        <v>48122</v>
      </c>
      <c r="AK19" s="263">
        <f>+Sheet1!AF$8</f>
        <v>48488</v>
      </c>
      <c r="AL19" s="263">
        <f>+Sheet1!AG$8</f>
        <v>48853</v>
      </c>
      <c r="AM19" s="263">
        <f>+Sheet1!AH$8</f>
        <v>49218</v>
      </c>
      <c r="AN19" s="263">
        <f>+Sheet1!AI$8</f>
        <v>49583</v>
      </c>
      <c r="AO19" s="263">
        <f>+Sheet1!AJ$8</f>
        <v>49949</v>
      </c>
      <c r="AP19" s="261"/>
    </row>
    <row r="20" spans="1:43" ht="15">
      <c r="A20" s="181" t="str">
        <f>+'3. NON-PERSONNEL EXPENSES'!A14</f>
        <v>Non-Equipment -  Non IDC Item</v>
      </c>
      <c r="B20" s="275">
        <f>+'3. NON-PERSONNEL EXPENSES'!B14</f>
        <v>0</v>
      </c>
      <c r="C20" s="276"/>
      <c r="D20" s="277">
        <f>+'3. NON-PERSONNEL EXPENSES'!C14</f>
        <v>0</v>
      </c>
      <c r="E20" s="278"/>
      <c r="F20" s="277">
        <f>+'3. NON-PERSONNEL EXPENSES'!D14</f>
        <v>0</v>
      </c>
      <c r="G20" s="278"/>
      <c r="H20" s="277">
        <f>+'3. NON-PERSONNEL EXPENSES'!E14</f>
        <v>0</v>
      </c>
      <c r="I20" s="278"/>
      <c r="J20" s="277">
        <f>+'3. NON-PERSONNEL EXPENSES'!F14</f>
        <v>0</v>
      </c>
      <c r="K20" s="278"/>
      <c r="L20" s="277">
        <f>+'3. NON-PERSONNEL EXPENSES'!G14</f>
        <v>0</v>
      </c>
      <c r="M20" s="278"/>
      <c r="N20" s="277">
        <f>+'3. NON-PERSONNEL EXPENSES'!H14</f>
        <v>0</v>
      </c>
      <c r="O20" s="278"/>
      <c r="P20" s="277">
        <f>+'3. NON-PERSONNEL EXPENSES'!I14</f>
        <v>0</v>
      </c>
      <c r="Q20" s="278"/>
      <c r="R20" s="277">
        <f>+'3. NON-PERSONNEL EXPENSES'!J14</f>
        <v>0</v>
      </c>
      <c r="S20" s="278"/>
      <c r="T20" s="277">
        <f>+'3. NON-PERSONNEL EXPENSES'!K14</f>
        <v>0</v>
      </c>
      <c r="U20" s="278"/>
      <c r="V20" s="279">
        <f t="shared" ref="V20:V29" si="2">SUM(B20:U20)</f>
        <v>0</v>
      </c>
      <c r="X20" s="260">
        <v>3</v>
      </c>
      <c r="Y20" s="263">
        <f>+Sheet1!$T$9</f>
        <v>44469</v>
      </c>
      <c r="Z20" s="263">
        <f>+Sheet1!$U$9</f>
        <v>44834</v>
      </c>
      <c r="AA20" s="263">
        <f>+Sheet1!$V$9</f>
        <v>45199</v>
      </c>
      <c r="AB20" s="263">
        <f>+Sheet1!$W$9</f>
        <v>45565</v>
      </c>
      <c r="AC20" s="263">
        <f>+Sheet1!$X$9</f>
        <v>45930</v>
      </c>
      <c r="AD20" s="263">
        <f>+Sheet1!$Y$9</f>
        <v>46295</v>
      </c>
      <c r="AE20" s="263">
        <f>+Sheet1!$Z$9</f>
        <v>46660</v>
      </c>
      <c r="AF20" s="263">
        <f>+Sheet1!AA$9</f>
        <v>47026</v>
      </c>
      <c r="AG20" s="263">
        <f>+Sheet1!AB$9</f>
        <v>47391</v>
      </c>
      <c r="AH20" s="263">
        <f>+Sheet1!AC$9</f>
        <v>47756</v>
      </c>
      <c r="AI20" s="263">
        <f>+Sheet1!AD$9</f>
        <v>48121</v>
      </c>
      <c r="AJ20" s="263">
        <f>+Sheet1!AE$9</f>
        <v>48487</v>
      </c>
      <c r="AK20" s="263">
        <f>+Sheet1!AF$9</f>
        <v>48852</v>
      </c>
      <c r="AL20" s="263">
        <f>+Sheet1!AG$9</f>
        <v>49217</v>
      </c>
      <c r="AM20" s="263">
        <f>+Sheet1!AH$9</f>
        <v>49582</v>
      </c>
      <c r="AN20" s="263">
        <f>+Sheet1!AI$9</f>
        <v>49948</v>
      </c>
      <c r="AO20" s="263">
        <f>+Sheet1!AJ$9</f>
        <v>50313</v>
      </c>
      <c r="AP20" s="261"/>
      <c r="AQ20" s="260">
        <v>3</v>
      </c>
    </row>
    <row r="21" spans="1:43" ht="15">
      <c r="A21" s="181" t="s">
        <v>117</v>
      </c>
      <c r="B21" s="275">
        <f>VLOOKUP($A21,'3. NON-PERSONNEL EXPENSES'!$A$15:$F$48,2,0)</f>
        <v>0</v>
      </c>
      <c r="C21" s="276"/>
      <c r="D21" s="277">
        <f>VLOOKUP($A21,'3. NON-PERSONNEL EXPENSES'!$A$15:$F$48,3,0)</f>
        <v>0</v>
      </c>
      <c r="E21" s="278"/>
      <c r="F21" s="277">
        <f>VLOOKUP($A21,'3. NON-PERSONNEL EXPENSES'!$A$15:$F$48,4,0)</f>
        <v>0</v>
      </c>
      <c r="G21" s="278"/>
      <c r="H21" s="277">
        <f>VLOOKUP($A21,'3. NON-PERSONNEL EXPENSES'!$A$15:$F$48,5,0)</f>
        <v>0</v>
      </c>
      <c r="I21" s="278"/>
      <c r="J21" s="277">
        <f>VLOOKUP($A21,'3. NON-PERSONNEL EXPENSES'!$A$15:$F$48,6,0)</f>
        <v>0</v>
      </c>
      <c r="K21" s="278"/>
      <c r="L21" s="277">
        <f>VLOOKUP($A21,'3. NON-PERSONNEL EXPENSES'!$A$13:$M$48,7,0)</f>
        <v>0</v>
      </c>
      <c r="M21" s="278"/>
      <c r="N21" s="277">
        <f>VLOOKUP($A21,'3. NON-PERSONNEL EXPENSES'!$A$13:$M$48,8,0)</f>
        <v>0</v>
      </c>
      <c r="O21" s="278"/>
      <c r="P21" s="277">
        <f>VLOOKUP($A21,'3. NON-PERSONNEL EXPENSES'!$A$13:$M$48,9,0)</f>
        <v>0</v>
      </c>
      <c r="Q21" s="278"/>
      <c r="R21" s="277">
        <f>VLOOKUP($A21,'3. NON-PERSONNEL EXPENSES'!$A$13:$M$48,10,0)</f>
        <v>0</v>
      </c>
      <c r="S21" s="278"/>
      <c r="T21" s="277">
        <f>VLOOKUP($A21,'3. NON-PERSONNEL EXPENSES'!$A$13:$M$48,11,0)</f>
        <v>0</v>
      </c>
      <c r="U21" s="278"/>
      <c r="V21" s="279">
        <f t="shared" si="2"/>
        <v>0</v>
      </c>
      <c r="Y21" s="261">
        <f>'4. SUBAWARDS'!Q17</f>
        <v>0</v>
      </c>
      <c r="Z21" s="261">
        <f>'4. SUBAWARDS'!R17</f>
        <v>0</v>
      </c>
      <c r="AA21" s="261">
        <f>'4. SUBAWARDS'!S17</f>
        <v>0</v>
      </c>
      <c r="AB21" s="261">
        <f>'4. SUBAWARDS'!T17</f>
        <v>0</v>
      </c>
      <c r="AC21" s="261">
        <f>'4. SUBAWARDS'!U17</f>
        <v>0</v>
      </c>
      <c r="AD21" s="261">
        <f>'4. SUBAWARDS'!V17</f>
        <v>0</v>
      </c>
      <c r="AE21" s="261">
        <f>'4. SUBAWARDS'!W17</f>
        <v>0</v>
      </c>
      <c r="AF21" s="261">
        <f>'4. SUBAWARDS'!X17</f>
        <v>0</v>
      </c>
      <c r="AG21" s="261">
        <f>'4. SUBAWARDS'!Y17</f>
        <v>0</v>
      </c>
      <c r="AH21" s="261">
        <f>'4. SUBAWARDS'!Z17</f>
        <v>0</v>
      </c>
      <c r="AI21" s="261">
        <f>'4. SUBAWARDS'!AA17</f>
        <v>0</v>
      </c>
      <c r="AJ21" s="261">
        <f>'4. SUBAWARDS'!AB17</f>
        <v>0</v>
      </c>
      <c r="AK21" s="261">
        <f>'4. SUBAWARDS'!AC17</f>
        <v>0</v>
      </c>
      <c r="AL21" s="261">
        <f>'4. SUBAWARDS'!AD17</f>
        <v>0</v>
      </c>
      <c r="AM21" s="261">
        <f>'4. SUBAWARDS'!AE17</f>
        <v>0</v>
      </c>
      <c r="AN21" s="261">
        <f>'4. SUBAWARDS'!AF17</f>
        <v>0</v>
      </c>
      <c r="AO21" s="261">
        <f>'4. SUBAWARDS'!AG17</f>
        <v>0</v>
      </c>
      <c r="AP21" s="261">
        <f>SUM(Y21:AO21)</f>
        <v>0</v>
      </c>
    </row>
    <row r="22" spans="1:43" ht="15">
      <c r="A22" s="181" t="s">
        <v>118</v>
      </c>
      <c r="B22" s="275">
        <f>VLOOKUP($A22,'3. NON-PERSONNEL EXPENSES'!$A$15:$F$48,2,0)</f>
        <v>0</v>
      </c>
      <c r="C22" s="276"/>
      <c r="D22" s="277">
        <f>VLOOKUP($A22,'3. NON-PERSONNEL EXPENSES'!$A$15:$F$48,3,0)</f>
        <v>0</v>
      </c>
      <c r="E22" s="278"/>
      <c r="F22" s="277">
        <f>VLOOKUP($A22,'3. NON-PERSONNEL EXPENSES'!$A$15:$F$48,4,0)</f>
        <v>0</v>
      </c>
      <c r="G22" s="278"/>
      <c r="H22" s="277">
        <f>VLOOKUP($A22,'3. NON-PERSONNEL EXPENSES'!$A$15:$F$48,5,0)</f>
        <v>0</v>
      </c>
      <c r="I22" s="278"/>
      <c r="J22" s="277">
        <f>VLOOKUP($A22,'3. NON-PERSONNEL EXPENSES'!$A$15:$F$48,6,0)</f>
        <v>0</v>
      </c>
      <c r="K22" s="278"/>
      <c r="L22" s="277">
        <f>VLOOKUP($A22,'3. NON-PERSONNEL EXPENSES'!$A$13:$M$48,7,0)</f>
        <v>0</v>
      </c>
      <c r="M22" s="278"/>
      <c r="N22" s="277">
        <f>VLOOKUP($A22,'3. NON-PERSONNEL EXPENSES'!$A$13:$M$48,8,0)</f>
        <v>0</v>
      </c>
      <c r="O22" s="278"/>
      <c r="P22" s="277">
        <f>VLOOKUP($A22,'3. NON-PERSONNEL EXPENSES'!$A$13:$M$48,9,0)</f>
        <v>0</v>
      </c>
      <c r="Q22" s="278"/>
      <c r="R22" s="277">
        <f>VLOOKUP($A22,'3. NON-PERSONNEL EXPENSES'!$A$13:$M$48,10,0)</f>
        <v>0</v>
      </c>
      <c r="S22" s="278"/>
      <c r="T22" s="277">
        <f>VLOOKUP($A22,'3. NON-PERSONNEL EXPENSES'!$A$13:$M$48,11,0)</f>
        <v>0</v>
      </c>
      <c r="U22" s="278"/>
      <c r="V22" s="279">
        <f t="shared" si="2"/>
        <v>0</v>
      </c>
      <c r="Y22" s="264"/>
      <c r="Z22" s="264"/>
      <c r="AA22" s="264"/>
      <c r="AB22" s="264"/>
      <c r="AC22" s="264"/>
      <c r="AD22" s="264"/>
      <c r="AE22" s="264"/>
      <c r="AF22" s="264"/>
      <c r="AG22" s="264"/>
      <c r="AH22" s="264"/>
      <c r="AI22" s="264"/>
      <c r="AJ22" s="264"/>
      <c r="AK22" s="264"/>
      <c r="AL22" s="264"/>
      <c r="AM22" s="264"/>
      <c r="AN22" s="264"/>
      <c r="AO22" s="264"/>
      <c r="AP22" s="264"/>
    </row>
    <row r="23" spans="1:43" ht="15">
      <c r="A23" s="188" t="s">
        <v>119</v>
      </c>
      <c r="B23" s="275">
        <f>VLOOKUP($A23,'3. NON-PERSONNEL EXPENSES'!$A$15:$F$48,2,0)</f>
        <v>0</v>
      </c>
      <c r="C23" s="276"/>
      <c r="D23" s="277">
        <f>VLOOKUP($A23,'3. NON-PERSONNEL EXPENSES'!$A$15:$F$48,3,0)</f>
        <v>0</v>
      </c>
      <c r="E23" s="278"/>
      <c r="F23" s="277">
        <f>VLOOKUP($A23,'3. NON-PERSONNEL EXPENSES'!$A$15:$F$48,4,0)</f>
        <v>0</v>
      </c>
      <c r="G23" s="278"/>
      <c r="H23" s="277">
        <f>VLOOKUP($A23,'3. NON-PERSONNEL EXPENSES'!$A$15:$F$48,5,0)</f>
        <v>0</v>
      </c>
      <c r="I23" s="278"/>
      <c r="J23" s="277">
        <f>VLOOKUP($A23,'3. NON-PERSONNEL EXPENSES'!$A$15:$F$48,6,0)</f>
        <v>0</v>
      </c>
      <c r="K23" s="278"/>
      <c r="L23" s="277">
        <f>VLOOKUP($A23,'3. NON-PERSONNEL EXPENSES'!$A$13:$M$48,7,0)</f>
        <v>0</v>
      </c>
      <c r="M23" s="278"/>
      <c r="N23" s="277">
        <f>VLOOKUP($A23,'3. NON-PERSONNEL EXPENSES'!$A$13:$M$48,8,0)</f>
        <v>0</v>
      </c>
      <c r="O23" s="278"/>
      <c r="P23" s="277">
        <f>VLOOKUP($A23,'3. NON-PERSONNEL EXPENSES'!$A$13:$M$48,9,0)</f>
        <v>0</v>
      </c>
      <c r="Q23" s="278"/>
      <c r="R23" s="277">
        <f>VLOOKUP($A23,'3. NON-PERSONNEL EXPENSES'!$A$13:$M$48,10,0)</f>
        <v>0</v>
      </c>
      <c r="S23" s="278"/>
      <c r="T23" s="277">
        <f>VLOOKUP($A23,'3. NON-PERSONNEL EXPENSES'!$A$13:$M$48,11,0)</f>
        <v>0</v>
      </c>
      <c r="U23" s="278"/>
      <c r="V23" s="279">
        <f t="shared" si="2"/>
        <v>0</v>
      </c>
      <c r="Y23" s="265">
        <f>IF(Y21=0,0,(($F$43/$AP$21)*Y21)*VLOOKUP('1. SUMMARY'!$C$20,rate,+Sheet1!T21,0))</f>
        <v>0</v>
      </c>
      <c r="Z23" s="265">
        <f>IF(Z21=0,0,(($F$43/$AP$21)*Z21)*VLOOKUP('1. SUMMARY'!$C$20,rate,+Sheet1!U21,0))</f>
        <v>0</v>
      </c>
      <c r="AA23" s="265">
        <f>IF(AA21=0,0,(($F$43/$AP$21)*AA21)*VLOOKUP('1. SUMMARY'!$C$20,rate,+Sheet1!V21,0))</f>
        <v>0</v>
      </c>
      <c r="AB23" s="265">
        <f>IF(AB21=0,0,(($F$43/$AP$21)*AB21)*VLOOKUP('1. SUMMARY'!$C$20,rate,+Sheet1!W21,0))</f>
        <v>0</v>
      </c>
      <c r="AC23" s="265">
        <f>IF(AC21=0,0,(($F$43/$AP$21)*AC21)*VLOOKUP('1. SUMMARY'!$C$20,rate,+Sheet1!X21,0))</f>
        <v>0</v>
      </c>
      <c r="AD23" s="265">
        <f>IF(AD21=0,0,(($F$43/$AP$21)*AD21)*VLOOKUP('1. SUMMARY'!$C$20,rate,+Sheet1!Y21,0))</f>
        <v>0</v>
      </c>
      <c r="AE23" s="265">
        <f>IF(AE21=0,0,(($F$43/$AP$21)*AE21)*VLOOKUP('1. SUMMARY'!$C$20,rate,+Sheet1!Z21,0))</f>
        <v>0</v>
      </c>
      <c r="AF23" s="265">
        <f>IF(AF21=0,0,(($F$43/$AP$21)*AF21)*VLOOKUP('1. SUMMARY'!$C$20,rate,+Sheet1!AA21,0))</f>
        <v>0</v>
      </c>
      <c r="AG23" s="265">
        <f>IF(AG21=0,0,(($F$43/$AP$21)*AG21)*VLOOKUP('1. SUMMARY'!$C$20,rate,+Sheet1!AB21,0))</f>
        <v>0</v>
      </c>
      <c r="AH23" s="265">
        <f>IF(AH21=0,0,(($F$43/$AP$21)*AH21)*VLOOKUP('1. SUMMARY'!$C$20,rate,+Sheet1!AC21,0))</f>
        <v>0</v>
      </c>
      <c r="AI23" s="265">
        <f>IF(AI21=0,0,(($F$43/$AP$21)*AI21)*VLOOKUP('1. SUMMARY'!$C$20,rate,+Sheet1!AD21,0))</f>
        <v>0</v>
      </c>
      <c r="AJ23" s="265">
        <f>IF(AJ21=0,0,(($F$43/$AP$21)*AJ21)*VLOOKUP('1. SUMMARY'!$C$20,rate,+Sheet1!AE21,0))</f>
        <v>0</v>
      </c>
      <c r="AK23" s="265">
        <f>IF(AK21=0,0,(($F$43/$AP$21)*AK21)*VLOOKUP('1. SUMMARY'!$C$20,rate,+Sheet1!AF21,0))</f>
        <v>0</v>
      </c>
      <c r="AL23" s="265">
        <f>IF(AL21=0,0,(($F$43/$AP$21)*AL21)*VLOOKUP('1. SUMMARY'!$C$20,rate,+Sheet1!AG21,0))</f>
        <v>0</v>
      </c>
      <c r="AM23" s="265">
        <f>IF(AM21=0,0,(($F$43/$AP$21)*AM21)*VLOOKUP('1. SUMMARY'!$C$20,rate,+Sheet1!AH21,0))</f>
        <v>0</v>
      </c>
      <c r="AN23" s="265">
        <f>IF(AN21=0,0,(($F$43/$AP$21)*AN21)*VLOOKUP('1. SUMMARY'!$C$20,rate,+Sheet1!AI21,0))</f>
        <v>0</v>
      </c>
      <c r="AO23" s="265">
        <f>IF(AO21=0,0,(($F$43/$AP$21)*AO21)*VLOOKUP('1. SUMMARY'!$C$20,rate,+Sheet1!AJ21,0))</f>
        <v>0</v>
      </c>
      <c r="AP23" s="266">
        <f>SUM(Y23:AO23)</f>
        <v>0</v>
      </c>
    </row>
    <row r="24" spans="1:43" ht="15">
      <c r="A24" s="181" t="s">
        <v>177</v>
      </c>
      <c r="B24" s="275">
        <f>SUM('3. NON-PERSONNEL EXPENSES'!B18:B27)</f>
        <v>0</v>
      </c>
      <c r="C24" s="276"/>
      <c r="D24" s="277">
        <f>SUM('3. NON-PERSONNEL EXPENSES'!C18:C27)</f>
        <v>0</v>
      </c>
      <c r="E24" s="278"/>
      <c r="F24" s="277">
        <f>SUM('3. NON-PERSONNEL EXPENSES'!D18:D27)</f>
        <v>0</v>
      </c>
      <c r="G24" s="278"/>
      <c r="H24" s="277">
        <f>SUM('3. NON-PERSONNEL EXPENSES'!E18:E27)</f>
        <v>0</v>
      </c>
      <c r="I24" s="278"/>
      <c r="J24" s="277">
        <f>SUM('3. NON-PERSONNEL EXPENSES'!F18:F27)</f>
        <v>0</v>
      </c>
      <c r="K24" s="278"/>
      <c r="L24" s="277">
        <f>SUM('3. NON-PERSONNEL EXPENSES'!G18:G27)</f>
        <v>0</v>
      </c>
      <c r="M24" s="278"/>
      <c r="N24" s="277">
        <f>SUM('3. NON-PERSONNEL EXPENSES'!H18:H27)</f>
        <v>0</v>
      </c>
      <c r="O24" s="278"/>
      <c r="P24" s="277">
        <f>SUM('3. NON-PERSONNEL EXPENSES'!I18:I27)</f>
        <v>0</v>
      </c>
      <c r="Q24" s="278"/>
      <c r="R24" s="277">
        <f>SUM('3. NON-PERSONNEL EXPENSES'!J18:J27)</f>
        <v>0</v>
      </c>
      <c r="S24" s="278"/>
      <c r="T24" s="277">
        <f>SUM('3. NON-PERSONNEL EXPENSES'!K18:K27)</f>
        <v>0</v>
      </c>
      <c r="U24" s="278"/>
      <c r="V24" s="279">
        <f t="shared" si="2"/>
        <v>0</v>
      </c>
      <c r="Y24" s="265">
        <f>IF(Y21=0,0,+($F$43/$AP$21)*Y21)</f>
        <v>0</v>
      </c>
      <c r="Z24" s="265">
        <f t="shared" ref="Z24:AO24" si="3">IF(Z21=0,0,+($F$43/$AP$21)*Z21)</f>
        <v>0</v>
      </c>
      <c r="AA24" s="265">
        <f t="shared" si="3"/>
        <v>0</v>
      </c>
      <c r="AB24" s="265">
        <f t="shared" si="3"/>
        <v>0</v>
      </c>
      <c r="AC24" s="265">
        <f t="shared" si="3"/>
        <v>0</v>
      </c>
      <c r="AD24" s="265">
        <f t="shared" si="3"/>
        <v>0</v>
      </c>
      <c r="AE24" s="265">
        <f t="shared" si="3"/>
        <v>0</v>
      </c>
      <c r="AF24" s="265">
        <f t="shared" si="3"/>
        <v>0</v>
      </c>
      <c r="AG24" s="265">
        <f t="shared" si="3"/>
        <v>0</v>
      </c>
      <c r="AH24" s="265">
        <f t="shared" si="3"/>
        <v>0</v>
      </c>
      <c r="AI24" s="265">
        <f t="shared" si="3"/>
        <v>0</v>
      </c>
      <c r="AJ24" s="265">
        <f t="shared" si="3"/>
        <v>0</v>
      </c>
      <c r="AK24" s="265">
        <f t="shared" si="3"/>
        <v>0</v>
      </c>
      <c r="AL24" s="265">
        <f t="shared" si="3"/>
        <v>0</v>
      </c>
      <c r="AM24" s="265">
        <f t="shared" si="3"/>
        <v>0</v>
      </c>
      <c r="AN24" s="265">
        <f t="shared" si="3"/>
        <v>0</v>
      </c>
      <c r="AO24" s="265">
        <f t="shared" si="3"/>
        <v>0</v>
      </c>
      <c r="AP24" s="434">
        <f>SUM(Y24:AO24)</f>
        <v>0</v>
      </c>
    </row>
    <row r="25" spans="1:43" ht="15">
      <c r="A25" s="181" t="s">
        <v>178</v>
      </c>
      <c r="B25" s="275">
        <f>SUM('3. NON-PERSONNEL EXPENSES'!B28:B37)</f>
        <v>0</v>
      </c>
      <c r="C25" s="276"/>
      <c r="D25" s="277">
        <f>SUM('3. NON-PERSONNEL EXPENSES'!C28:C37)</f>
        <v>0</v>
      </c>
      <c r="E25" s="278"/>
      <c r="F25" s="277">
        <f>SUM('3. NON-PERSONNEL EXPENSES'!D28:D37)</f>
        <v>0</v>
      </c>
      <c r="G25" s="278"/>
      <c r="H25" s="277">
        <f>SUM('3. NON-PERSONNEL EXPENSES'!E28:E37)</f>
        <v>0</v>
      </c>
      <c r="I25" s="278"/>
      <c r="J25" s="277">
        <f>SUM('3. NON-PERSONNEL EXPENSES'!F28:F37)</f>
        <v>0</v>
      </c>
      <c r="K25" s="278"/>
      <c r="L25" s="277">
        <f>SUM('3. NON-PERSONNEL EXPENSES'!G28:G37)</f>
        <v>0</v>
      </c>
      <c r="M25" s="278"/>
      <c r="N25" s="277">
        <f>SUM('3. NON-PERSONNEL EXPENSES'!H28:H37)</f>
        <v>0</v>
      </c>
      <c r="O25" s="278"/>
      <c r="P25" s="277">
        <f>SUM('3. NON-PERSONNEL EXPENSES'!I28:I37)</f>
        <v>0</v>
      </c>
      <c r="Q25" s="278"/>
      <c r="R25" s="277">
        <f>SUM('3. NON-PERSONNEL EXPENSES'!J28:J37)</f>
        <v>0</v>
      </c>
      <c r="S25" s="278"/>
      <c r="T25" s="277">
        <f>SUM('3. NON-PERSONNEL EXPENSES'!K28:K37)</f>
        <v>0</v>
      </c>
      <c r="U25" s="278"/>
      <c r="V25" s="279">
        <f t="shared" si="2"/>
        <v>0</v>
      </c>
      <c r="Y25" s="263">
        <f>+Sheet1!$T$8</f>
        <v>44105</v>
      </c>
      <c r="Z25" s="263">
        <f>+Sheet1!$U$8</f>
        <v>44470</v>
      </c>
      <c r="AA25" s="263">
        <f>+Sheet1!$V$8</f>
        <v>44835</v>
      </c>
      <c r="AB25" s="263">
        <f>+Sheet1!$W$8</f>
        <v>45200</v>
      </c>
      <c r="AC25" s="263">
        <f>+Sheet1!$X$8</f>
        <v>45566</v>
      </c>
      <c r="AD25" s="263">
        <f>+Sheet1!$Y$8</f>
        <v>45931</v>
      </c>
      <c r="AE25" s="263">
        <f>+Sheet1!$Z$8</f>
        <v>46296</v>
      </c>
      <c r="AF25" s="263">
        <f>+Sheet1!AA$8</f>
        <v>46661</v>
      </c>
      <c r="AG25" s="263">
        <f>+Sheet1!AB$8</f>
        <v>47027</v>
      </c>
      <c r="AH25" s="263">
        <f>+Sheet1!AC$8</f>
        <v>47392</v>
      </c>
      <c r="AI25" s="263">
        <f>+Sheet1!AD$8</f>
        <v>47757</v>
      </c>
      <c r="AJ25" s="263">
        <f>+Sheet1!AE$8</f>
        <v>48122</v>
      </c>
      <c r="AK25" s="263">
        <f>+Sheet1!AF$8</f>
        <v>48488</v>
      </c>
      <c r="AL25" s="263">
        <f>+Sheet1!AG$8</f>
        <v>48853</v>
      </c>
      <c r="AM25" s="263">
        <f>+Sheet1!AH$8</f>
        <v>49218</v>
      </c>
      <c r="AN25" s="263">
        <f>+Sheet1!AI$8</f>
        <v>49583</v>
      </c>
      <c r="AO25" s="263">
        <f>+Sheet1!AJ$8</f>
        <v>49949</v>
      </c>
      <c r="AP25" s="261"/>
    </row>
    <row r="26" spans="1:43" ht="15">
      <c r="A26" s="181" t="s">
        <v>140</v>
      </c>
      <c r="B26" s="275">
        <f>VLOOKUP($A26,'3. NON-PERSONNEL EXPENSES'!$A$38:$F$48,2,0)</f>
        <v>0</v>
      </c>
      <c r="C26" s="276"/>
      <c r="D26" s="277">
        <f>VLOOKUP($A26,'3. NON-PERSONNEL EXPENSES'!$A$38:$F$48,3,0)</f>
        <v>0</v>
      </c>
      <c r="E26" s="278"/>
      <c r="F26" s="277">
        <f>VLOOKUP($A26,'3. NON-PERSONNEL EXPENSES'!$A$38:$F$48,4,0)</f>
        <v>0</v>
      </c>
      <c r="G26" s="278"/>
      <c r="H26" s="277">
        <f>VLOOKUP($A26,'3. NON-PERSONNEL EXPENSES'!$A$38:$F$48,5,0)</f>
        <v>0</v>
      </c>
      <c r="I26" s="278"/>
      <c r="J26" s="277">
        <f>VLOOKUP($A26,'3. NON-PERSONNEL EXPENSES'!$A$38:$F$48,6,0)</f>
        <v>0</v>
      </c>
      <c r="K26" s="278"/>
      <c r="L26" s="277">
        <f>VLOOKUP($A26,'3. NON-PERSONNEL EXPENSES'!$A$13:$M$48,7,0)</f>
        <v>0</v>
      </c>
      <c r="M26" s="278"/>
      <c r="N26" s="277">
        <f>VLOOKUP($A26,'3. NON-PERSONNEL EXPENSES'!$A$13:$M$48,8,0)</f>
        <v>0</v>
      </c>
      <c r="O26" s="278"/>
      <c r="P26" s="277">
        <f>VLOOKUP($A26,'3. NON-PERSONNEL EXPENSES'!$A$13:$M$48,9,0)</f>
        <v>0</v>
      </c>
      <c r="Q26" s="278"/>
      <c r="R26" s="277">
        <f>VLOOKUP($A26,'3. NON-PERSONNEL EXPENSES'!$A$13:$M$48,10,0)</f>
        <v>0</v>
      </c>
      <c r="S26" s="278"/>
      <c r="T26" s="277">
        <f>VLOOKUP($A26,'3. NON-PERSONNEL EXPENSES'!$A$13:$M$48,11,0)</f>
        <v>0</v>
      </c>
      <c r="U26" s="278"/>
      <c r="V26" s="279">
        <f t="shared" si="2"/>
        <v>0</v>
      </c>
      <c r="X26" s="260">
        <v>4</v>
      </c>
      <c r="Y26" s="263">
        <f>+Sheet1!$T$9</f>
        <v>44469</v>
      </c>
      <c r="Z26" s="263">
        <f>+Sheet1!$U$9</f>
        <v>44834</v>
      </c>
      <c r="AA26" s="263">
        <f>+Sheet1!$V$9</f>
        <v>45199</v>
      </c>
      <c r="AB26" s="263">
        <f>+Sheet1!$W$9</f>
        <v>45565</v>
      </c>
      <c r="AC26" s="263">
        <f>+Sheet1!$X$9</f>
        <v>45930</v>
      </c>
      <c r="AD26" s="263">
        <f>+Sheet1!$Y$9</f>
        <v>46295</v>
      </c>
      <c r="AE26" s="263">
        <f>+Sheet1!$Z$9</f>
        <v>46660</v>
      </c>
      <c r="AF26" s="263">
        <f>+Sheet1!AA$9</f>
        <v>47026</v>
      </c>
      <c r="AG26" s="263">
        <f>+Sheet1!AB$9</f>
        <v>47391</v>
      </c>
      <c r="AH26" s="263">
        <f>+Sheet1!AC$9</f>
        <v>47756</v>
      </c>
      <c r="AI26" s="263">
        <f>+Sheet1!AD$9</f>
        <v>48121</v>
      </c>
      <c r="AJ26" s="263">
        <f>+Sheet1!AE$9</f>
        <v>48487</v>
      </c>
      <c r="AK26" s="263">
        <f>+Sheet1!AF$9</f>
        <v>48852</v>
      </c>
      <c r="AL26" s="263">
        <f>+Sheet1!AG$9</f>
        <v>49217</v>
      </c>
      <c r="AM26" s="263">
        <f>+Sheet1!AH$9</f>
        <v>49582</v>
      </c>
      <c r="AN26" s="263">
        <f>+Sheet1!AI$9</f>
        <v>49948</v>
      </c>
      <c r="AO26" s="263">
        <f>+Sheet1!AJ$9</f>
        <v>50313</v>
      </c>
      <c r="AP26" s="261"/>
      <c r="AQ26" s="260">
        <v>4</v>
      </c>
    </row>
    <row r="27" spans="1:43" ht="15">
      <c r="A27" s="181" t="s">
        <v>141</v>
      </c>
      <c r="B27" s="275">
        <f>VLOOKUP($A27,'3. NON-PERSONNEL EXPENSES'!$A$38:$F$48,2,0)</f>
        <v>0</v>
      </c>
      <c r="C27" s="276"/>
      <c r="D27" s="277">
        <f>VLOOKUP($A27,'3. NON-PERSONNEL EXPENSES'!$A$38:$F$48,3,0)</f>
        <v>0</v>
      </c>
      <c r="E27" s="278"/>
      <c r="F27" s="277">
        <f>VLOOKUP($A27,'3. NON-PERSONNEL EXPENSES'!$A$38:$F$48,4,0)</f>
        <v>0</v>
      </c>
      <c r="G27" s="278"/>
      <c r="H27" s="277">
        <f>VLOOKUP($A27,'3. NON-PERSONNEL EXPENSES'!$A$38:$F$48,5,0)</f>
        <v>0</v>
      </c>
      <c r="I27" s="278"/>
      <c r="J27" s="277">
        <f>VLOOKUP($A27,'3. NON-PERSONNEL EXPENSES'!$A$38:$F$48,6,0)</f>
        <v>0</v>
      </c>
      <c r="K27" s="278"/>
      <c r="L27" s="277">
        <f>VLOOKUP($A27,'3. NON-PERSONNEL EXPENSES'!$A$13:$M$48,7,0)</f>
        <v>0</v>
      </c>
      <c r="M27" s="278"/>
      <c r="N27" s="277">
        <f>VLOOKUP($A27,'3. NON-PERSONNEL EXPENSES'!$A$13:$M$48,8,0)</f>
        <v>0</v>
      </c>
      <c r="O27" s="278"/>
      <c r="P27" s="277">
        <f>VLOOKUP($A27,'3. NON-PERSONNEL EXPENSES'!$A$13:$M$48,9,0)</f>
        <v>0</v>
      </c>
      <c r="Q27" s="278"/>
      <c r="R27" s="277">
        <f>VLOOKUP($A27,'3. NON-PERSONNEL EXPENSES'!$A$13:$M$48,10,0)</f>
        <v>0</v>
      </c>
      <c r="S27" s="278"/>
      <c r="T27" s="277">
        <f>VLOOKUP($A27,'3. NON-PERSONNEL EXPENSES'!$A$13:$M$48,11,0)</f>
        <v>0</v>
      </c>
      <c r="U27" s="278"/>
      <c r="V27" s="279">
        <f t="shared" si="2"/>
        <v>0</v>
      </c>
      <c r="Y27" s="261">
        <f>'4. SUBAWARDS'!Q22</f>
        <v>0</v>
      </c>
      <c r="Z27" s="261">
        <f>'4. SUBAWARDS'!R22</f>
        <v>0</v>
      </c>
      <c r="AA27" s="261">
        <f>'4. SUBAWARDS'!S22</f>
        <v>0</v>
      </c>
      <c r="AB27" s="261">
        <f>'4. SUBAWARDS'!T22</f>
        <v>0</v>
      </c>
      <c r="AC27" s="261">
        <f>'4. SUBAWARDS'!U22</f>
        <v>0</v>
      </c>
      <c r="AD27" s="261">
        <f>'4. SUBAWARDS'!V22</f>
        <v>0</v>
      </c>
      <c r="AE27" s="261">
        <f>'4. SUBAWARDS'!W22</f>
        <v>0</v>
      </c>
      <c r="AF27" s="261">
        <f>'4. SUBAWARDS'!X22</f>
        <v>0</v>
      </c>
      <c r="AG27" s="261">
        <f>'4. SUBAWARDS'!Y22</f>
        <v>0</v>
      </c>
      <c r="AH27" s="261">
        <f>'4. SUBAWARDS'!Z22</f>
        <v>0</v>
      </c>
      <c r="AI27" s="261">
        <f>'4. SUBAWARDS'!AA22</f>
        <v>0</v>
      </c>
      <c r="AJ27" s="261">
        <f>'4. SUBAWARDS'!AB22</f>
        <v>0</v>
      </c>
      <c r="AK27" s="261">
        <f>'4. SUBAWARDS'!AC22</f>
        <v>0</v>
      </c>
      <c r="AL27" s="261">
        <f>'4. SUBAWARDS'!AD22</f>
        <v>0</v>
      </c>
      <c r="AM27" s="261">
        <f>'4. SUBAWARDS'!AE22</f>
        <v>0</v>
      </c>
      <c r="AN27" s="261">
        <f>'4. SUBAWARDS'!AF22</f>
        <v>0</v>
      </c>
      <c r="AO27" s="261">
        <f>'4. SUBAWARDS'!AG22</f>
        <v>0</v>
      </c>
      <c r="AP27" s="261">
        <f>SUM(Y27:AO27)</f>
        <v>0</v>
      </c>
    </row>
    <row r="28" spans="1:43" ht="15">
      <c r="A28" s="181" t="str">
        <f>IF(Hospital="MGH","Animal Purchase","Animal Costs")</f>
        <v>Animal Purchase</v>
      </c>
      <c r="B28" s="275">
        <f>IF('1. SUMMARY'!C14="BWH",'3. NON-PERSONNEL EXPENSES'!B41,+'3. NON-PERSONNEL EXPENSES'!B40)</f>
        <v>0</v>
      </c>
      <c r="C28" s="276"/>
      <c r="D28" s="277">
        <f>IF('1. SUMMARY'!C14="BWH",'3. NON-PERSONNEL EXPENSES'!C41,+'3. NON-PERSONNEL EXPENSES'!C40)</f>
        <v>0</v>
      </c>
      <c r="E28" s="278"/>
      <c r="F28" s="277">
        <f>IF('1. SUMMARY'!C14="BWH",'3. NON-PERSONNEL EXPENSES'!D41,+'3. NON-PERSONNEL EXPENSES'!D40)</f>
        <v>0</v>
      </c>
      <c r="G28" s="278"/>
      <c r="H28" s="277">
        <f>IF('1. SUMMARY'!C14="BWH",'3. NON-PERSONNEL EXPENSES'!E41,+'3. NON-PERSONNEL EXPENSES'!E40)</f>
        <v>0</v>
      </c>
      <c r="I28" s="278"/>
      <c r="J28" s="277">
        <f>IF('1. SUMMARY'!C14="BWH",'3. NON-PERSONNEL EXPENSES'!F41,+'3. NON-PERSONNEL EXPENSES'!F40)</f>
        <v>0</v>
      </c>
      <c r="K28" s="278"/>
      <c r="L28" s="277">
        <f>IF('1. SUMMARY'!C14="BWH",'3. NON-PERSONNEL EXPENSES'!G41,+'3. NON-PERSONNEL EXPENSES'!G40)</f>
        <v>0</v>
      </c>
      <c r="M28" s="278"/>
      <c r="N28" s="277">
        <f>IF('1. SUMMARY'!C14="BWH",'3. NON-PERSONNEL EXPENSES'!H41,+'3. NON-PERSONNEL EXPENSES'!H40)</f>
        <v>0</v>
      </c>
      <c r="O28" s="278"/>
      <c r="P28" s="277">
        <f>IF('1. SUMMARY'!C14="BWH",'3. NON-PERSONNEL EXPENSES'!I41,+'3. NON-PERSONNEL EXPENSES'!I40)</f>
        <v>0</v>
      </c>
      <c r="Q28" s="278"/>
      <c r="R28" s="277">
        <f>IF('1. SUMMARY'!$C$14="BWH",'3. NON-PERSONNEL EXPENSES'!J41,+'3. NON-PERSONNEL EXPENSES'!J40)</f>
        <v>0</v>
      </c>
      <c r="S28" s="278"/>
      <c r="T28" s="277">
        <f>IF('1. SUMMARY'!$C$14="BWH",'3. NON-PERSONNEL EXPENSES'!K41,+'3. NON-PERSONNEL EXPENSES'!K40)</f>
        <v>0</v>
      </c>
      <c r="U28" s="278"/>
      <c r="V28" s="279">
        <f t="shared" si="2"/>
        <v>0</v>
      </c>
      <c r="Y28" s="264"/>
      <c r="Z28" s="264"/>
      <c r="AA28" s="264"/>
      <c r="AB28" s="264"/>
      <c r="AC28" s="264"/>
      <c r="AD28" s="264"/>
      <c r="AE28" s="264"/>
      <c r="AF28" s="264"/>
      <c r="AG28" s="264"/>
      <c r="AH28" s="264"/>
      <c r="AI28" s="264"/>
      <c r="AJ28" s="264"/>
      <c r="AK28" s="264"/>
      <c r="AL28" s="264"/>
      <c r="AM28" s="264"/>
      <c r="AN28" s="264"/>
      <c r="AO28" s="264"/>
      <c r="AP28" s="264"/>
    </row>
    <row r="29" spans="1:43" ht="15">
      <c r="A29" s="181" t="str">
        <f>IF(Hospital="BWH","Animal Facility Fee","Animal Housing")</f>
        <v>Animal Housing</v>
      </c>
      <c r="B29" s="287">
        <f>VLOOKUP($A29,'3. NON-PERSONNEL EXPENSES'!$A$38:$F$48,2,0)</f>
        <v>0</v>
      </c>
      <c r="C29" s="288"/>
      <c r="D29" s="289">
        <f>VLOOKUP($A29,'3. NON-PERSONNEL EXPENSES'!$A$38:$F$48,3,0)</f>
        <v>0</v>
      </c>
      <c r="E29" s="290"/>
      <c r="F29" s="289">
        <f>VLOOKUP($A29,'3. NON-PERSONNEL EXPENSES'!$A$38:$F$48,4,0)</f>
        <v>0</v>
      </c>
      <c r="G29" s="290"/>
      <c r="H29" s="289">
        <f>VLOOKUP($A29,'3. NON-PERSONNEL EXPENSES'!$A$38:$F$48,5,0)</f>
        <v>0</v>
      </c>
      <c r="I29" s="290"/>
      <c r="J29" s="289">
        <f>VLOOKUP($A29,'3. NON-PERSONNEL EXPENSES'!$A$38:$F$48,6,0)</f>
        <v>0</v>
      </c>
      <c r="K29" s="278"/>
      <c r="L29" s="289">
        <f>VLOOKUP($A29,'3. NON-PERSONNEL EXPENSES'!$A$13:$M$48,7,0)</f>
        <v>0</v>
      </c>
      <c r="M29" s="278"/>
      <c r="N29" s="289">
        <f>VLOOKUP($A29,'3. NON-PERSONNEL EXPENSES'!$A$13:$M$48,8,0)</f>
        <v>0</v>
      </c>
      <c r="O29" s="278"/>
      <c r="P29" s="289">
        <f>VLOOKUP($A29,'3. NON-PERSONNEL EXPENSES'!$A$13:$M$48,9,0)</f>
        <v>0</v>
      </c>
      <c r="Q29" s="278"/>
      <c r="R29" s="289">
        <f>VLOOKUP($A29,'3. NON-PERSONNEL EXPENSES'!$A$13:$M$48,10,0)</f>
        <v>0</v>
      </c>
      <c r="S29" s="278"/>
      <c r="T29" s="289">
        <f>VLOOKUP($A29,'3. NON-PERSONNEL EXPENSES'!$A$13:$M$48,11,0)</f>
        <v>0</v>
      </c>
      <c r="U29" s="278"/>
      <c r="V29" s="279">
        <f t="shared" si="2"/>
        <v>0</v>
      </c>
      <c r="Y29" s="265">
        <f>IF(Y27=0,0,(($H$43/$AP$27)*Y27)*VLOOKUP('1. SUMMARY'!$C$20,rate,+Sheet1!T21,0))</f>
        <v>0</v>
      </c>
      <c r="Z29" s="265">
        <f>IF(Z27=0,0,(($H$43/$AP$27)*Z27)*VLOOKUP('1. SUMMARY'!$C$20,rate,+Sheet1!U21,0))</f>
        <v>0</v>
      </c>
      <c r="AA29" s="265">
        <f>IF(AA27=0,0,(($H$43/$AP$27)*AA27)*VLOOKUP('1. SUMMARY'!$C$20,rate,+Sheet1!V21,0))</f>
        <v>0</v>
      </c>
      <c r="AB29" s="265">
        <f>IF(AB27=0,0,(($H$43/$AP$27)*AB27)*VLOOKUP('1. SUMMARY'!$C$20,rate,+Sheet1!W21,0))</f>
        <v>0</v>
      </c>
      <c r="AC29" s="265">
        <f>IF(AC27=0,0,(($H$43/$AP$27)*AC27)*VLOOKUP('1. SUMMARY'!$C$20,rate,+Sheet1!X21,0))</f>
        <v>0</v>
      </c>
      <c r="AD29" s="265">
        <f>IF(AD27=0,0,(($H$43/$AP$27)*AD27)*VLOOKUP('1. SUMMARY'!$C$20,rate,+Sheet1!Y21,0))</f>
        <v>0</v>
      </c>
      <c r="AE29" s="265">
        <f>IF(AE27=0,0,(($H$43/$AP$27)*AE27)*VLOOKUP('1. SUMMARY'!$C$20,rate,+Sheet1!Z21,0))</f>
        <v>0</v>
      </c>
      <c r="AF29" s="265">
        <f>IF(AF27=0,0,(($H$43/$AP$27)*AF27)*VLOOKUP('1. SUMMARY'!$C$20,rate,+Sheet1!AA21,0))</f>
        <v>0</v>
      </c>
      <c r="AG29" s="265">
        <f>IF(AG27=0,0,(($H$43/$AP$27)*AG27)*VLOOKUP('1. SUMMARY'!$C$20,rate,+Sheet1!AB21,0))</f>
        <v>0</v>
      </c>
      <c r="AH29" s="265">
        <f>IF(AH27=0,0,(($H$43/$AP$27)*AH27)*VLOOKUP('1. SUMMARY'!$C$20,rate,+Sheet1!AC21,0))</f>
        <v>0</v>
      </c>
      <c r="AI29" s="265">
        <f>IF(AI27=0,0,(($H$43/$AP$27)*AI27)*VLOOKUP('1. SUMMARY'!$C$20,rate,+Sheet1!AD21,0))</f>
        <v>0</v>
      </c>
      <c r="AJ29" s="265">
        <f>IF(AJ27=0,0,(($H$43/$AP$27)*AJ27)*VLOOKUP('1. SUMMARY'!$C$20,rate,+Sheet1!AE21,0))</f>
        <v>0</v>
      </c>
      <c r="AK29" s="265">
        <f>IF(AK27=0,0,(($H$43/$AP$27)*AK27)*VLOOKUP('1. SUMMARY'!$C$20,rate,+Sheet1!AF21,0))</f>
        <v>0</v>
      </c>
      <c r="AL29" s="265">
        <f>IF(AL27=0,0,(($H$43/$AP$27)*AL27)*VLOOKUP('1. SUMMARY'!$C$20,rate,+Sheet1!AG21,0))</f>
        <v>0</v>
      </c>
      <c r="AM29" s="265">
        <f>IF(AM27=0,0,(($H$43/$AP$27)*AM27)*VLOOKUP('1. SUMMARY'!$C$20,rate,+Sheet1!AH21,0))</f>
        <v>0</v>
      </c>
      <c r="AN29" s="265">
        <f>IF(AN27=0,0,(($H$43/$AP$27)*AN27)*VLOOKUP('1. SUMMARY'!$C$20,rate,+Sheet1!AI21,0))</f>
        <v>0</v>
      </c>
      <c r="AO29" s="265">
        <f>IF(AO27=0,0,(($H$43/$AP$27)*AO27)*VLOOKUP('1. SUMMARY'!$C$20,rate,+Sheet1!AJ21,0))</f>
        <v>0</v>
      </c>
      <c r="AP29" s="266">
        <f>SUM(Y29:AO29)</f>
        <v>0</v>
      </c>
    </row>
    <row r="30" spans="1:43" ht="15">
      <c r="A30" s="188" t="s">
        <v>142</v>
      </c>
      <c r="B30" s="275"/>
      <c r="C30" s="276"/>
      <c r="D30" s="277"/>
      <c r="E30" s="278"/>
      <c r="F30" s="277"/>
      <c r="G30" s="278"/>
      <c r="H30" s="277"/>
      <c r="I30" s="278"/>
      <c r="J30" s="277"/>
      <c r="K30" s="278"/>
      <c r="L30" s="277"/>
      <c r="M30" s="278"/>
      <c r="N30" s="277"/>
      <c r="O30" s="278"/>
      <c r="P30" s="277"/>
      <c r="Q30" s="278"/>
      <c r="R30" s="277"/>
      <c r="S30" s="278"/>
      <c r="T30" s="277"/>
      <c r="U30" s="278"/>
      <c r="V30" s="279"/>
      <c r="Y30" s="265">
        <f>IF(Y27=0,0,+($H$43/$AP$27)*Y27)</f>
        <v>0</v>
      </c>
      <c r="Z30" s="265">
        <f t="shared" ref="Z30:AO30" si="4">IF(Z27=0,0,+($H$43/$AP$27)*Z27)</f>
        <v>0</v>
      </c>
      <c r="AA30" s="265">
        <f t="shared" si="4"/>
        <v>0</v>
      </c>
      <c r="AB30" s="265">
        <f t="shared" si="4"/>
        <v>0</v>
      </c>
      <c r="AC30" s="265">
        <f t="shared" si="4"/>
        <v>0</v>
      </c>
      <c r="AD30" s="265">
        <f t="shared" si="4"/>
        <v>0</v>
      </c>
      <c r="AE30" s="265">
        <f t="shared" si="4"/>
        <v>0</v>
      </c>
      <c r="AF30" s="265">
        <f t="shared" si="4"/>
        <v>0</v>
      </c>
      <c r="AG30" s="265">
        <f t="shared" si="4"/>
        <v>0</v>
      </c>
      <c r="AH30" s="265">
        <f t="shared" si="4"/>
        <v>0</v>
      </c>
      <c r="AI30" s="265">
        <f t="shared" si="4"/>
        <v>0</v>
      </c>
      <c r="AJ30" s="265">
        <f t="shared" si="4"/>
        <v>0</v>
      </c>
      <c r="AK30" s="265">
        <f t="shared" si="4"/>
        <v>0</v>
      </c>
      <c r="AL30" s="265">
        <f t="shared" si="4"/>
        <v>0</v>
      </c>
      <c r="AM30" s="265">
        <f t="shared" si="4"/>
        <v>0</v>
      </c>
      <c r="AN30" s="265">
        <f t="shared" si="4"/>
        <v>0</v>
      </c>
      <c r="AO30" s="265">
        <f t="shared" si="4"/>
        <v>0</v>
      </c>
      <c r="AP30" s="266">
        <f>SUM(Y30:AO30)</f>
        <v>0</v>
      </c>
    </row>
    <row r="31" spans="1:43" ht="15">
      <c r="A31" s="181" t="s">
        <v>144</v>
      </c>
      <c r="B31" s="275">
        <f>VLOOKUP($A31,'3. NON-PERSONNEL EXPENSES'!$A$38:$F$48,2,0)</f>
        <v>0</v>
      </c>
      <c r="C31" s="276"/>
      <c r="D31" s="277">
        <f>VLOOKUP($A31,'3. NON-PERSONNEL EXPENSES'!$A$38:$F$48,3,0)</f>
        <v>0</v>
      </c>
      <c r="E31" s="278"/>
      <c r="F31" s="277">
        <f>VLOOKUP($A31,'3. NON-PERSONNEL EXPENSES'!$A$38:$F$48,4,0)</f>
        <v>0</v>
      </c>
      <c r="G31" s="278"/>
      <c r="H31" s="277">
        <f>VLOOKUP($A31,'3. NON-PERSONNEL EXPENSES'!$A$38:$F$48,5,0)</f>
        <v>0</v>
      </c>
      <c r="I31" s="278"/>
      <c r="J31" s="277">
        <f>VLOOKUP($A31,'3. NON-PERSONNEL EXPENSES'!$A$38:$F$48,6,0)</f>
        <v>0</v>
      </c>
      <c r="K31" s="278"/>
      <c r="L31" s="277">
        <f>VLOOKUP($A31,'3. NON-PERSONNEL EXPENSES'!$A$13:$M$48,7,0)</f>
        <v>0</v>
      </c>
      <c r="M31" s="278"/>
      <c r="N31" s="277">
        <f>VLOOKUP($A31,'3. NON-PERSONNEL EXPENSES'!$A$13:$M$48,8,0)</f>
        <v>0</v>
      </c>
      <c r="O31" s="278"/>
      <c r="P31" s="277">
        <f>VLOOKUP($A31,'3. NON-PERSONNEL EXPENSES'!$A$13:$M$48,9,0)</f>
        <v>0</v>
      </c>
      <c r="Q31" s="278"/>
      <c r="R31" s="277">
        <f>VLOOKUP($A31,'3. NON-PERSONNEL EXPENSES'!$A$13:$M$48,10,0)</f>
        <v>0</v>
      </c>
      <c r="S31" s="278"/>
      <c r="T31" s="277">
        <f>VLOOKUP($A31,'3. NON-PERSONNEL EXPENSES'!$A$13:$M$48,11,0)</f>
        <v>0</v>
      </c>
      <c r="U31" s="278"/>
      <c r="V31" s="279">
        <f>SUM(B31:U31)</f>
        <v>0</v>
      </c>
      <c r="Y31" s="263">
        <f>+Sheet1!$T$8</f>
        <v>44105</v>
      </c>
      <c r="Z31" s="263">
        <f>+Sheet1!$U$8</f>
        <v>44470</v>
      </c>
      <c r="AA31" s="263">
        <f>+Sheet1!$V$8</f>
        <v>44835</v>
      </c>
      <c r="AB31" s="263">
        <f>+Sheet1!$W$8</f>
        <v>45200</v>
      </c>
      <c r="AC31" s="263">
        <f>+Sheet1!$X$8</f>
        <v>45566</v>
      </c>
      <c r="AD31" s="263">
        <f>+Sheet1!$Y$8</f>
        <v>45931</v>
      </c>
      <c r="AE31" s="263">
        <f>+Sheet1!$Z$8</f>
        <v>46296</v>
      </c>
      <c r="AF31" s="263">
        <f>+Sheet1!AA$8</f>
        <v>46661</v>
      </c>
      <c r="AG31" s="263">
        <f>+Sheet1!AB$8</f>
        <v>47027</v>
      </c>
      <c r="AH31" s="263">
        <f>+Sheet1!AC$8</f>
        <v>47392</v>
      </c>
      <c r="AI31" s="263">
        <f>+Sheet1!AD$8</f>
        <v>47757</v>
      </c>
      <c r="AJ31" s="263">
        <f>+Sheet1!AE$8</f>
        <v>48122</v>
      </c>
      <c r="AK31" s="263">
        <f>+Sheet1!AF$8</f>
        <v>48488</v>
      </c>
      <c r="AL31" s="263">
        <f>+Sheet1!AG$8</f>
        <v>48853</v>
      </c>
      <c r="AM31" s="263">
        <f>+Sheet1!AH$8</f>
        <v>49218</v>
      </c>
      <c r="AN31" s="263">
        <f>+Sheet1!AI$8</f>
        <v>49583</v>
      </c>
      <c r="AO31" s="263">
        <f>+Sheet1!AJ$8</f>
        <v>49949</v>
      </c>
      <c r="AP31" s="261"/>
    </row>
    <row r="32" spans="1:43" ht="15">
      <c r="A32" s="181" t="s">
        <v>145</v>
      </c>
      <c r="B32" s="275">
        <f>VLOOKUP($A32,'3. NON-PERSONNEL EXPENSES'!$A$38:$F$48,2,0)</f>
        <v>0</v>
      </c>
      <c r="C32" s="276"/>
      <c r="D32" s="277">
        <f>VLOOKUP($A32,'3. NON-PERSONNEL EXPENSES'!$A$38:$F$48,3,0)</f>
        <v>0</v>
      </c>
      <c r="E32" s="278"/>
      <c r="F32" s="277">
        <f>VLOOKUP($A32,'3. NON-PERSONNEL EXPENSES'!$A$38:$F$48,4,0)</f>
        <v>0</v>
      </c>
      <c r="G32" s="278"/>
      <c r="H32" s="277">
        <f>VLOOKUP($A32,'3. NON-PERSONNEL EXPENSES'!$A$38:$F$48,5,0)</f>
        <v>0</v>
      </c>
      <c r="I32" s="278"/>
      <c r="J32" s="277">
        <f>VLOOKUP($A32,'3. NON-PERSONNEL EXPENSES'!$A$38:$F$48,6,0)</f>
        <v>0</v>
      </c>
      <c r="K32" s="278"/>
      <c r="L32" s="277">
        <f>VLOOKUP($A32,'3. NON-PERSONNEL EXPENSES'!$A$13:$M$48,7,0)</f>
        <v>0</v>
      </c>
      <c r="M32" s="278"/>
      <c r="N32" s="277">
        <f>VLOOKUP($A32,'3. NON-PERSONNEL EXPENSES'!$A$13:$M$48,8,0)</f>
        <v>0</v>
      </c>
      <c r="O32" s="278"/>
      <c r="P32" s="277">
        <f>VLOOKUP($A32,'3. NON-PERSONNEL EXPENSES'!$A$13:$M$48,9,0)</f>
        <v>0</v>
      </c>
      <c r="Q32" s="278"/>
      <c r="R32" s="277">
        <f>VLOOKUP($A32,'3. NON-PERSONNEL EXPENSES'!$A$13:$M$48,10,0)</f>
        <v>0</v>
      </c>
      <c r="S32" s="278"/>
      <c r="T32" s="277">
        <f>VLOOKUP($A32,'3. NON-PERSONNEL EXPENSES'!$A$13:$M$48,11,0)</f>
        <v>0</v>
      </c>
      <c r="U32" s="278"/>
      <c r="V32" s="279">
        <f>SUM(B32:U32)</f>
        <v>0</v>
      </c>
      <c r="X32" s="260">
        <v>5</v>
      </c>
      <c r="Y32" s="263">
        <f>+Sheet1!$T$9</f>
        <v>44469</v>
      </c>
      <c r="Z32" s="263">
        <f>+Sheet1!$U$9</f>
        <v>44834</v>
      </c>
      <c r="AA32" s="263">
        <f>+Sheet1!$V$9</f>
        <v>45199</v>
      </c>
      <c r="AB32" s="263">
        <f>+Sheet1!$W$9</f>
        <v>45565</v>
      </c>
      <c r="AC32" s="263">
        <f>+Sheet1!$X$9</f>
        <v>45930</v>
      </c>
      <c r="AD32" s="263">
        <f>+Sheet1!$Y$9</f>
        <v>46295</v>
      </c>
      <c r="AE32" s="263">
        <f>+Sheet1!$Z$9</f>
        <v>46660</v>
      </c>
      <c r="AF32" s="263">
        <f>+Sheet1!AA$9</f>
        <v>47026</v>
      </c>
      <c r="AG32" s="263">
        <f>+Sheet1!AB$9</f>
        <v>47391</v>
      </c>
      <c r="AH32" s="263">
        <f>+Sheet1!AC$9</f>
        <v>47756</v>
      </c>
      <c r="AI32" s="263">
        <f>+Sheet1!AD$9</f>
        <v>48121</v>
      </c>
      <c r="AJ32" s="263">
        <f>+Sheet1!AE$9</f>
        <v>48487</v>
      </c>
      <c r="AK32" s="263">
        <f>+Sheet1!AF$9</f>
        <v>48852</v>
      </c>
      <c r="AL32" s="263">
        <f>+Sheet1!AG$9</f>
        <v>49217</v>
      </c>
      <c r="AM32" s="263">
        <f>+Sheet1!AH$9</f>
        <v>49582</v>
      </c>
      <c r="AN32" s="263">
        <f>+Sheet1!AI$9</f>
        <v>49948</v>
      </c>
      <c r="AO32" s="263">
        <f>+Sheet1!AJ$9</f>
        <v>50313</v>
      </c>
      <c r="AP32" s="261"/>
      <c r="AQ32" s="260">
        <v>5</v>
      </c>
    </row>
    <row r="33" spans="1:43" ht="15">
      <c r="A33" s="181"/>
      <c r="B33" s="275"/>
      <c r="C33" s="276"/>
      <c r="D33" s="277"/>
      <c r="E33" s="278"/>
      <c r="F33" s="277"/>
      <c r="G33" s="278"/>
      <c r="H33" s="277"/>
      <c r="I33" s="278"/>
      <c r="J33" s="277"/>
      <c r="K33" s="278"/>
      <c r="L33" s="277"/>
      <c r="M33" s="278"/>
      <c r="N33" s="277"/>
      <c r="O33" s="278"/>
      <c r="P33" s="277"/>
      <c r="Q33" s="278"/>
      <c r="R33" s="277"/>
      <c r="S33" s="278"/>
      <c r="T33" s="277"/>
      <c r="U33" s="278"/>
      <c r="V33" s="279"/>
      <c r="Y33" s="261">
        <f>'4. SUBAWARDS'!Q27</f>
        <v>0</v>
      </c>
      <c r="Z33" s="261">
        <f>'4. SUBAWARDS'!R27</f>
        <v>0</v>
      </c>
      <c r="AA33" s="261">
        <f>'4. SUBAWARDS'!S27</f>
        <v>0</v>
      </c>
      <c r="AB33" s="261">
        <f>'4. SUBAWARDS'!T27</f>
        <v>0</v>
      </c>
      <c r="AC33" s="261">
        <f>'4. SUBAWARDS'!U27</f>
        <v>0</v>
      </c>
      <c r="AD33" s="261">
        <f>'4. SUBAWARDS'!V27</f>
        <v>0</v>
      </c>
      <c r="AE33" s="261">
        <f>'4. SUBAWARDS'!W27</f>
        <v>0</v>
      </c>
      <c r="AF33" s="261">
        <f>'4. SUBAWARDS'!X27</f>
        <v>0</v>
      </c>
      <c r="AG33" s="261">
        <f>'4. SUBAWARDS'!Y27</f>
        <v>0</v>
      </c>
      <c r="AH33" s="261">
        <f>'4. SUBAWARDS'!Z27</f>
        <v>0</v>
      </c>
      <c r="AI33" s="261">
        <f>'4. SUBAWARDS'!AA27</f>
        <v>0</v>
      </c>
      <c r="AJ33" s="261">
        <f>'4. SUBAWARDS'!AB27</f>
        <v>0</v>
      </c>
      <c r="AK33" s="261">
        <f>'4. SUBAWARDS'!AC27</f>
        <v>0</v>
      </c>
      <c r="AL33" s="261">
        <f>'4. SUBAWARDS'!AD27</f>
        <v>0</v>
      </c>
      <c r="AM33" s="261">
        <f>'4. SUBAWARDS'!AE27</f>
        <v>0</v>
      </c>
      <c r="AN33" s="261">
        <f>'4. SUBAWARDS'!AF27</f>
        <v>0</v>
      </c>
      <c r="AO33" s="261">
        <f>'4. SUBAWARDS'!AG27</f>
        <v>0</v>
      </c>
      <c r="AP33" s="261">
        <f>SUM(Y33:AO33)</f>
        <v>0</v>
      </c>
    </row>
    <row r="34" spans="1:43" ht="15">
      <c r="A34" s="291" t="str">
        <f>'4. SUBAWARDS'!N275&amp;" = Subaward(s) Direct"</f>
        <v>0 = Subaward(s) Direct</v>
      </c>
      <c r="B34" s="275">
        <f>+'4. SUBAWARDS'!B268</f>
        <v>0</v>
      </c>
      <c r="C34" s="276"/>
      <c r="D34" s="277">
        <f>+'4. SUBAWARDS'!C268</f>
        <v>0</v>
      </c>
      <c r="E34" s="278"/>
      <c r="F34" s="277">
        <f>+'4. SUBAWARDS'!D268</f>
        <v>0</v>
      </c>
      <c r="G34" s="278"/>
      <c r="H34" s="277">
        <f>+'4. SUBAWARDS'!E268</f>
        <v>0</v>
      </c>
      <c r="I34" s="278"/>
      <c r="J34" s="277">
        <f>+'4. SUBAWARDS'!F268</f>
        <v>0</v>
      </c>
      <c r="K34" s="278"/>
      <c r="L34" s="277">
        <f>+'4. SUBAWARDS'!G268</f>
        <v>0</v>
      </c>
      <c r="M34" s="278"/>
      <c r="N34" s="277">
        <f>+'4. SUBAWARDS'!H268</f>
        <v>0</v>
      </c>
      <c r="O34" s="278"/>
      <c r="P34" s="277">
        <f>+'4. SUBAWARDS'!I268</f>
        <v>0</v>
      </c>
      <c r="Q34" s="278"/>
      <c r="R34" s="277">
        <f>+'4. SUBAWARDS'!J268</f>
        <v>0</v>
      </c>
      <c r="S34" s="278"/>
      <c r="T34" s="277">
        <f>+'4. SUBAWARDS'!K268</f>
        <v>0</v>
      </c>
      <c r="U34" s="278"/>
      <c r="V34" s="279">
        <f>SUM(B34:U34)</f>
        <v>0</v>
      </c>
      <c r="Y34" s="261"/>
      <c r="Z34" s="261"/>
      <c r="AA34" s="261"/>
      <c r="AB34" s="261"/>
      <c r="AC34" s="261"/>
      <c r="AD34" s="261"/>
      <c r="AE34" s="261"/>
      <c r="AF34" s="261"/>
      <c r="AG34" s="261"/>
      <c r="AH34" s="261"/>
      <c r="AI34" s="261"/>
      <c r="AJ34" s="261"/>
      <c r="AK34" s="261"/>
      <c r="AL34" s="261"/>
      <c r="AM34" s="261"/>
      <c r="AN34" s="261"/>
      <c r="AO34" s="261"/>
      <c r="AP34" s="261"/>
    </row>
    <row r="35" spans="1:43" ht="15">
      <c r="A35" s="200" t="s">
        <v>176</v>
      </c>
      <c r="B35" s="292">
        <f>SUM(B19:B34)</f>
        <v>0</v>
      </c>
      <c r="C35" s="281"/>
      <c r="D35" s="292">
        <f>SUM(D19:D34)</f>
        <v>0</v>
      </c>
      <c r="E35" s="283"/>
      <c r="F35" s="292">
        <f>SUM(F19:F34)</f>
        <v>0</v>
      </c>
      <c r="G35" s="283"/>
      <c r="H35" s="292">
        <f>SUM(H19:H34)</f>
        <v>0</v>
      </c>
      <c r="I35" s="281"/>
      <c r="J35" s="292">
        <f>SUM(J19:J34)</f>
        <v>0</v>
      </c>
      <c r="K35" s="283"/>
      <c r="L35" s="292">
        <f>SUM(L19:L34)</f>
        <v>0</v>
      </c>
      <c r="M35" s="283"/>
      <c r="N35" s="292">
        <f>SUM(N19:N34)</f>
        <v>0</v>
      </c>
      <c r="O35" s="283"/>
      <c r="P35" s="292">
        <f>SUM(P19:P34)</f>
        <v>0</v>
      </c>
      <c r="Q35" s="283"/>
      <c r="R35" s="292">
        <f>SUM(R19:R34)</f>
        <v>0</v>
      </c>
      <c r="S35" s="283"/>
      <c r="T35" s="292">
        <f>SUM(T19:T34)</f>
        <v>0</v>
      </c>
      <c r="U35" s="283"/>
      <c r="V35" s="284">
        <f>SUM(B35:U35)</f>
        <v>0</v>
      </c>
      <c r="Y35" s="264"/>
      <c r="Z35" s="264"/>
      <c r="AA35" s="264"/>
      <c r="AB35" s="264"/>
      <c r="AC35" s="264"/>
      <c r="AD35" s="264"/>
      <c r="AE35" s="264"/>
      <c r="AF35" s="264"/>
      <c r="AG35" s="264"/>
      <c r="AH35" s="264"/>
      <c r="AI35" s="264"/>
      <c r="AJ35" s="264"/>
      <c r="AK35" s="264"/>
      <c r="AL35" s="264"/>
      <c r="AM35" s="264"/>
      <c r="AN35" s="264"/>
      <c r="AO35" s="264"/>
      <c r="AP35" s="264"/>
    </row>
    <row r="36" spans="1:43" ht="15">
      <c r="A36" s="581" t="s">
        <v>179</v>
      </c>
      <c r="B36" s="280"/>
      <c r="C36" s="281"/>
      <c r="D36" s="282"/>
      <c r="E36" s="283"/>
      <c r="F36" s="282"/>
      <c r="G36" s="283"/>
      <c r="H36" s="282"/>
      <c r="I36" s="283"/>
      <c r="J36" s="282"/>
      <c r="K36" s="283"/>
      <c r="L36" s="282"/>
      <c r="M36" s="283"/>
      <c r="N36" s="282"/>
      <c r="O36" s="283"/>
      <c r="P36" s="282"/>
      <c r="Q36" s="283"/>
      <c r="R36" s="282"/>
      <c r="S36" s="283"/>
      <c r="T36" s="282"/>
      <c r="U36" s="283"/>
      <c r="V36" s="284"/>
      <c r="Y36" s="264"/>
      <c r="Z36" s="264"/>
      <c r="AA36" s="264"/>
      <c r="AB36" s="264"/>
      <c r="AC36" s="264"/>
      <c r="AD36" s="264"/>
      <c r="AE36" s="264"/>
      <c r="AF36" s="264"/>
      <c r="AG36" s="264"/>
      <c r="AH36" s="264"/>
      <c r="AI36" s="264"/>
      <c r="AJ36" s="264"/>
      <c r="AK36" s="264"/>
      <c r="AL36" s="264"/>
      <c r="AM36" s="264"/>
      <c r="AN36" s="264"/>
      <c r="AO36" s="264"/>
      <c r="AP36" s="264"/>
    </row>
    <row r="37" spans="1:43" ht="15">
      <c r="A37" s="582"/>
      <c r="B37" s="293">
        <f>B35+B16</f>
        <v>0</v>
      </c>
      <c r="C37" s="294"/>
      <c r="D37" s="295">
        <f>D35+D16</f>
        <v>0</v>
      </c>
      <c r="E37" s="296"/>
      <c r="F37" s="295">
        <f>F35+F16</f>
        <v>0</v>
      </c>
      <c r="G37" s="296"/>
      <c r="H37" s="295">
        <f>H35+H16</f>
        <v>0</v>
      </c>
      <c r="I37" s="296"/>
      <c r="J37" s="295">
        <f>J35+J16</f>
        <v>0</v>
      </c>
      <c r="K37" s="296"/>
      <c r="L37" s="295">
        <f>L35+L16</f>
        <v>0</v>
      </c>
      <c r="M37" s="296"/>
      <c r="N37" s="295">
        <f>N35+N16</f>
        <v>0</v>
      </c>
      <c r="O37" s="296"/>
      <c r="P37" s="295">
        <f>P35+P16</f>
        <v>0</v>
      </c>
      <c r="Q37" s="296"/>
      <c r="R37" s="295">
        <f>R35+R16</f>
        <v>0</v>
      </c>
      <c r="S37" s="296"/>
      <c r="T37" s="295">
        <f>T35+T16</f>
        <v>0</v>
      </c>
      <c r="U37" s="296"/>
      <c r="V37" s="297">
        <f>SUM(B37:U37)</f>
        <v>0</v>
      </c>
      <c r="Y37" s="265">
        <f>IF(Y33=0,0,(($J$43/$AP$33)*Y33)*VLOOKUP('1. SUMMARY'!$C$20,rate,+Sheet1!T21,0))</f>
        <v>0</v>
      </c>
      <c r="Z37" s="265">
        <f>IF(Z33=0,0,(($J$43/$AP$33)*Z33)*VLOOKUP('1. SUMMARY'!$C$20,rate,+Sheet1!U21,0))</f>
        <v>0</v>
      </c>
      <c r="AA37" s="265">
        <f>IF(AA33=0,0,(($J$43/$AP$33)*AA33)*VLOOKUP('1. SUMMARY'!$C$20,rate,+Sheet1!V21,0))</f>
        <v>0</v>
      </c>
      <c r="AB37" s="265">
        <f>IF(AB33=0,0,(($J$43/$AP$33)*AB33)*VLOOKUP('1. SUMMARY'!$C$20,rate,+Sheet1!W21,0))</f>
        <v>0</v>
      </c>
      <c r="AC37" s="265">
        <f>IF(AC33=0,0,(($J$43/$AP$33)*AC33)*VLOOKUP('1. SUMMARY'!$C$20,rate,+Sheet1!X21,0))</f>
        <v>0</v>
      </c>
      <c r="AD37" s="265">
        <f>IF(AD33=0,0,(($J$43/$AP$33)*AD33)*VLOOKUP('1. SUMMARY'!$C$20,rate,+Sheet1!Y21,0))</f>
        <v>0</v>
      </c>
      <c r="AE37" s="265">
        <f>IF(AE33=0,0,(($J$43/$AP$33)*AE33)*VLOOKUP('1. SUMMARY'!$C$20,rate,+Sheet1!Z21,0))</f>
        <v>0</v>
      </c>
      <c r="AF37" s="265">
        <f>IF(AF33=0,0,(($J$43/$AP$33)*AF33)*VLOOKUP('1. SUMMARY'!$C$20,rate,+Sheet1!AA21,0))</f>
        <v>0</v>
      </c>
      <c r="AG37" s="265">
        <f>IF(AG33=0,0,(($J$43/$AP$33)*AG33)*VLOOKUP('1. SUMMARY'!$C$20,rate,+Sheet1!AB21,0))</f>
        <v>0</v>
      </c>
      <c r="AH37" s="265">
        <f>IF(AH33=0,0,(($J$43/$AP$33)*AH33)*VLOOKUP('1. SUMMARY'!$C$20,rate,+Sheet1!AC21,0))</f>
        <v>0</v>
      </c>
      <c r="AI37" s="265">
        <f>IF(AI33=0,0,(($J$43/$AP$33)*AI33)*VLOOKUP('1. SUMMARY'!$C$20,rate,+Sheet1!AD21,0))</f>
        <v>0</v>
      </c>
      <c r="AJ37" s="265">
        <f>IF(AJ33=0,0,(($J$43/$AP$33)*AJ33)*VLOOKUP('1. SUMMARY'!$C$20,rate,+Sheet1!AE21,0))</f>
        <v>0</v>
      </c>
      <c r="AK37" s="265">
        <f>IF(AK33=0,0,(($J$43/$AP$33)*AK33)*VLOOKUP('1. SUMMARY'!$C$20,rate,+Sheet1!AF21,0))</f>
        <v>0</v>
      </c>
      <c r="AL37" s="265">
        <f>IF(AL33=0,0,(($J$43/$AP$33)*AL33)*VLOOKUP('1. SUMMARY'!$C$20,rate,+Sheet1!AG21,0))</f>
        <v>0</v>
      </c>
      <c r="AM37" s="265">
        <f>IF(AM33=0,0,(($J$43/$AP$33)*AM33)*VLOOKUP('1. SUMMARY'!$C$20,rate,+Sheet1!AH21,0))</f>
        <v>0</v>
      </c>
      <c r="AN37" s="265">
        <f>IF(AN33=0,0,(($J$43/$AP$33)*AN33)*VLOOKUP('1. SUMMARY'!$C$20,rate,+Sheet1!AI21,0))</f>
        <v>0</v>
      </c>
      <c r="AO37" s="265">
        <f>IF(AO33=0,0,(($J$43/$AP$33)*AO33)*VLOOKUP('1. SUMMARY'!$C$20,rate,+Sheet1!AJ21,0))</f>
        <v>0</v>
      </c>
      <c r="AP37" s="266">
        <f>SUM(Y37:AO37)</f>
        <v>0</v>
      </c>
    </row>
    <row r="38" spans="1:43" ht="15">
      <c r="A38" s="298"/>
      <c r="B38" s="280"/>
      <c r="C38" s="281"/>
      <c r="D38" s="282"/>
      <c r="E38" s="283"/>
      <c r="F38" s="282"/>
      <c r="G38" s="283"/>
      <c r="H38" s="282"/>
      <c r="I38" s="283"/>
      <c r="J38" s="282"/>
      <c r="K38" s="283"/>
      <c r="L38" s="282"/>
      <c r="M38" s="283"/>
      <c r="N38" s="282"/>
      <c r="O38" s="283"/>
      <c r="P38" s="282"/>
      <c r="Q38" s="283"/>
      <c r="R38" s="282"/>
      <c r="S38" s="283"/>
      <c r="T38" s="282"/>
      <c r="U38" s="283"/>
      <c r="V38" s="284"/>
      <c r="Y38" s="265">
        <f>IF(Y33=0,0,+($J$43/$AP$33)*Y33)</f>
        <v>0</v>
      </c>
      <c r="Z38" s="265">
        <f t="shared" ref="Z38:AO38" si="5">IF(Z33=0,0,+($J$43/$AP$33)*Z33)</f>
        <v>0</v>
      </c>
      <c r="AA38" s="265">
        <f t="shared" si="5"/>
        <v>0</v>
      </c>
      <c r="AB38" s="265">
        <f t="shared" si="5"/>
        <v>0</v>
      </c>
      <c r="AC38" s="265">
        <f t="shared" si="5"/>
        <v>0</v>
      </c>
      <c r="AD38" s="265">
        <f t="shared" si="5"/>
        <v>0</v>
      </c>
      <c r="AE38" s="265">
        <f t="shared" si="5"/>
        <v>0</v>
      </c>
      <c r="AF38" s="265">
        <f t="shared" si="5"/>
        <v>0</v>
      </c>
      <c r="AG38" s="265">
        <f t="shared" si="5"/>
        <v>0</v>
      </c>
      <c r="AH38" s="265">
        <f t="shared" si="5"/>
        <v>0</v>
      </c>
      <c r="AI38" s="265">
        <f t="shared" si="5"/>
        <v>0</v>
      </c>
      <c r="AJ38" s="265">
        <f t="shared" si="5"/>
        <v>0</v>
      </c>
      <c r="AK38" s="265">
        <f t="shared" si="5"/>
        <v>0</v>
      </c>
      <c r="AL38" s="265">
        <f t="shared" si="5"/>
        <v>0</v>
      </c>
      <c r="AM38" s="265">
        <f t="shared" si="5"/>
        <v>0</v>
      </c>
      <c r="AN38" s="265">
        <f t="shared" si="5"/>
        <v>0</v>
      </c>
      <c r="AO38" s="265">
        <f t="shared" si="5"/>
        <v>0</v>
      </c>
      <c r="AP38" s="266">
        <f>SUM(Y38:AO38)</f>
        <v>0</v>
      </c>
    </row>
    <row r="39" spans="1:43" ht="15">
      <c r="A39" s="291" t="str">
        <f>'4. SUBAWARDS'!N275&amp;" = Subaward(s) Indirect"</f>
        <v>0 = Subaward(s) Indirect</v>
      </c>
      <c r="B39" s="299">
        <f>+'4. SUBAWARDS'!B269</f>
        <v>0</v>
      </c>
      <c r="C39" s="300"/>
      <c r="D39" s="301">
        <f>+'4. SUBAWARDS'!C269</f>
        <v>0</v>
      </c>
      <c r="E39" s="302"/>
      <c r="F39" s="301">
        <f>+'4. SUBAWARDS'!D269</f>
        <v>0</v>
      </c>
      <c r="G39" s="302"/>
      <c r="H39" s="301">
        <f>+'4. SUBAWARDS'!E269</f>
        <v>0</v>
      </c>
      <c r="I39" s="302"/>
      <c r="J39" s="301">
        <f>+'4. SUBAWARDS'!F269</f>
        <v>0</v>
      </c>
      <c r="K39" s="302"/>
      <c r="L39" s="301">
        <f>+'4. SUBAWARDS'!G269</f>
        <v>0</v>
      </c>
      <c r="M39" s="302"/>
      <c r="N39" s="301">
        <f>+'4. SUBAWARDS'!H269</f>
        <v>0</v>
      </c>
      <c r="O39" s="302"/>
      <c r="P39" s="301">
        <f>+'4. SUBAWARDS'!I269</f>
        <v>0</v>
      </c>
      <c r="Q39" s="302"/>
      <c r="R39" s="301">
        <f>+'4. SUBAWARDS'!J269</f>
        <v>0</v>
      </c>
      <c r="S39" s="302"/>
      <c r="T39" s="301">
        <f>+'4. SUBAWARDS'!K269</f>
        <v>0</v>
      </c>
      <c r="U39" s="302"/>
      <c r="V39" s="303">
        <f>SUM(B39:U39)</f>
        <v>0</v>
      </c>
      <c r="Y39" s="263">
        <f>+Sheet1!$T$8</f>
        <v>44105</v>
      </c>
      <c r="Z39" s="263">
        <f>+Sheet1!$U$8</f>
        <v>44470</v>
      </c>
      <c r="AA39" s="263">
        <f>+Sheet1!$V$8</f>
        <v>44835</v>
      </c>
      <c r="AB39" s="263">
        <f>+Sheet1!$W$8</f>
        <v>45200</v>
      </c>
      <c r="AC39" s="263">
        <f>+Sheet1!$X$8</f>
        <v>45566</v>
      </c>
      <c r="AD39" s="263">
        <f>+Sheet1!$Y$8</f>
        <v>45931</v>
      </c>
      <c r="AE39" s="263">
        <f>+Sheet1!$Z$8</f>
        <v>46296</v>
      </c>
      <c r="AF39" s="263">
        <f>+Sheet1!AA$8</f>
        <v>46661</v>
      </c>
      <c r="AG39" s="263">
        <f>+Sheet1!AB$8</f>
        <v>47027</v>
      </c>
      <c r="AH39" s="263">
        <f>+Sheet1!AC$8</f>
        <v>47392</v>
      </c>
      <c r="AI39" s="263">
        <f>+Sheet1!AD$8</f>
        <v>47757</v>
      </c>
      <c r="AJ39" s="263">
        <f>+Sheet1!AE$8</f>
        <v>48122</v>
      </c>
      <c r="AK39" s="263">
        <f>+Sheet1!AF$8</f>
        <v>48488</v>
      </c>
      <c r="AL39" s="263">
        <f>+Sheet1!AG$8</f>
        <v>48853</v>
      </c>
      <c r="AM39" s="263">
        <f>+Sheet1!AH$8</f>
        <v>49218</v>
      </c>
      <c r="AN39" s="263">
        <f>+Sheet1!AI$8</f>
        <v>49583</v>
      </c>
      <c r="AO39" s="263">
        <f>+Sheet1!AJ$8</f>
        <v>49949</v>
      </c>
      <c r="AP39" s="261"/>
    </row>
    <row r="40" spans="1:43" ht="15">
      <c r="B40" s="270"/>
      <c r="C40" s="234"/>
      <c r="D40" s="271"/>
      <c r="E40" s="272"/>
      <c r="F40" s="271"/>
      <c r="G40" s="272"/>
      <c r="H40" s="271"/>
      <c r="I40" s="272"/>
      <c r="J40" s="271"/>
      <c r="K40" s="272"/>
      <c r="L40" s="271"/>
      <c r="M40" s="272"/>
      <c r="N40" s="271"/>
      <c r="O40" s="272"/>
      <c r="P40" s="271"/>
      <c r="Q40" s="272"/>
      <c r="R40" s="271"/>
      <c r="S40" s="272"/>
      <c r="T40" s="271"/>
      <c r="U40" s="272"/>
      <c r="V40" s="285"/>
      <c r="X40" s="260">
        <v>6</v>
      </c>
      <c r="Y40" s="263">
        <f>+Sheet1!$T$9</f>
        <v>44469</v>
      </c>
      <c r="Z40" s="263">
        <f>+Sheet1!$U$9</f>
        <v>44834</v>
      </c>
      <c r="AA40" s="263">
        <f>+Sheet1!$V$9</f>
        <v>45199</v>
      </c>
      <c r="AB40" s="263">
        <f>+Sheet1!$W$9</f>
        <v>45565</v>
      </c>
      <c r="AC40" s="263">
        <f>+Sheet1!$X$9</f>
        <v>45930</v>
      </c>
      <c r="AD40" s="263">
        <f>+Sheet1!$Y$9</f>
        <v>46295</v>
      </c>
      <c r="AE40" s="263">
        <f>+Sheet1!$Z$9</f>
        <v>46660</v>
      </c>
      <c r="AF40" s="263">
        <f>+Sheet1!AA$9</f>
        <v>47026</v>
      </c>
      <c r="AG40" s="263">
        <f>+Sheet1!AB$9</f>
        <v>47391</v>
      </c>
      <c r="AH40" s="263">
        <f>+Sheet1!AC$9</f>
        <v>47756</v>
      </c>
      <c r="AI40" s="263">
        <f>+Sheet1!AD$9</f>
        <v>48121</v>
      </c>
      <c r="AJ40" s="263">
        <f>+Sheet1!AE$9</f>
        <v>48487</v>
      </c>
      <c r="AK40" s="263">
        <f>+Sheet1!AF$9</f>
        <v>48852</v>
      </c>
      <c r="AL40" s="263">
        <f>+Sheet1!AG$9</f>
        <v>49217</v>
      </c>
      <c r="AM40" s="263">
        <f>+Sheet1!AH$9</f>
        <v>49582</v>
      </c>
      <c r="AN40" s="263">
        <f>+Sheet1!AI$9</f>
        <v>49948</v>
      </c>
      <c r="AO40" s="263">
        <f>+Sheet1!AJ$9</f>
        <v>50313</v>
      </c>
      <c r="AP40" s="261"/>
      <c r="AQ40" s="260">
        <v>6</v>
      </c>
    </row>
    <row r="41" spans="1:43" ht="15">
      <c r="A41" s="306" t="s">
        <v>180</v>
      </c>
      <c r="B41" s="293">
        <f>B39+B37</f>
        <v>0</v>
      </c>
      <c r="C41" s="294"/>
      <c r="D41" s="295">
        <f>+D39+D37</f>
        <v>0</v>
      </c>
      <c r="E41" s="296"/>
      <c r="F41" s="295">
        <f>+F39+F37</f>
        <v>0</v>
      </c>
      <c r="G41" s="296"/>
      <c r="H41" s="295">
        <f>+H39+H37</f>
        <v>0</v>
      </c>
      <c r="I41" s="296"/>
      <c r="J41" s="295">
        <f>+J39+J37</f>
        <v>0</v>
      </c>
      <c r="K41" s="296"/>
      <c r="L41" s="295">
        <f>+L39+L37</f>
        <v>0</v>
      </c>
      <c r="M41" s="296"/>
      <c r="N41" s="295">
        <f>+N39+N37</f>
        <v>0</v>
      </c>
      <c r="O41" s="296"/>
      <c r="P41" s="295">
        <f>+P39+P37</f>
        <v>0</v>
      </c>
      <c r="Q41" s="296"/>
      <c r="R41" s="295">
        <f>+R39+R37</f>
        <v>0</v>
      </c>
      <c r="S41" s="296"/>
      <c r="T41" s="295">
        <f>+T39+T37</f>
        <v>0</v>
      </c>
      <c r="U41" s="296"/>
      <c r="V41" s="297">
        <f>SUM(B41:U41)</f>
        <v>0</v>
      </c>
      <c r="Y41" s="265">
        <f>'4. SUBAWARDS'!Q32</f>
        <v>0</v>
      </c>
      <c r="Z41" s="265">
        <f>'4. SUBAWARDS'!R32</f>
        <v>0</v>
      </c>
      <c r="AA41" s="265">
        <f>'4. SUBAWARDS'!S32</f>
        <v>0</v>
      </c>
      <c r="AB41" s="265">
        <f>'4. SUBAWARDS'!T32</f>
        <v>0</v>
      </c>
      <c r="AC41" s="265">
        <f>'4. SUBAWARDS'!U32</f>
        <v>0</v>
      </c>
      <c r="AD41" s="265">
        <f>'4. SUBAWARDS'!V32</f>
        <v>0</v>
      </c>
      <c r="AE41" s="265">
        <f>'4. SUBAWARDS'!W32</f>
        <v>0</v>
      </c>
      <c r="AF41" s="265">
        <f>'4. SUBAWARDS'!X32</f>
        <v>0</v>
      </c>
      <c r="AG41" s="265">
        <f>'4. SUBAWARDS'!Y32</f>
        <v>0</v>
      </c>
      <c r="AH41" s="265">
        <f>'4. SUBAWARDS'!Z32</f>
        <v>0</v>
      </c>
      <c r="AI41" s="265">
        <f>'4. SUBAWARDS'!AA32</f>
        <v>0</v>
      </c>
      <c r="AJ41" s="265">
        <f>'4. SUBAWARDS'!AB32</f>
        <v>0</v>
      </c>
      <c r="AK41" s="265">
        <f>'4. SUBAWARDS'!AC32</f>
        <v>0</v>
      </c>
      <c r="AL41" s="265">
        <f>'4. SUBAWARDS'!AD32</f>
        <v>0</v>
      </c>
      <c r="AM41" s="265">
        <f>'4. SUBAWARDS'!AE32</f>
        <v>0</v>
      </c>
      <c r="AN41" s="265">
        <f>'4. SUBAWARDS'!AF32</f>
        <v>0</v>
      </c>
      <c r="AO41" s="265">
        <f>'4. SUBAWARDS'!AG32</f>
        <v>0</v>
      </c>
      <c r="AP41" s="266">
        <f>SUM(Y41:AO41)</f>
        <v>0</v>
      </c>
    </row>
    <row r="42" spans="1:43" ht="15">
      <c r="A42" s="307"/>
      <c r="B42" s="293"/>
      <c r="C42" s="294"/>
      <c r="D42" s="308"/>
      <c r="E42" s="296"/>
      <c r="F42" s="295"/>
      <c r="G42" s="296"/>
      <c r="H42" s="295"/>
      <c r="I42" s="296"/>
      <c r="J42" s="295"/>
      <c r="K42" s="296"/>
      <c r="L42" s="295"/>
      <c r="M42" s="296"/>
      <c r="N42" s="295"/>
      <c r="O42" s="296"/>
      <c r="P42" s="295"/>
      <c r="Q42" s="296"/>
      <c r="R42" s="295"/>
      <c r="S42" s="296"/>
      <c r="T42" s="295"/>
      <c r="U42" s="296"/>
      <c r="V42" s="297"/>
      <c r="Y42" s="265"/>
      <c r="Z42" s="265"/>
      <c r="AA42" s="265"/>
      <c r="AB42" s="265"/>
      <c r="AC42" s="265"/>
      <c r="AD42" s="265"/>
      <c r="AE42" s="265"/>
      <c r="AF42" s="265"/>
      <c r="AG42" s="265"/>
      <c r="AH42" s="265"/>
      <c r="AI42" s="265"/>
      <c r="AJ42" s="265"/>
      <c r="AK42" s="265"/>
      <c r="AL42" s="265"/>
      <c r="AM42" s="265"/>
      <c r="AN42" s="265"/>
      <c r="AO42" s="265"/>
      <c r="AP42" s="261"/>
    </row>
    <row r="43" spans="1:43" ht="15">
      <c r="A43" s="306" t="s">
        <v>173</v>
      </c>
      <c r="B43" s="310">
        <f>IF('1. SUMMARY'!$D$20=0%,B41,IF('1. SUMMARY'!$Q$20=2,B41,IF(+Hospital="MGH",+B28+B23+B16+B24+B25+B26+B21+B22+'4. SUBAWARDS'!AH771,IF(+Hospital="McLean",+B28+B23+B16+B24+B25+B26+B21+B22+'4. SUBAWARDS'!AH771+B29,IF(+Hospital="MEE",+B28+B23+B16+B24+B25+B26+B21+B22+'4. SUBAWARDS'!AH771+B29,IF(+Hospital="SERI",+B28+B23+B16+B24+B25+B26+B21+B22+'4. SUBAWARDS'!AH771+B29,+B16+B24+B25+B26+B21+B22+'4. SUBAWARDS'!AH771))))))</f>
        <v>0</v>
      </c>
      <c r="C43" s="311"/>
      <c r="D43" s="310">
        <f>IF('1. SUMMARY'!$D$20=0%,D41,IF('1. SUMMARY'!$Q$20=2,D41,IF(+Hospital="MGH",+D28+D23+D16+D24+D25+D26+D21+D22+'4. SUBAWARDS'!AH773,IF(+Hospital="McLean",+D28+D23+D16+D24+D25+D26+D21+D22+'4. SUBAWARDS'!AH773+D29,IF(+Hospital="MEE",+D28+D23+D16+D24+D25+D26+D21+D22+'4. SUBAWARDS'!AH773+D29,IF(+Hospital="SERI",+D28+D23+D16+D24+D25+D26+D21+D22+'4. SUBAWARDS'!AH773+D29,+D16+D24+D25+D26+D21+D22+'4. SUBAWARDS'!AH773))))))</f>
        <v>0</v>
      </c>
      <c r="E43" s="311"/>
      <c r="F43" s="527">
        <f>IF('1. SUMMARY'!$D$20=0%,F41,IF('1. SUMMARY'!$Q$20=2,F41,IF(+Hospital="MGH",+F28+F23+F16+F24+F25+F26+F21+F22+'4. SUBAWARDS'!AH775,IF(+Hospital="McLean",+F28+F23+F16+F24+F25+F26+F21+F22+'4. SUBAWARDS'!AH775+F29,IF(+Hospital="MEE",+F28+F23+F16+F24+F25+F26+F21+F22+'4. SUBAWARDS'!AH775+F29,IF(+Hospital="SERI",+F28+F23+F16+F24+F25+F26+F21+F22+'4. SUBAWARDS'!AH775+F29,+F16+F24+F25+F26+F21+F22+'4. SUBAWARDS'!AH775))))))</f>
        <v>0</v>
      </c>
      <c r="G43" s="311"/>
      <c r="H43" s="527">
        <f>IF('1. SUMMARY'!$D$20=0%,H41,IF('1. SUMMARY'!$Q$20=2,H41,IF(+Hospital="MGH",+H28+H23+H16+H24+H25+H26+H21+H22+'4. SUBAWARDS'!AH777,IF(+Hospital="McLean",+H28+H23+H16+H24+H25+H26+H21+H22+'4. SUBAWARDS'!AH777+H29,IF(+Hospital="MEE",+H28+H23+H16+H24+H25+H26+H21+H22+'4. SUBAWARDS'!AH777+H29,IF(+Hospital="SERI",+H28+H23+H16+H24+H25+H26+H21+H22+'4. SUBAWARDS'!AH777+H29,+H16+H24+H25+H26+H21+H22+'4. SUBAWARDS'!AH777))))))</f>
        <v>0</v>
      </c>
      <c r="I43" s="311"/>
      <c r="J43" s="527">
        <f>IF('1. SUMMARY'!$D$20=0%,J41,IF('1. SUMMARY'!$Q$20=2,J41,IF(+Hospital="MGH",+J28+J23+J16+J24+J25+J26+J21+J22+'4. SUBAWARDS'!AH779,IF(+Hospital="McLean",+J28+J23+J16+J24+J25+J26+J21+J22+'4. SUBAWARDS'!AH779+J29,IF(+Hospital="MEE",+J28+J23+J16+J24+J25+J26+J21+J22+'4. SUBAWARDS'!AH779+J29,IF(+Hospital="SERI",+J28+J23+J16+J24+J25+J26+J21+J22+'4. SUBAWARDS'!AH779+J29,+J16+J24+J25+J26+J21+J22+'4. SUBAWARDS'!AH779))))))</f>
        <v>0</v>
      </c>
      <c r="K43" s="312"/>
      <c r="L43" s="527">
        <f>IF('1. SUMMARY'!$D$20=0%,L41,IF('1. SUMMARY'!$Q$20=2,L41,IF(+Hospital="MGH",+L28+L23+L16+L24+L25+L26+L21+L22+'4. SUBAWARDS'!AH781,IF(+Hospital="McLean",+L28+L23+L16+L24+L25+L26+L21+L22+'4. SUBAWARDS'!AH781+L29,IF(+Hospital="MEE",+L28+L23+L16+L24+L25+L26+L21+L22+'4. SUBAWARDS'!AH781+L29,IF(+Hospital="SERI",+L28+L23+L16+L24+L25+L26+L21+L22+'4. SUBAWARDS'!AH781+L29,+L16+L24+L25+L26+L21+L22+'4. SUBAWARDS'!AH781))))))</f>
        <v>0</v>
      </c>
      <c r="M43" s="312"/>
      <c r="N43" s="527">
        <f>IF('1. SUMMARY'!$D$20=0%,N41,IF('1. SUMMARY'!$Q$20=2,N41,IF(+Hospital="MGH",+N28+N23+N16+N24+N25+N26+N21+N22+'4. SUBAWARDS'!AH783,IF(+Hospital="McLean",+N28+N23+N16+N24+N25+N26+N21+N22+'4. SUBAWARDS'!AH783+N29,IF(+Hospital="MEE",+N28+N23+N16+N24+N25+N26+N21+N22+'4. SUBAWARDS'!AH783+N29,IF(+Hospital="SERI",+N28+N23+N16+N24+N25+N26+N21+N22+'4. SUBAWARDS'!AH783+N29,+N16+N24+N25+N26+N21+N22+'4. SUBAWARDS'!AH783))))))</f>
        <v>0</v>
      </c>
      <c r="O43" s="312"/>
      <c r="P43" s="527">
        <f>IF('1. SUMMARY'!$D$20=0%,P41,IF('1. SUMMARY'!$Q$20=2,P41,IF(+Hospital="MGH",+P28+P23+P16+P24+P25+P26+P21+P22+'4. SUBAWARDS'!AH785,IF(+Hospital="McLean",+P28+P23+P16+P24+P25+P26+P21+P22+'4. SUBAWARDS'!AH785+P29,IF(+Hospital="MEE",+P28+P23+P16+P24+P25+P26+P21+P22+'4. SUBAWARDS'!AH785+P29,IF(+Hospital="SERI",+P28+P23+P16+P24+P25+P26+P21+P22+'4. SUBAWARDS'!AH785+P29,+P16+P24+P25+P26+P21+P22+'4. SUBAWARDS'!AH785))))))</f>
        <v>0</v>
      </c>
      <c r="Q43" s="312"/>
      <c r="R43" s="527">
        <f>IF('1. SUMMARY'!$D$20=0%,R41,IF('1. SUMMARY'!$Q$20=2,R41,IF(+Hospital="MGH",+R28+R23+R16+R24+R25+R26+R21+R22+'4. SUBAWARDS'!AH787,IF(+Hospital="McLean",+R28+R23+R16+R24+R25+R26+R21+R22+'4. SUBAWARDS'!AH787+R29,IF(+Hospital="MEE",+R28+R23+R16+R24+R25+R26+R21+R22+'4. SUBAWARDS'!AH787+R29,IF(+Hospital="SERI",+R28+R23+R16+R24+R25+R26+R21+R22+'4. SUBAWARDS'!AH787+R29,+R16+R24+R25+R26+R21+R22+'4. SUBAWARDS'!AH787))))))</f>
        <v>0</v>
      </c>
      <c r="S43" s="312"/>
      <c r="T43" s="527">
        <f>IF('1. SUMMARY'!$D$20=0%,T41,IF('1. SUMMARY'!$Q$20=2,T41,IF(+Hospital="MGH",+T28+T23+T16+T24+T25+T26+T21+T22+'4. SUBAWARDS'!AH789,IF(+Hospital="McLean",+T28+T23+T16+T24+T25+T26+T21+T22+'4. SUBAWARDS'!AH789+T29,IF(+Hospital="MEE",+T28+T23+T16+T24+T25+T26+T21+T22+'4. SUBAWARDS'!AH789+T29,IF(+Hospital="SERI",+T28+T23+T16+T24+T25+T26+T21+T22+'4. SUBAWARDS'!AH789+T29,+T16+T24+T25+T26+T21+T22+'4. SUBAWARDS'!AH789))))))</f>
        <v>0</v>
      </c>
      <c r="U43" s="312"/>
      <c r="V43" s="313">
        <f>SUM(B43:U43)</f>
        <v>0</v>
      </c>
      <c r="Y43" s="265">
        <f>IF(Y41=0,0,(($L$43/$AP$41)*Y41)*VLOOKUP('1. SUMMARY'!$C$20,rate,+Sheet1!T$21,0))</f>
        <v>0</v>
      </c>
      <c r="Z43" s="265">
        <f>IF(Z41=0,0,(($L$43/$AP$41)*Z41)*VLOOKUP('1. SUMMARY'!$C$20,rate,+Sheet1!U$21,0))</f>
        <v>0</v>
      </c>
      <c r="AA43" s="265">
        <f>IF(AA41=0,0,(($L$43/$AP$41)*AA41)*VLOOKUP('1. SUMMARY'!$C$20,rate,+Sheet1!V$21,0))</f>
        <v>0</v>
      </c>
      <c r="AB43" s="265">
        <f>IF(AB41=0,0,(($L$43/$AP$41)*AB41)*VLOOKUP('1. SUMMARY'!$C$20,rate,+Sheet1!W$21,0))</f>
        <v>0</v>
      </c>
      <c r="AC43" s="265">
        <f>IF(AC41=0,0,(($L$43/$AP$41)*AC41)*VLOOKUP('1. SUMMARY'!$C$20,rate,+Sheet1!X$21,0))</f>
        <v>0</v>
      </c>
      <c r="AD43" s="265">
        <f>IF(AD41=0,0,(($L$43/$AP$41)*AD41)*VLOOKUP('1. SUMMARY'!$C$20,rate,+Sheet1!Y$21,0))</f>
        <v>0</v>
      </c>
      <c r="AE43" s="265">
        <f>IF(AE41=0,0,(($L$43/$AP$41)*AE41)*VLOOKUP('1. SUMMARY'!$C$20,rate,+Sheet1!Z$21,0))</f>
        <v>0</v>
      </c>
      <c r="AF43" s="265">
        <f>IF(AF41=0,0,(($L$43/$AP$41)*AF41)*VLOOKUP('1. SUMMARY'!$C$20,rate,+Sheet1!AA$21,0))</f>
        <v>0</v>
      </c>
      <c r="AG43" s="265">
        <f>IF(AG41=0,0,(($L$43/$AP$41)*AG41)*VLOOKUP('1. SUMMARY'!$C$20,rate,+Sheet1!AB$21,0))</f>
        <v>0</v>
      </c>
      <c r="AH43" s="265">
        <f>IF(AH41=0,0,(($L$43/$AP$41)*AH41)*VLOOKUP('1. SUMMARY'!$C$20,rate,+Sheet1!AC$21,0))</f>
        <v>0</v>
      </c>
      <c r="AI43" s="265">
        <f>IF(AI41=0,0,(($L$43/$AP$41)*AI41)*VLOOKUP('1. SUMMARY'!$C$20,rate,+Sheet1!AD$21,0))</f>
        <v>0</v>
      </c>
      <c r="AJ43" s="265">
        <f>IF(AJ41=0,0,(($L$43/$AP$41)*AJ41)*VLOOKUP('1. SUMMARY'!$C$20,rate,+Sheet1!AE$21,0))</f>
        <v>0</v>
      </c>
      <c r="AK43" s="265">
        <f>IF(AK41=0,0,(($L$43/$AP$41)*AK41)*VLOOKUP('1. SUMMARY'!$C$20,rate,+Sheet1!AF$21,0))</f>
        <v>0</v>
      </c>
      <c r="AL43" s="265">
        <f>IF(AL41=0,0,(($L$43/$AP$41)*AL41)*VLOOKUP('1. SUMMARY'!$C$20,rate,+Sheet1!AG$21,0))</f>
        <v>0</v>
      </c>
      <c r="AM43" s="265">
        <f>IF(AM41=0,0,(($L$43/$AP$41)*AM41)*VLOOKUP('1. SUMMARY'!$C$20,rate,+Sheet1!AH$21,0))</f>
        <v>0</v>
      </c>
      <c r="AN43" s="265">
        <f>IF(AN41=0,0,(($L$43/$AP$41)*AN41)*VLOOKUP('1. SUMMARY'!$C$20,rate,+Sheet1!AI$21,0))</f>
        <v>0</v>
      </c>
      <c r="AO43" s="265">
        <f>IF(AO41=0,0,(($L$43/$AP$41)*AO41)*VLOOKUP('1. SUMMARY'!$C$20,rate,+Sheet1!AJ$21,0))</f>
        <v>0</v>
      </c>
      <c r="AP43" s="266">
        <f>SUM(Y43:AO43)</f>
        <v>0</v>
      </c>
    </row>
    <row r="44" spans="1:43" ht="15">
      <c r="A44" s="315" t="str">
        <f>"MTDC Months = "&amp;Y143</f>
        <v>MTDC Months = 0</v>
      </c>
      <c r="B44" s="316"/>
      <c r="C44" s="317">
        <f>IF('1. SUMMARY'!Q20=2,AA145,+Y145)</f>
        <v>0</v>
      </c>
      <c r="D44" s="318"/>
      <c r="E44" s="317">
        <f>IF('1. SUMMARY'!Q20=2,AA147,+Y147)</f>
        <v>0</v>
      </c>
      <c r="F44" s="318"/>
      <c r="G44" s="317">
        <f>IF('1. SUMMARY'!Q20=2,AA149,+Y149)</f>
        <v>0</v>
      </c>
      <c r="H44" s="318"/>
      <c r="I44" s="317">
        <f>IF('1. SUMMARY'!Q20=2,AA151,+Y151)</f>
        <v>0</v>
      </c>
      <c r="J44" s="318"/>
      <c r="K44" s="319">
        <f>IF('1. SUMMARY'!Q20=2,AA153,+Y153)</f>
        <v>0</v>
      </c>
      <c r="L44" s="318"/>
      <c r="M44" s="319">
        <f>IF('1. SUMMARY'!S20=2,AA155,+Y155)</f>
        <v>0</v>
      </c>
      <c r="N44" s="318"/>
      <c r="O44" s="319">
        <f>IF('1. SUMMARY'!U20=2,AA157,+Y157)</f>
        <v>0</v>
      </c>
      <c r="P44" s="318"/>
      <c r="Q44" s="319">
        <f>IF('1. SUMMARY'!W20=2,AA159,+Y159)</f>
        <v>0</v>
      </c>
      <c r="R44" s="318"/>
      <c r="S44" s="319">
        <f>IF('1. SUMMARY'!Y20=2,AA161,+Y161)</f>
        <v>0</v>
      </c>
      <c r="T44" s="318"/>
      <c r="U44" s="319">
        <f>IF('1. SUMMARY'!AA20=2,AA163,+Y163)</f>
        <v>0</v>
      </c>
      <c r="V44" s="320"/>
      <c r="Y44" s="265">
        <f>IF(Y41=0,0,+($L$43/$AP$41)*Y41)</f>
        <v>0</v>
      </c>
      <c r="Z44" s="265">
        <f t="shared" ref="Z44:AO44" si="6">IF(Z41=0,0,+($L$43/$AP$41)*Z41)</f>
        <v>0</v>
      </c>
      <c r="AA44" s="265">
        <f t="shared" si="6"/>
        <v>0</v>
      </c>
      <c r="AB44" s="265">
        <f t="shared" si="6"/>
        <v>0</v>
      </c>
      <c r="AC44" s="265">
        <f t="shared" si="6"/>
        <v>0</v>
      </c>
      <c r="AD44" s="265">
        <f t="shared" si="6"/>
        <v>0</v>
      </c>
      <c r="AE44" s="265">
        <f t="shared" si="6"/>
        <v>0</v>
      </c>
      <c r="AF44" s="265">
        <f t="shared" si="6"/>
        <v>0</v>
      </c>
      <c r="AG44" s="265">
        <f t="shared" si="6"/>
        <v>0</v>
      </c>
      <c r="AH44" s="265">
        <f t="shared" si="6"/>
        <v>0</v>
      </c>
      <c r="AI44" s="265">
        <f t="shared" si="6"/>
        <v>0</v>
      </c>
      <c r="AJ44" s="265">
        <f t="shared" si="6"/>
        <v>0</v>
      </c>
      <c r="AK44" s="265">
        <f t="shared" si="6"/>
        <v>0</v>
      </c>
      <c r="AL44" s="265">
        <f t="shared" si="6"/>
        <v>0</v>
      </c>
      <c r="AM44" s="265">
        <f t="shared" si="6"/>
        <v>0</v>
      </c>
      <c r="AN44" s="265">
        <f t="shared" si="6"/>
        <v>0</v>
      </c>
      <c r="AO44" s="265">
        <f t="shared" si="6"/>
        <v>0</v>
      </c>
      <c r="AP44" s="266">
        <f>SUM(Y44:AO44)</f>
        <v>0</v>
      </c>
    </row>
    <row r="45" spans="1:43" ht="15">
      <c r="A45" s="315" t="str">
        <f>"MTDC Months = "&amp;Z143</f>
        <v>MTDC Months = 0</v>
      </c>
      <c r="B45" s="321"/>
      <c r="C45" s="322">
        <f>IF('1. SUMMARY'!Q20=2,AB145,+Z145)</f>
        <v>0</v>
      </c>
      <c r="D45" s="323"/>
      <c r="E45" s="322">
        <f>IF('1. SUMMARY'!Q20=2,AB147,+Z147)</f>
        <v>0</v>
      </c>
      <c r="F45" s="323"/>
      <c r="G45" s="322">
        <f>IF('1. SUMMARY'!Q20=2,AB149,+Z149)</f>
        <v>0</v>
      </c>
      <c r="H45" s="323"/>
      <c r="I45" s="322">
        <f>IF('1. SUMMARY'!Q20=2,AB151,+Z151)</f>
        <v>0</v>
      </c>
      <c r="J45" s="323"/>
      <c r="K45" s="324">
        <f>IF('1. SUMMARY'!Q20=2,AB153,+Z153)</f>
        <v>0</v>
      </c>
      <c r="L45" s="323"/>
      <c r="M45" s="324">
        <f>IF('1. SUMMARY'!S20=2,AB155,+Z155)</f>
        <v>0</v>
      </c>
      <c r="N45" s="323"/>
      <c r="O45" s="324">
        <f>IF('1. SUMMARY'!U20=2,AB157,+Z157)</f>
        <v>0</v>
      </c>
      <c r="P45" s="323"/>
      <c r="Q45" s="324">
        <f>IF('1. SUMMARY'!W20=2,AB159,+Z159)</f>
        <v>0</v>
      </c>
      <c r="R45" s="323"/>
      <c r="S45" s="324">
        <f>IF('1. SUMMARY'!Y20=2,AB161,+Z161)</f>
        <v>0</v>
      </c>
      <c r="T45" s="323"/>
      <c r="U45" s="324">
        <f>IF('1. SUMMARY'!AA20=2,AB163,+Z163)</f>
        <v>0</v>
      </c>
      <c r="V45" s="285"/>
      <c r="Y45" s="265"/>
      <c r="Z45" s="265"/>
      <c r="AA45" s="265"/>
      <c r="AB45" s="265"/>
      <c r="AC45" s="265"/>
      <c r="AD45" s="265"/>
      <c r="AE45" s="265"/>
      <c r="AF45" s="265"/>
      <c r="AG45" s="265"/>
      <c r="AH45" s="265"/>
      <c r="AI45" s="265"/>
      <c r="AJ45" s="265"/>
      <c r="AK45" s="265"/>
      <c r="AL45" s="265"/>
      <c r="AM45" s="265"/>
      <c r="AN45" s="265"/>
      <c r="AO45" s="265"/>
      <c r="AP45" s="261"/>
    </row>
    <row r="46" spans="1:43" ht="15">
      <c r="A46" s="181"/>
      <c r="B46" s="299"/>
      <c r="C46" s="300"/>
      <c r="D46" s="301"/>
      <c r="E46" s="300"/>
      <c r="F46" s="301"/>
      <c r="G46" s="300"/>
      <c r="H46" s="301"/>
      <c r="I46" s="300"/>
      <c r="J46" s="301"/>
      <c r="K46" s="302"/>
      <c r="L46" s="301"/>
      <c r="M46" s="302"/>
      <c r="N46" s="301"/>
      <c r="O46" s="302"/>
      <c r="P46" s="301"/>
      <c r="Q46" s="302"/>
      <c r="R46" s="301"/>
      <c r="S46" s="302"/>
      <c r="T46" s="301"/>
      <c r="U46" s="302"/>
      <c r="V46" s="303"/>
      <c r="Y46" s="263">
        <f>+Sheet1!$T$8</f>
        <v>44105</v>
      </c>
      <c r="Z46" s="263">
        <f>+Sheet1!$U$8</f>
        <v>44470</v>
      </c>
      <c r="AA46" s="263">
        <f>+Sheet1!$V$8</f>
        <v>44835</v>
      </c>
      <c r="AB46" s="263">
        <f>+Sheet1!$W$8</f>
        <v>45200</v>
      </c>
      <c r="AC46" s="263">
        <f>+Sheet1!$X$8</f>
        <v>45566</v>
      </c>
      <c r="AD46" s="263">
        <f>+Sheet1!$Y$8</f>
        <v>45931</v>
      </c>
      <c r="AE46" s="263">
        <f>+Sheet1!$Z$8</f>
        <v>46296</v>
      </c>
      <c r="AF46" s="263">
        <f>+Sheet1!AA$8</f>
        <v>46661</v>
      </c>
      <c r="AG46" s="263">
        <f>+Sheet1!AB$8</f>
        <v>47027</v>
      </c>
      <c r="AH46" s="263">
        <f>+Sheet1!AC$8</f>
        <v>47392</v>
      </c>
      <c r="AI46" s="263">
        <f>+Sheet1!AD$8</f>
        <v>47757</v>
      </c>
      <c r="AJ46" s="263">
        <f>+Sheet1!AE$8</f>
        <v>48122</v>
      </c>
      <c r="AK46" s="263">
        <f>+Sheet1!AF$8</f>
        <v>48488</v>
      </c>
      <c r="AL46" s="263">
        <f>+Sheet1!AG$8</f>
        <v>48853</v>
      </c>
      <c r="AM46" s="263">
        <f>+Sheet1!AH$8</f>
        <v>49218</v>
      </c>
      <c r="AN46" s="263">
        <f>+Sheet1!AI$8</f>
        <v>49583</v>
      </c>
      <c r="AO46" s="263">
        <f>+Sheet1!AJ$8</f>
        <v>49949</v>
      </c>
      <c r="AP46" s="261"/>
    </row>
    <row r="47" spans="1:43" ht="15">
      <c r="A47" s="306" t="s">
        <v>181</v>
      </c>
      <c r="B47" s="293">
        <f>IF('1. SUMMARY'!Q20=2,AP82,+AP10)</f>
        <v>0</v>
      </c>
      <c r="C47" s="294"/>
      <c r="D47" s="295">
        <f>IF('1. SUMMARY'!Q20=2,AP89,+AP17)</f>
        <v>0</v>
      </c>
      <c r="E47" s="294"/>
      <c r="F47" s="295">
        <f>IF('1. SUMMARY'!Q20=2,+AP95,+AP23)</f>
        <v>0</v>
      </c>
      <c r="G47" s="294"/>
      <c r="H47" s="295">
        <f>IF('1. SUMMARY'!Q20=2,+AP101,+AP29)</f>
        <v>0</v>
      </c>
      <c r="I47" s="294"/>
      <c r="J47" s="295">
        <f>IF('1. SUMMARY'!Q20=2,+$AP107,+$AP37)</f>
        <v>0</v>
      </c>
      <c r="K47" s="296"/>
      <c r="L47" s="295">
        <f>IF('1. SUMMARY'!S20=2,+$AP113,+$AP43)</f>
        <v>0</v>
      </c>
      <c r="M47" s="296"/>
      <c r="N47" s="295">
        <f>IF('1. SUMMARY'!U20=2,+$AP119,+$AP50)</f>
        <v>0</v>
      </c>
      <c r="O47" s="296"/>
      <c r="P47" s="295">
        <f>IF('1. SUMMARY'!W20=2,+$AP125,+$AP57)</f>
        <v>0</v>
      </c>
      <c r="Q47" s="296"/>
      <c r="R47" s="295">
        <f>IF('1. SUMMARY'!Y20=2,+$AP131,+$AP64)</f>
        <v>0</v>
      </c>
      <c r="S47" s="296"/>
      <c r="T47" s="295">
        <f>IF('1. SUMMARY'!AA20=2,+$AP137,+$AP71)</f>
        <v>0</v>
      </c>
      <c r="U47" s="296"/>
      <c r="V47" s="297">
        <f>SUM(B47:U47)</f>
        <v>0</v>
      </c>
      <c r="X47" s="260">
        <v>7</v>
      </c>
      <c r="Y47" s="263">
        <f>+Sheet1!$T$9</f>
        <v>44469</v>
      </c>
      <c r="Z47" s="263">
        <f>+Sheet1!$U$9</f>
        <v>44834</v>
      </c>
      <c r="AA47" s="263">
        <f>+Sheet1!$V$9</f>
        <v>45199</v>
      </c>
      <c r="AB47" s="263">
        <f>+Sheet1!$W$9</f>
        <v>45565</v>
      </c>
      <c r="AC47" s="263">
        <f>+Sheet1!$X$9</f>
        <v>45930</v>
      </c>
      <c r="AD47" s="263">
        <f>+Sheet1!$Y$9</f>
        <v>46295</v>
      </c>
      <c r="AE47" s="263">
        <f>+Sheet1!$Z$9</f>
        <v>46660</v>
      </c>
      <c r="AF47" s="263">
        <f>+Sheet1!AA$9</f>
        <v>47026</v>
      </c>
      <c r="AG47" s="263">
        <f>+Sheet1!AB$9</f>
        <v>47391</v>
      </c>
      <c r="AH47" s="263">
        <f>+Sheet1!AC$9</f>
        <v>47756</v>
      </c>
      <c r="AI47" s="263">
        <f>+Sheet1!AD$9</f>
        <v>48121</v>
      </c>
      <c r="AJ47" s="263">
        <f>+Sheet1!AE$9</f>
        <v>48487</v>
      </c>
      <c r="AK47" s="263">
        <f>+Sheet1!AF$9</f>
        <v>48852</v>
      </c>
      <c r="AL47" s="263">
        <f>+Sheet1!AG$9</f>
        <v>49217</v>
      </c>
      <c r="AM47" s="263">
        <f>+Sheet1!AH$9</f>
        <v>49582</v>
      </c>
      <c r="AN47" s="263">
        <f>+Sheet1!AI$9</f>
        <v>49948</v>
      </c>
      <c r="AO47" s="263">
        <f>+Sheet1!AJ$9</f>
        <v>50313</v>
      </c>
      <c r="AP47" s="261"/>
      <c r="AQ47" s="260">
        <v>7</v>
      </c>
    </row>
    <row r="48" spans="1:43" ht="15">
      <c r="A48" s="315" t="str">
        <f>"IDC Months = "&amp;+Y143</f>
        <v>IDC Months = 0</v>
      </c>
      <c r="B48" s="325">
        <f>IF(+C44=0,0,+C48/C44)</f>
        <v>0</v>
      </c>
      <c r="C48" s="326">
        <f>ROUND(IF('1. SUMMARY'!Q20=2,AA144,+Y144),2)</f>
        <v>0</v>
      </c>
      <c r="D48" s="327">
        <f>IF(+E44=0,0,+E48/E44)</f>
        <v>0</v>
      </c>
      <c r="E48" s="326">
        <f>IF('1. SUMMARY'!Q20=2,AA146,+Y146)</f>
        <v>0</v>
      </c>
      <c r="F48" s="327">
        <f>IF(+G44=0,0,+G48/G44)</f>
        <v>0</v>
      </c>
      <c r="G48" s="326">
        <f>IF('1. SUMMARY'!Q20=2,AA148,+Y148)</f>
        <v>0</v>
      </c>
      <c r="H48" s="327">
        <f>IF(+I44=0,0,+I48/I44)</f>
        <v>0</v>
      </c>
      <c r="I48" s="326">
        <f>IF('1. SUMMARY'!Q20=2,AA150,+Y150)</f>
        <v>0</v>
      </c>
      <c r="J48" s="327">
        <f>IF(K44=0,0,+K48/K44)</f>
        <v>0</v>
      </c>
      <c r="K48" s="328">
        <f>IF('1. SUMMARY'!Q20=2,AA152,+Y152)</f>
        <v>0</v>
      </c>
      <c r="L48" s="327">
        <f>IF(M44=0,0,+M48/M44)</f>
        <v>0</v>
      </c>
      <c r="M48" s="328">
        <f>IF('1. SUMMARY'!S20=2,AA154,+Y154)</f>
        <v>0</v>
      </c>
      <c r="N48" s="327">
        <f>IF(O44=0,0,+O48/O44)</f>
        <v>0</v>
      </c>
      <c r="O48" s="328">
        <f>IF('1. SUMMARY'!U20=2,AA156,+Y156)</f>
        <v>0</v>
      </c>
      <c r="P48" s="327">
        <f>IF(Q44=0,0,+Q48/Q44)</f>
        <v>0</v>
      </c>
      <c r="Q48" s="328">
        <f>IF('1. SUMMARY'!W20=2,AA158,+Y158)</f>
        <v>0</v>
      </c>
      <c r="R48" s="327">
        <f>IF(S44=0,0,+S48/S44)</f>
        <v>0</v>
      </c>
      <c r="S48" s="328">
        <f>IF('1. SUMMARY'!Y20=2,AA160,+Y160)</f>
        <v>0</v>
      </c>
      <c r="T48" s="327">
        <f>IF(U44=0,0,+U48/U44)</f>
        <v>0</v>
      </c>
      <c r="U48" s="328">
        <f>IF('1. SUMMARY'!AA20=2,AA162,+Y162)</f>
        <v>0</v>
      </c>
      <c r="V48" s="320"/>
      <c r="Y48" s="265">
        <f>'4. SUBAWARDS'!Q37</f>
        <v>0</v>
      </c>
      <c r="Z48" s="265">
        <f>'4. SUBAWARDS'!R37</f>
        <v>0</v>
      </c>
      <c r="AA48" s="265">
        <f>'4. SUBAWARDS'!S37</f>
        <v>0</v>
      </c>
      <c r="AB48" s="265">
        <f>'4. SUBAWARDS'!T37</f>
        <v>0</v>
      </c>
      <c r="AC48" s="265">
        <f>'4. SUBAWARDS'!U37</f>
        <v>0</v>
      </c>
      <c r="AD48" s="265">
        <f>'4. SUBAWARDS'!V37</f>
        <v>0</v>
      </c>
      <c r="AE48" s="265">
        <f>'4. SUBAWARDS'!W37</f>
        <v>0</v>
      </c>
      <c r="AF48" s="265">
        <f>'4. SUBAWARDS'!X37</f>
        <v>0</v>
      </c>
      <c r="AG48" s="265">
        <f>'4. SUBAWARDS'!Y37</f>
        <v>0</v>
      </c>
      <c r="AH48" s="265">
        <f>'4. SUBAWARDS'!Z37</f>
        <v>0</v>
      </c>
      <c r="AI48" s="265">
        <f>'4. SUBAWARDS'!AA37</f>
        <v>0</v>
      </c>
      <c r="AJ48" s="265">
        <f>'4. SUBAWARDS'!AB37</f>
        <v>0</v>
      </c>
      <c r="AK48" s="265">
        <f>'4. SUBAWARDS'!AC37</f>
        <v>0</v>
      </c>
      <c r="AL48" s="265">
        <f>'4. SUBAWARDS'!AD37</f>
        <v>0</v>
      </c>
      <c r="AM48" s="265">
        <f>'4. SUBAWARDS'!AE37</f>
        <v>0</v>
      </c>
      <c r="AN48" s="265">
        <f>'4. SUBAWARDS'!AF37</f>
        <v>0</v>
      </c>
      <c r="AO48" s="265">
        <f>'4. SUBAWARDS'!AG37</f>
        <v>0</v>
      </c>
      <c r="AP48" s="261">
        <f>SUM(Y48:AO48)</f>
        <v>0</v>
      </c>
    </row>
    <row r="49" spans="1:43" ht="15">
      <c r="A49" s="315" t="str">
        <f>"IDC Months = "&amp;+Z143</f>
        <v>IDC Months = 0</v>
      </c>
      <c r="B49" s="329">
        <f>IF(+C45=0,0,+C49/C45)</f>
        <v>0</v>
      </c>
      <c r="C49" s="330">
        <f>ROUND(IF('1. SUMMARY'!Q20=2,AB144,+Z144),2)</f>
        <v>0</v>
      </c>
      <c r="D49" s="331">
        <f>IF(+E45=0,0,+E49/E45)</f>
        <v>0</v>
      </c>
      <c r="E49" s="330">
        <f>IF('1. SUMMARY'!Q20=2,AB146,Z146)</f>
        <v>0</v>
      </c>
      <c r="F49" s="331">
        <f>IF(G45=0,0,+G49/G45)</f>
        <v>0</v>
      </c>
      <c r="G49" s="330">
        <f>IF('1. SUMMARY'!Q20=2,AB148,+Z148)</f>
        <v>0</v>
      </c>
      <c r="H49" s="331">
        <f>IF(I45=0,0,+I49/I45)</f>
        <v>0</v>
      </c>
      <c r="I49" s="330">
        <f>IF('1. SUMMARY'!Q20=2,AB150,+Z150)</f>
        <v>0</v>
      </c>
      <c r="J49" s="331">
        <f>IF(+K45=0,0,+K49/K45)</f>
        <v>0</v>
      </c>
      <c r="K49" s="332">
        <f>IF('1. SUMMARY'!Q20=2,AB152,+Z152)</f>
        <v>0</v>
      </c>
      <c r="L49" s="331">
        <f>IF(+M45=0,0,+M49/M45)</f>
        <v>0</v>
      </c>
      <c r="M49" s="332">
        <f>IF('1. SUMMARY'!S20=2,AB154,+Z154)</f>
        <v>0</v>
      </c>
      <c r="N49" s="331">
        <f>IF(+O45=0,0,+O49/O45)</f>
        <v>0</v>
      </c>
      <c r="O49" s="332">
        <f>IF('1. SUMMARY'!U20=2,AB156,+Z156)</f>
        <v>0</v>
      </c>
      <c r="P49" s="331">
        <f>IF(+Q45=0,0,+Q49/Q45)</f>
        <v>0</v>
      </c>
      <c r="Q49" s="332">
        <f>IF('1. SUMMARY'!W20=2,AB158,+Z158)</f>
        <v>0</v>
      </c>
      <c r="R49" s="331">
        <f>IF(+S45=0,0,+S49/S45)</f>
        <v>0</v>
      </c>
      <c r="S49" s="332">
        <f>IF('1. SUMMARY'!Y20=2,AB160,+Z160)</f>
        <v>0</v>
      </c>
      <c r="T49" s="331">
        <f>IF(+U45=0,0,+U49/U45)</f>
        <v>0</v>
      </c>
      <c r="U49" s="332">
        <f>IF('1. SUMMARY'!AA20=2,AB162,+Z162)</f>
        <v>0</v>
      </c>
      <c r="V49" s="285"/>
      <c r="Y49" s="265"/>
      <c r="Z49" s="265"/>
      <c r="AA49" s="265"/>
      <c r="AB49" s="265"/>
      <c r="AC49" s="265"/>
      <c r="AD49" s="265"/>
      <c r="AE49" s="265"/>
      <c r="AF49" s="265"/>
      <c r="AG49" s="265"/>
      <c r="AH49" s="265"/>
      <c r="AI49" s="265"/>
      <c r="AJ49" s="265"/>
      <c r="AK49" s="265"/>
      <c r="AL49" s="265"/>
      <c r="AM49" s="265"/>
      <c r="AN49" s="265"/>
      <c r="AO49" s="265"/>
      <c r="AP49" s="261"/>
    </row>
    <row r="50" spans="1:43" ht="15">
      <c r="B50" s="270"/>
      <c r="C50" s="234"/>
      <c r="D50" s="271"/>
      <c r="E50" s="234"/>
      <c r="F50" s="301"/>
      <c r="G50" s="272"/>
      <c r="H50" s="271"/>
      <c r="I50" s="234"/>
      <c r="J50" s="301"/>
      <c r="K50" s="272"/>
      <c r="L50" s="301"/>
      <c r="M50" s="272"/>
      <c r="N50" s="301"/>
      <c r="O50" s="272"/>
      <c r="P50" s="301"/>
      <c r="Q50" s="272"/>
      <c r="R50" s="301"/>
      <c r="S50" s="272"/>
      <c r="T50" s="301"/>
      <c r="U50" s="272"/>
      <c r="V50" s="285"/>
      <c r="Y50" s="265">
        <f>IF(Y48=0,0,(($N$43/$AP$48)*Y48)*VLOOKUP('1. SUMMARY'!$C$20,rate,+Sheet1!T$21,0))</f>
        <v>0</v>
      </c>
      <c r="Z50" s="265">
        <f>IF(Z48=0,0,(($N$43/$AP$48)*Z48)*VLOOKUP('1. SUMMARY'!$C$20,rate,+Sheet1!U$21,0))</f>
        <v>0</v>
      </c>
      <c r="AA50" s="265">
        <f>IF(AA48=0,0,(($N$43/$AP$48)*AA48)*VLOOKUP('1. SUMMARY'!$C$20,rate,+Sheet1!V$21,0))</f>
        <v>0</v>
      </c>
      <c r="AB50" s="265">
        <f>IF(AB48=0,0,(($N$43/$AP$48)*AB48)*VLOOKUP('1. SUMMARY'!$C$20,rate,+Sheet1!W$21,0))</f>
        <v>0</v>
      </c>
      <c r="AC50" s="265">
        <f>IF(AC48=0,0,(($N$43/$AP$48)*AC48)*VLOOKUP('1. SUMMARY'!$C$20,rate,+Sheet1!X$21,0))</f>
        <v>0</v>
      </c>
      <c r="AD50" s="265">
        <f>IF(AD48=0,0,(($N$43/$AP$48)*AD48)*VLOOKUP('1. SUMMARY'!$C$20,rate,+Sheet1!Y$21,0))</f>
        <v>0</v>
      </c>
      <c r="AE50" s="265">
        <f>IF(AE48=0,0,(($N$43/$AP$48)*AE48)*VLOOKUP('1. SUMMARY'!$C$20,rate,+Sheet1!Z$21,0))</f>
        <v>0</v>
      </c>
      <c r="AF50" s="265">
        <f>IF(AF48=0,0,(($N$43/$AP$48)*AF48)*VLOOKUP('1. SUMMARY'!$C$20,rate,+Sheet1!AA$21,0))</f>
        <v>0</v>
      </c>
      <c r="AG50" s="265">
        <f>IF(AG48=0,0,(($N$43/$AP$48)*AG48)*VLOOKUP('1. SUMMARY'!$C$20,rate,+Sheet1!AB$21,0))</f>
        <v>0</v>
      </c>
      <c r="AH50" s="265">
        <f>IF(AH48=0,0,(($N$43/$AP$48)*AH48)*VLOOKUP('1. SUMMARY'!$C$20,rate,+Sheet1!AC$21,0))</f>
        <v>0</v>
      </c>
      <c r="AI50" s="265">
        <f>IF(AI48=0,0,(($N$43/$AP$48)*AI48)*VLOOKUP('1. SUMMARY'!$C$20,rate,+Sheet1!AD$21,0))</f>
        <v>0</v>
      </c>
      <c r="AJ50" s="265">
        <f>IF(AJ48=0,0,(($N$43/$AP$48)*AJ48)*VLOOKUP('1. SUMMARY'!$C$20,rate,+Sheet1!AE$21,0))</f>
        <v>0</v>
      </c>
      <c r="AK50" s="265">
        <f>IF(AK48=0,0,(($N$43/$AP$48)*AK48)*VLOOKUP('1. SUMMARY'!$C$20,rate,+Sheet1!AF$21,0))</f>
        <v>0</v>
      </c>
      <c r="AL50" s="265">
        <f>IF(AL48=0,0,(($N$43/$AP$48)*AL48)*VLOOKUP('1. SUMMARY'!$C$20,rate,+Sheet1!AG$21,0))</f>
        <v>0</v>
      </c>
      <c r="AM50" s="265">
        <f>IF(AM48=0,0,(($N$43/$AP$48)*AM48)*VLOOKUP('1. SUMMARY'!$C$20,rate,+Sheet1!AH$21,0))</f>
        <v>0</v>
      </c>
      <c r="AN50" s="265">
        <f>IF(AN48=0,0,(($N$43/$AP$48)*AN48)*VLOOKUP('1. SUMMARY'!$C$20,rate,+Sheet1!AI$21,0))</f>
        <v>0</v>
      </c>
      <c r="AO50" s="265">
        <f>IF(AO48=0,0,(($N$43/$AP$48)*AO48)*VLOOKUP('1. SUMMARY'!$C$20,rate,+Sheet1!AJ$21,0))</f>
        <v>0</v>
      </c>
      <c r="AP50" s="266">
        <f>SUM(Y50:AO50)</f>
        <v>0</v>
      </c>
    </row>
    <row r="51" spans="1:43" ht="16" thickBot="1">
      <c r="A51" s="333" t="s">
        <v>154</v>
      </c>
      <c r="B51" s="334">
        <f>ROUND(B41+B47,2)</f>
        <v>0</v>
      </c>
      <c r="C51" s="335"/>
      <c r="D51" s="336">
        <f>D41+D47</f>
        <v>0</v>
      </c>
      <c r="E51" s="337"/>
      <c r="F51" s="336">
        <f>F41+F47</f>
        <v>0</v>
      </c>
      <c r="G51" s="337"/>
      <c r="H51" s="336">
        <f>H41+H47</f>
        <v>0</v>
      </c>
      <c r="I51" s="337"/>
      <c r="J51" s="336">
        <f>J41+J47</f>
        <v>0</v>
      </c>
      <c r="K51" s="337"/>
      <c r="L51" s="336">
        <f>L41+L47</f>
        <v>0</v>
      </c>
      <c r="M51" s="337"/>
      <c r="N51" s="336">
        <f>N41+N47</f>
        <v>0</v>
      </c>
      <c r="O51" s="337"/>
      <c r="P51" s="336">
        <f>P41+P47</f>
        <v>0</v>
      </c>
      <c r="Q51" s="337"/>
      <c r="R51" s="336">
        <f>R41+R47</f>
        <v>0</v>
      </c>
      <c r="S51" s="337"/>
      <c r="T51" s="336">
        <f>T41+T47</f>
        <v>0</v>
      </c>
      <c r="U51" s="337"/>
      <c r="V51" s="338">
        <f>SUM(B51:U51)</f>
        <v>0</v>
      </c>
      <c r="Y51" s="265">
        <f t="shared" ref="Y51:AF51" si="7">IF(Y48=0,0,+($N$43/$AP$48)*Y48)</f>
        <v>0</v>
      </c>
      <c r="Z51" s="265">
        <f t="shared" si="7"/>
        <v>0</v>
      </c>
      <c r="AA51" s="265">
        <f t="shared" si="7"/>
        <v>0</v>
      </c>
      <c r="AB51" s="265">
        <f t="shared" si="7"/>
        <v>0</v>
      </c>
      <c r="AC51" s="265">
        <f t="shared" si="7"/>
        <v>0</v>
      </c>
      <c r="AD51" s="265">
        <f t="shared" si="7"/>
        <v>0</v>
      </c>
      <c r="AE51" s="265">
        <f t="shared" si="7"/>
        <v>0</v>
      </c>
      <c r="AF51" s="265">
        <f t="shared" si="7"/>
        <v>0</v>
      </c>
      <c r="AG51" s="265">
        <f t="shared" ref="AG51:AO51" si="8">IF(AG48=0,0,+($N$43/$AP$48)*AG48)</f>
        <v>0</v>
      </c>
      <c r="AH51" s="265">
        <f t="shared" si="8"/>
        <v>0</v>
      </c>
      <c r="AI51" s="265">
        <f t="shared" si="8"/>
        <v>0</v>
      </c>
      <c r="AJ51" s="265">
        <f t="shared" si="8"/>
        <v>0</v>
      </c>
      <c r="AK51" s="265">
        <f t="shared" si="8"/>
        <v>0</v>
      </c>
      <c r="AL51" s="265">
        <f t="shared" si="8"/>
        <v>0</v>
      </c>
      <c r="AM51" s="265">
        <f t="shared" si="8"/>
        <v>0</v>
      </c>
      <c r="AN51" s="265">
        <f t="shared" si="8"/>
        <v>0</v>
      </c>
      <c r="AO51" s="265">
        <f t="shared" si="8"/>
        <v>0</v>
      </c>
      <c r="AP51" s="266">
        <f>SUM(Y51:AO51)</f>
        <v>0</v>
      </c>
    </row>
    <row r="52" spans="1:43" ht="16" thickTop="1">
      <c r="Y52" s="265"/>
      <c r="Z52" s="265"/>
      <c r="AA52" s="265"/>
      <c r="AB52" s="265"/>
      <c r="AC52" s="265"/>
      <c r="AD52" s="265"/>
      <c r="AE52" s="265"/>
      <c r="AF52" s="265"/>
      <c r="AG52" s="265"/>
      <c r="AH52" s="265"/>
      <c r="AI52" s="265"/>
      <c r="AJ52" s="265"/>
      <c r="AK52" s="265"/>
      <c r="AL52" s="265"/>
      <c r="AM52" s="265"/>
      <c r="AN52" s="265"/>
      <c r="AO52" s="265"/>
      <c r="AP52" s="261"/>
    </row>
    <row r="53" spans="1:43" ht="15">
      <c r="Y53" s="263">
        <f>+Sheet1!$T$8</f>
        <v>44105</v>
      </c>
      <c r="Z53" s="263">
        <f>+Sheet1!$U$8</f>
        <v>44470</v>
      </c>
      <c r="AA53" s="263">
        <f>+Sheet1!$V$8</f>
        <v>44835</v>
      </c>
      <c r="AB53" s="263">
        <f>+Sheet1!$W$8</f>
        <v>45200</v>
      </c>
      <c r="AC53" s="263">
        <f>+Sheet1!$X$8</f>
        <v>45566</v>
      </c>
      <c r="AD53" s="263">
        <f>+Sheet1!$Y$8</f>
        <v>45931</v>
      </c>
      <c r="AE53" s="263">
        <f>+Sheet1!$Z$8</f>
        <v>46296</v>
      </c>
      <c r="AF53" s="263">
        <f>+Sheet1!AA$8</f>
        <v>46661</v>
      </c>
      <c r="AG53" s="263">
        <f>+Sheet1!AB$8</f>
        <v>47027</v>
      </c>
      <c r="AH53" s="263">
        <f>+Sheet1!AC$8</f>
        <v>47392</v>
      </c>
      <c r="AI53" s="263">
        <f>+Sheet1!AD$8</f>
        <v>47757</v>
      </c>
      <c r="AJ53" s="263">
        <f>+Sheet1!AE$8</f>
        <v>48122</v>
      </c>
      <c r="AK53" s="263">
        <f>+Sheet1!AF$8</f>
        <v>48488</v>
      </c>
      <c r="AL53" s="263">
        <f>+Sheet1!AG$8</f>
        <v>48853</v>
      </c>
      <c r="AM53" s="263">
        <f>+Sheet1!AH$8</f>
        <v>49218</v>
      </c>
      <c r="AN53" s="263">
        <f>+Sheet1!AI$8</f>
        <v>49583</v>
      </c>
      <c r="AO53" s="263">
        <f>+Sheet1!AJ$8</f>
        <v>49949</v>
      </c>
      <c r="AP53" s="261"/>
    </row>
    <row r="54" spans="1:43" ht="15">
      <c r="B54" s="339"/>
      <c r="D54" s="339"/>
      <c r="F54" s="339"/>
      <c r="H54" s="339"/>
      <c r="J54" s="339"/>
      <c r="L54" s="339"/>
      <c r="N54" s="339"/>
      <c r="P54" s="339"/>
      <c r="R54" s="339"/>
      <c r="T54" s="339"/>
      <c r="X54" s="260">
        <v>8</v>
      </c>
      <c r="Y54" s="263">
        <f>+Sheet1!$T$9</f>
        <v>44469</v>
      </c>
      <c r="Z54" s="263">
        <f>+Sheet1!$U$9</f>
        <v>44834</v>
      </c>
      <c r="AA54" s="263">
        <f>+Sheet1!$V$9</f>
        <v>45199</v>
      </c>
      <c r="AB54" s="263">
        <f>+Sheet1!$W$9</f>
        <v>45565</v>
      </c>
      <c r="AC54" s="263">
        <f>+Sheet1!$X$9</f>
        <v>45930</v>
      </c>
      <c r="AD54" s="263">
        <f>+Sheet1!$Y$9</f>
        <v>46295</v>
      </c>
      <c r="AE54" s="263">
        <f>+Sheet1!$Z$9</f>
        <v>46660</v>
      </c>
      <c r="AF54" s="263">
        <f>+Sheet1!AA$9</f>
        <v>47026</v>
      </c>
      <c r="AG54" s="263">
        <f>+Sheet1!AB$9</f>
        <v>47391</v>
      </c>
      <c r="AH54" s="263">
        <f>+Sheet1!AC$9</f>
        <v>47756</v>
      </c>
      <c r="AI54" s="263">
        <f>+Sheet1!AD$9</f>
        <v>48121</v>
      </c>
      <c r="AJ54" s="263">
        <f>+Sheet1!AE$9</f>
        <v>48487</v>
      </c>
      <c r="AK54" s="263">
        <f>+Sheet1!AF$9</f>
        <v>48852</v>
      </c>
      <c r="AL54" s="263">
        <f>+Sheet1!AG$9</f>
        <v>49217</v>
      </c>
      <c r="AM54" s="263">
        <f>+Sheet1!AH$9</f>
        <v>49582</v>
      </c>
      <c r="AN54" s="263">
        <f>+Sheet1!AI$9</f>
        <v>49948</v>
      </c>
      <c r="AO54" s="263">
        <f>+Sheet1!AJ$9</f>
        <v>50313</v>
      </c>
      <c r="AP54" s="261"/>
      <c r="AQ54" s="260">
        <v>8</v>
      </c>
    </row>
    <row r="55" spans="1:43" ht="15">
      <c r="B55" s="339"/>
      <c r="Y55" s="265">
        <f>'4. SUBAWARDS'!Q42</f>
        <v>0</v>
      </c>
      <c r="Z55" s="265">
        <f>'4. SUBAWARDS'!R42</f>
        <v>0</v>
      </c>
      <c r="AA55" s="265">
        <f>'4. SUBAWARDS'!S42</f>
        <v>0</v>
      </c>
      <c r="AB55" s="265">
        <f>'4. SUBAWARDS'!T42</f>
        <v>0</v>
      </c>
      <c r="AC55" s="265">
        <f>'4. SUBAWARDS'!U42</f>
        <v>0</v>
      </c>
      <c r="AD55" s="265">
        <f>'4. SUBAWARDS'!V42</f>
        <v>0</v>
      </c>
      <c r="AE55" s="265">
        <f>'4. SUBAWARDS'!W42</f>
        <v>0</v>
      </c>
      <c r="AF55" s="265">
        <f>'4. SUBAWARDS'!X42</f>
        <v>0</v>
      </c>
      <c r="AG55" s="265">
        <f>'4. SUBAWARDS'!Y42</f>
        <v>0</v>
      </c>
      <c r="AH55" s="265">
        <f>'4. SUBAWARDS'!Z42</f>
        <v>0</v>
      </c>
      <c r="AI55" s="265">
        <f>'4. SUBAWARDS'!AA42</f>
        <v>0</v>
      </c>
      <c r="AJ55" s="265">
        <f>'4. SUBAWARDS'!AB42</f>
        <v>0</v>
      </c>
      <c r="AK55" s="265">
        <f>'4. SUBAWARDS'!AC42</f>
        <v>0</v>
      </c>
      <c r="AL55" s="265">
        <f>'4. SUBAWARDS'!AD42</f>
        <v>0</v>
      </c>
      <c r="AM55" s="265">
        <f>'4. SUBAWARDS'!AE42</f>
        <v>0</v>
      </c>
      <c r="AN55" s="265">
        <f>'4. SUBAWARDS'!AF42</f>
        <v>0</v>
      </c>
      <c r="AO55" s="265">
        <f>'4. SUBAWARDS'!AG42</f>
        <v>0</v>
      </c>
      <c r="AP55" s="261">
        <f>SUM(Y55:AO55)</f>
        <v>0</v>
      </c>
    </row>
    <row r="56" spans="1:43" ht="15">
      <c r="Y56" s="265"/>
      <c r="Z56" s="265"/>
      <c r="AA56" s="265"/>
      <c r="AB56" s="265"/>
      <c r="AC56" s="265"/>
      <c r="AD56" s="265"/>
      <c r="AE56" s="265"/>
      <c r="AF56" s="265"/>
      <c r="AG56" s="265"/>
      <c r="AH56" s="265"/>
      <c r="AI56" s="265"/>
      <c r="AJ56" s="265"/>
      <c r="AK56" s="265"/>
      <c r="AL56" s="265"/>
      <c r="AM56" s="265"/>
      <c r="AN56" s="265"/>
      <c r="AO56" s="265"/>
      <c r="AP56" s="261"/>
    </row>
    <row r="57" spans="1:43" ht="15" hidden="1">
      <c r="Y57" s="265">
        <f>IF(Y55=0,0,(($P$43/$AP$55)*Y55)*VLOOKUP('1. SUMMARY'!$C$20,rate,+Sheet1!T$21,0))</f>
        <v>0</v>
      </c>
      <c r="Z57" s="265">
        <f>IF(Z55=0,0,(($P$43/$AP$55)*Z55)*VLOOKUP('1. SUMMARY'!$C$20,rate,+Sheet1!U$21,0))</f>
        <v>0</v>
      </c>
      <c r="AA57" s="265">
        <f>IF(AA55=0,0,(($P$43/$AP$55)*AA55)*VLOOKUP('1. SUMMARY'!$C$20,rate,+Sheet1!V$21,0))</f>
        <v>0</v>
      </c>
      <c r="AB57" s="265">
        <f>IF(AB55=0,0,(($P$43/$AP$55)*AB55)*VLOOKUP('1. SUMMARY'!$C$20,rate,+Sheet1!W$21,0))</f>
        <v>0</v>
      </c>
      <c r="AC57" s="265">
        <f>IF(AC55=0,0,(($P$43/$AP$55)*AC55)*VLOOKUP('1. SUMMARY'!$C$20,rate,+Sheet1!X$21,0))</f>
        <v>0</v>
      </c>
      <c r="AD57" s="265">
        <f>IF(AD55=0,0,(($P$43/$AP$55)*AD55)*VLOOKUP('1. SUMMARY'!$C$20,rate,+Sheet1!Y$21,0))</f>
        <v>0</v>
      </c>
      <c r="AE57" s="265">
        <f>IF(AE55=0,0,(($P$43/$AP$55)*AE55)*VLOOKUP('1. SUMMARY'!$C$20,rate,+Sheet1!Z$21,0))</f>
        <v>0</v>
      </c>
      <c r="AF57" s="265">
        <f>IF(AF55=0,0,(($P$43/$AP$55)*AF55)*VLOOKUP('1. SUMMARY'!$C$20,rate,+Sheet1!AA$21,0))</f>
        <v>0</v>
      </c>
      <c r="AG57" s="265">
        <f>IF(AG55=0,0,(($P$43/$AP$55)*AG55)*VLOOKUP('1. SUMMARY'!$C$20,rate,+Sheet1!AB$21,0))</f>
        <v>0</v>
      </c>
      <c r="AH57" s="265">
        <f>IF(AH55=0,0,(($P$43/$AP$55)*AH55)*VLOOKUP('1. SUMMARY'!$C$20,rate,+Sheet1!AC$21,0))</f>
        <v>0</v>
      </c>
      <c r="AI57" s="265">
        <f>IF(AI55=0,0,(($P$43/$AP$55)*AI55)*VLOOKUP('1. SUMMARY'!$C$20,rate,+Sheet1!AD$21,0))</f>
        <v>0</v>
      </c>
      <c r="AJ57" s="265">
        <f>IF(AJ55=0,0,(($P$43/$AP$55)*AJ55)*VLOOKUP('1. SUMMARY'!$C$20,rate,+Sheet1!AE$21,0))</f>
        <v>0</v>
      </c>
      <c r="AK57" s="265">
        <f>IF(AK55=0,0,(($P$43/$AP$55)*AK55)*VLOOKUP('1. SUMMARY'!$C$20,rate,+Sheet1!AF$21,0))</f>
        <v>0</v>
      </c>
      <c r="AL57" s="265">
        <f>IF(AL55=0,0,(($P$43/$AP$55)*AL55)*VLOOKUP('1. SUMMARY'!$C$20,rate,+Sheet1!AG$21,0))</f>
        <v>0</v>
      </c>
      <c r="AM57" s="265">
        <f>IF(AM55=0,0,(($P$43/$AP$55)*AM55)*VLOOKUP('1. SUMMARY'!$C$20,rate,+Sheet1!AH$21,0))</f>
        <v>0</v>
      </c>
      <c r="AN57" s="265">
        <f>IF(AN55=0,0,(($P$43/$AP$55)*AN55)*VLOOKUP('1. SUMMARY'!$C$20,rate,+Sheet1!AI$21,0))</f>
        <v>0</v>
      </c>
      <c r="AO57" s="265">
        <f>IF(AO55=0,0,(($P$43/$AP$55)*AO55)*VLOOKUP('1. SUMMARY'!$C$20,rate,+Sheet1!AJ$21,0))</f>
        <v>0</v>
      </c>
      <c r="AP57" s="261">
        <f>SUM(Y57:AO57)</f>
        <v>0</v>
      </c>
    </row>
    <row r="58" spans="1:43" ht="15" hidden="1">
      <c r="Y58" s="265">
        <f>IF(Y55=0,0,+($P$43/$AP$55)*Y55)</f>
        <v>0</v>
      </c>
      <c r="Z58" s="265">
        <f t="shared" ref="Z58:AO58" si="9">IF(Z55=0,0,+($P$43/$AP$55)*Z55)</f>
        <v>0</v>
      </c>
      <c r="AA58" s="265">
        <f t="shared" si="9"/>
        <v>0</v>
      </c>
      <c r="AB58" s="265">
        <f t="shared" si="9"/>
        <v>0</v>
      </c>
      <c r="AC58" s="265">
        <f t="shared" si="9"/>
        <v>0</v>
      </c>
      <c r="AD58" s="265">
        <f t="shared" si="9"/>
        <v>0</v>
      </c>
      <c r="AE58" s="265">
        <f t="shared" si="9"/>
        <v>0</v>
      </c>
      <c r="AF58" s="265">
        <f t="shared" si="9"/>
        <v>0</v>
      </c>
      <c r="AG58" s="265">
        <f t="shared" si="9"/>
        <v>0</v>
      </c>
      <c r="AH58" s="265">
        <f t="shared" si="9"/>
        <v>0</v>
      </c>
      <c r="AI58" s="265">
        <f t="shared" si="9"/>
        <v>0</v>
      </c>
      <c r="AJ58" s="265">
        <f t="shared" si="9"/>
        <v>0</v>
      </c>
      <c r="AK58" s="265">
        <f t="shared" si="9"/>
        <v>0</v>
      </c>
      <c r="AL58" s="265">
        <f t="shared" si="9"/>
        <v>0</v>
      </c>
      <c r="AM58" s="265">
        <f t="shared" si="9"/>
        <v>0</v>
      </c>
      <c r="AN58" s="265">
        <f t="shared" si="9"/>
        <v>0</v>
      </c>
      <c r="AO58" s="265">
        <f t="shared" si="9"/>
        <v>0</v>
      </c>
      <c r="AP58" s="261">
        <f>SUM(Y58:AO58)</f>
        <v>0</v>
      </c>
    </row>
    <row r="59" spans="1:43" ht="15" hidden="1">
      <c r="Y59" s="265"/>
      <c r="Z59" s="265"/>
      <c r="AA59" s="265"/>
      <c r="AB59" s="265"/>
      <c r="AC59" s="265"/>
      <c r="AD59" s="265"/>
      <c r="AE59" s="265"/>
      <c r="AF59" s="265"/>
      <c r="AG59" s="265"/>
      <c r="AH59" s="265"/>
      <c r="AI59" s="265"/>
      <c r="AJ59" s="265"/>
      <c r="AK59" s="265"/>
      <c r="AL59" s="265"/>
      <c r="AM59" s="265"/>
      <c r="AN59" s="265"/>
      <c r="AO59" s="265"/>
      <c r="AP59" s="261"/>
    </row>
    <row r="60" spans="1:43" ht="15" hidden="1">
      <c r="Y60" s="263">
        <f>+Sheet1!$T$8</f>
        <v>44105</v>
      </c>
      <c r="Z60" s="263">
        <f>+Sheet1!$U$8</f>
        <v>44470</v>
      </c>
      <c r="AA60" s="263">
        <f>+Sheet1!$V$8</f>
        <v>44835</v>
      </c>
      <c r="AB60" s="263">
        <f>+Sheet1!$W$8</f>
        <v>45200</v>
      </c>
      <c r="AC60" s="263">
        <f>+Sheet1!$X$8</f>
        <v>45566</v>
      </c>
      <c r="AD60" s="263">
        <f>+Sheet1!$Y$8</f>
        <v>45931</v>
      </c>
      <c r="AE60" s="263">
        <f>+Sheet1!$Z$8</f>
        <v>46296</v>
      </c>
      <c r="AF60" s="263">
        <f>+Sheet1!AA$8</f>
        <v>46661</v>
      </c>
      <c r="AG60" s="263">
        <f>+Sheet1!AB$8</f>
        <v>47027</v>
      </c>
      <c r="AH60" s="263">
        <f>+Sheet1!AC$8</f>
        <v>47392</v>
      </c>
      <c r="AI60" s="263">
        <f>+Sheet1!AD$8</f>
        <v>47757</v>
      </c>
      <c r="AJ60" s="263">
        <f>+Sheet1!AE$8</f>
        <v>48122</v>
      </c>
      <c r="AK60" s="263">
        <f>+Sheet1!AF$8</f>
        <v>48488</v>
      </c>
      <c r="AL60" s="263">
        <f>+Sheet1!AG$8</f>
        <v>48853</v>
      </c>
      <c r="AM60" s="263">
        <f>+Sheet1!AH$8</f>
        <v>49218</v>
      </c>
      <c r="AN60" s="263">
        <f>+Sheet1!AI$8</f>
        <v>49583</v>
      </c>
      <c r="AO60" s="263">
        <f>+Sheet1!AJ$8</f>
        <v>49949</v>
      </c>
      <c r="AP60" s="261"/>
    </row>
    <row r="61" spans="1:43" ht="15" hidden="1">
      <c r="X61" s="260">
        <v>9</v>
      </c>
      <c r="Y61" s="263">
        <f>+Sheet1!$T$9</f>
        <v>44469</v>
      </c>
      <c r="Z61" s="263">
        <f>+Sheet1!$U$9</f>
        <v>44834</v>
      </c>
      <c r="AA61" s="263">
        <f>+Sheet1!$V$9</f>
        <v>45199</v>
      </c>
      <c r="AB61" s="263">
        <f>+Sheet1!$W$9</f>
        <v>45565</v>
      </c>
      <c r="AC61" s="263">
        <f>+Sheet1!$X$9</f>
        <v>45930</v>
      </c>
      <c r="AD61" s="263">
        <f>+Sheet1!$Y$9</f>
        <v>46295</v>
      </c>
      <c r="AE61" s="263">
        <f>+Sheet1!$Z$9</f>
        <v>46660</v>
      </c>
      <c r="AF61" s="263">
        <f>+Sheet1!AA$9</f>
        <v>47026</v>
      </c>
      <c r="AG61" s="263">
        <f>+Sheet1!AB$9</f>
        <v>47391</v>
      </c>
      <c r="AH61" s="263">
        <f>+Sheet1!AC$9</f>
        <v>47756</v>
      </c>
      <c r="AI61" s="263">
        <f>+Sheet1!AD$9</f>
        <v>48121</v>
      </c>
      <c r="AJ61" s="263">
        <f>+Sheet1!AE$9</f>
        <v>48487</v>
      </c>
      <c r="AK61" s="263">
        <f>+Sheet1!AF$9</f>
        <v>48852</v>
      </c>
      <c r="AL61" s="263">
        <f>+Sheet1!AG$9</f>
        <v>49217</v>
      </c>
      <c r="AM61" s="263">
        <f>+Sheet1!AH$9</f>
        <v>49582</v>
      </c>
      <c r="AN61" s="263">
        <f>+Sheet1!AI$9</f>
        <v>49948</v>
      </c>
      <c r="AO61" s="263">
        <f>+Sheet1!AJ$9</f>
        <v>50313</v>
      </c>
      <c r="AP61" s="261"/>
      <c r="AQ61" s="260">
        <v>9</v>
      </c>
    </row>
    <row r="62" spans="1:43" ht="15" hidden="1">
      <c r="Y62" s="265">
        <f>'4. SUBAWARDS'!Q47</f>
        <v>0</v>
      </c>
      <c r="Z62" s="265">
        <f>'4. SUBAWARDS'!R47</f>
        <v>0</v>
      </c>
      <c r="AA62" s="265">
        <f>'4. SUBAWARDS'!S47</f>
        <v>0</v>
      </c>
      <c r="AB62" s="265">
        <f>'4. SUBAWARDS'!T47</f>
        <v>0</v>
      </c>
      <c r="AC62" s="265">
        <f>'4. SUBAWARDS'!U47</f>
        <v>0</v>
      </c>
      <c r="AD62" s="265">
        <f>'4. SUBAWARDS'!V47</f>
        <v>0</v>
      </c>
      <c r="AE62" s="265">
        <f>'4. SUBAWARDS'!W47</f>
        <v>0</v>
      </c>
      <c r="AF62" s="265">
        <f>'4. SUBAWARDS'!X47</f>
        <v>0</v>
      </c>
      <c r="AG62" s="265">
        <f>'4. SUBAWARDS'!Y47</f>
        <v>0</v>
      </c>
      <c r="AH62" s="265">
        <f>'4. SUBAWARDS'!Z47</f>
        <v>0</v>
      </c>
      <c r="AI62" s="265">
        <f>'4. SUBAWARDS'!AA47</f>
        <v>0</v>
      </c>
      <c r="AJ62" s="265">
        <f>'4. SUBAWARDS'!AB47</f>
        <v>0</v>
      </c>
      <c r="AK62" s="265">
        <f>'4. SUBAWARDS'!AC47</f>
        <v>0</v>
      </c>
      <c r="AL62" s="265">
        <f>'4. SUBAWARDS'!AD47</f>
        <v>0</v>
      </c>
      <c r="AM62" s="265">
        <f>'4. SUBAWARDS'!AE47</f>
        <v>0</v>
      </c>
      <c r="AN62" s="265">
        <f>'4. SUBAWARDS'!AF47</f>
        <v>0</v>
      </c>
      <c r="AO62" s="265">
        <f>'4. SUBAWARDS'!AG47</f>
        <v>0</v>
      </c>
      <c r="AP62" s="261">
        <f>SUM(Y62:AO62)</f>
        <v>0</v>
      </c>
    </row>
    <row r="63" spans="1:43" ht="15" hidden="1">
      <c r="Y63" s="265"/>
      <c r="Z63" s="265"/>
      <c r="AA63" s="265"/>
      <c r="AB63" s="265"/>
      <c r="AC63" s="265"/>
      <c r="AD63" s="265"/>
      <c r="AE63" s="265"/>
      <c r="AF63" s="265"/>
      <c r="AG63" s="265"/>
      <c r="AH63" s="265"/>
      <c r="AI63" s="265"/>
      <c r="AJ63" s="265"/>
      <c r="AK63" s="265"/>
      <c r="AL63" s="265"/>
      <c r="AM63" s="265"/>
      <c r="AN63" s="265"/>
      <c r="AO63" s="265"/>
      <c r="AP63" s="261"/>
    </row>
    <row r="64" spans="1:43" ht="15" hidden="1">
      <c r="Y64" s="265">
        <f>IF(Y62=0,0,(($R$43/$AP$62)*Y62)*VLOOKUP('1. SUMMARY'!$C$20,rate,+Sheet1!T$21,0))</f>
        <v>0</v>
      </c>
      <c r="Z64" s="265">
        <f>IF(Z62=0,0,(($R$43/$AP$62)*Z62)*VLOOKUP('1. SUMMARY'!$C$20,rate,+Sheet1!U$21,0))</f>
        <v>0</v>
      </c>
      <c r="AA64" s="265">
        <f>IF(AA62=0,0,(($R$43/$AP$62)*AA62)*VLOOKUP('1. SUMMARY'!$C$20,rate,+Sheet1!V$21,0))</f>
        <v>0</v>
      </c>
      <c r="AB64" s="265">
        <f>IF(AB62=0,0,(($R$43/$AP$62)*AB62)*VLOOKUP('1. SUMMARY'!$C$20,rate,+Sheet1!W$21,0))</f>
        <v>0</v>
      </c>
      <c r="AC64" s="265">
        <f>IF(AC62=0,0,(($R$43/$AP$62)*AC62)*VLOOKUP('1. SUMMARY'!$C$20,rate,+Sheet1!X$21,0))</f>
        <v>0</v>
      </c>
      <c r="AD64" s="265">
        <f>IF(AD62=0,0,(($R$43/$AP$62)*AD62)*VLOOKUP('1. SUMMARY'!$C$20,rate,+Sheet1!Y$21,0))</f>
        <v>0</v>
      </c>
      <c r="AE64" s="265">
        <f>IF(AE62=0,0,(($R$43/$AP$62)*AE62)*VLOOKUP('1. SUMMARY'!$C$20,rate,+Sheet1!Z$21,0))</f>
        <v>0</v>
      </c>
      <c r="AF64" s="265">
        <f>IF(AF62=0,0,(($R$43/$AP$62)*AF62)*VLOOKUP('1. SUMMARY'!$C$20,rate,+Sheet1!AA$21,0))</f>
        <v>0</v>
      </c>
      <c r="AG64" s="265">
        <f>IF(AG62=0,0,(($R$43/$AP$62)*AG62)*VLOOKUP('1. SUMMARY'!$C$20,rate,+Sheet1!AB$21,0))</f>
        <v>0</v>
      </c>
      <c r="AH64" s="265">
        <f>IF(AH62=0,0,(($R$43/$AP$62)*AH62)*VLOOKUP('1. SUMMARY'!$C$20,rate,+Sheet1!AC$21,0))</f>
        <v>0</v>
      </c>
      <c r="AI64" s="265">
        <f>IF(AI62=0,0,(($R$43/$AP$62)*AI62)*VLOOKUP('1. SUMMARY'!$C$20,rate,+Sheet1!AD$21,0))</f>
        <v>0</v>
      </c>
      <c r="AJ64" s="265">
        <f>IF(AJ62=0,0,(($R$43/$AP$62)*AJ62)*VLOOKUP('1. SUMMARY'!$C$20,rate,+Sheet1!AE$21,0))</f>
        <v>0</v>
      </c>
      <c r="AK64" s="265">
        <f>IF(AK62=0,0,(($R$43/$AP$62)*AK62)*VLOOKUP('1. SUMMARY'!$C$20,rate,+Sheet1!AF$21,0))</f>
        <v>0</v>
      </c>
      <c r="AL64" s="265">
        <f>IF(AL62=0,0,(($R$43/$AP$62)*AL62)*VLOOKUP('1. SUMMARY'!$C$20,rate,+Sheet1!AG$21,0))</f>
        <v>0</v>
      </c>
      <c r="AM64" s="265">
        <f>IF(AM62=0,0,(($R$43/$AP$62)*AM62)*VLOOKUP('1. SUMMARY'!$C$20,rate,+Sheet1!AH$21,0))</f>
        <v>0</v>
      </c>
      <c r="AN64" s="265">
        <f>IF(AN62=0,0,(($R$43/$AP$62)*AN62)*VLOOKUP('1. SUMMARY'!$C$20,rate,+Sheet1!AI$21,0))</f>
        <v>0</v>
      </c>
      <c r="AO64" s="265">
        <f>IF(AO62=0,0,(($R$43/$AP$62)*AO62)*VLOOKUP('1. SUMMARY'!$C$20,rate,+Sheet1!AJ$21,0))</f>
        <v>0</v>
      </c>
      <c r="AP64" s="261">
        <f>SUM(Y64:AO64)</f>
        <v>0</v>
      </c>
    </row>
    <row r="65" spans="24:43" ht="15" hidden="1">
      <c r="Y65" s="265">
        <f>IF(Y62=0,0,+($R$43/$AP$62)*Y62)</f>
        <v>0</v>
      </c>
      <c r="Z65" s="265">
        <f t="shared" ref="Z65:AO65" si="10">IF(Z62=0,0,+($R$43/$AP$62)*Z62)</f>
        <v>0</v>
      </c>
      <c r="AA65" s="265">
        <f t="shared" si="10"/>
        <v>0</v>
      </c>
      <c r="AB65" s="265">
        <f t="shared" si="10"/>
        <v>0</v>
      </c>
      <c r="AC65" s="265">
        <f t="shared" si="10"/>
        <v>0</v>
      </c>
      <c r="AD65" s="265">
        <f t="shared" si="10"/>
        <v>0</v>
      </c>
      <c r="AE65" s="265">
        <f t="shared" si="10"/>
        <v>0</v>
      </c>
      <c r="AF65" s="265">
        <f t="shared" si="10"/>
        <v>0</v>
      </c>
      <c r="AG65" s="265">
        <f t="shared" si="10"/>
        <v>0</v>
      </c>
      <c r="AH65" s="265">
        <f t="shared" si="10"/>
        <v>0</v>
      </c>
      <c r="AI65" s="265">
        <f t="shared" si="10"/>
        <v>0</v>
      </c>
      <c r="AJ65" s="265">
        <f t="shared" si="10"/>
        <v>0</v>
      </c>
      <c r="AK65" s="265">
        <f t="shared" si="10"/>
        <v>0</v>
      </c>
      <c r="AL65" s="265">
        <f t="shared" si="10"/>
        <v>0</v>
      </c>
      <c r="AM65" s="265">
        <f t="shared" si="10"/>
        <v>0</v>
      </c>
      <c r="AN65" s="265">
        <f t="shared" si="10"/>
        <v>0</v>
      </c>
      <c r="AO65" s="265">
        <f t="shared" si="10"/>
        <v>0</v>
      </c>
      <c r="AP65" s="261">
        <f>SUM(Y65:AO65)</f>
        <v>0</v>
      </c>
    </row>
    <row r="66" spans="24:43" ht="15" hidden="1">
      <c r="Y66" s="265"/>
      <c r="Z66" s="265"/>
      <c r="AA66" s="265"/>
      <c r="AB66" s="265"/>
      <c r="AC66" s="265"/>
      <c r="AD66" s="265"/>
      <c r="AE66" s="265"/>
      <c r="AF66" s="265"/>
      <c r="AG66" s="265"/>
      <c r="AH66" s="265"/>
      <c r="AI66" s="265"/>
      <c r="AJ66" s="265"/>
      <c r="AK66" s="265"/>
      <c r="AL66" s="265"/>
      <c r="AM66" s="265"/>
      <c r="AN66" s="265"/>
      <c r="AO66" s="265"/>
      <c r="AP66" s="261"/>
    </row>
    <row r="67" spans="24:43" ht="15" hidden="1">
      <c r="Y67" s="263">
        <f>+Sheet1!$T$8</f>
        <v>44105</v>
      </c>
      <c r="Z67" s="263">
        <f>+Sheet1!$U$8</f>
        <v>44470</v>
      </c>
      <c r="AA67" s="263">
        <f>+Sheet1!$V$8</f>
        <v>44835</v>
      </c>
      <c r="AB67" s="263">
        <f>+Sheet1!$W$8</f>
        <v>45200</v>
      </c>
      <c r="AC67" s="263">
        <f>+Sheet1!$X$8</f>
        <v>45566</v>
      </c>
      <c r="AD67" s="263">
        <f>+Sheet1!$Y$8</f>
        <v>45931</v>
      </c>
      <c r="AE67" s="263">
        <f>+Sheet1!$Z$8</f>
        <v>46296</v>
      </c>
      <c r="AF67" s="263">
        <f>+Sheet1!AA$8</f>
        <v>46661</v>
      </c>
      <c r="AG67" s="263">
        <f>+Sheet1!AB$8</f>
        <v>47027</v>
      </c>
      <c r="AH67" s="263">
        <f>+Sheet1!AC$8</f>
        <v>47392</v>
      </c>
      <c r="AI67" s="263">
        <f>+Sheet1!AD$8</f>
        <v>47757</v>
      </c>
      <c r="AJ67" s="263">
        <f>+Sheet1!AE$8</f>
        <v>48122</v>
      </c>
      <c r="AK67" s="263">
        <f>+Sheet1!AF$8</f>
        <v>48488</v>
      </c>
      <c r="AL67" s="263">
        <f>+Sheet1!AG$8</f>
        <v>48853</v>
      </c>
      <c r="AM67" s="263">
        <f>+Sheet1!AH$8</f>
        <v>49218</v>
      </c>
      <c r="AN67" s="263">
        <f>+Sheet1!AI$8</f>
        <v>49583</v>
      </c>
      <c r="AO67" s="263">
        <f>+Sheet1!AJ$8</f>
        <v>49949</v>
      </c>
      <c r="AP67" s="261"/>
    </row>
    <row r="68" spans="24:43" ht="15" hidden="1">
      <c r="X68" s="260">
        <v>10</v>
      </c>
      <c r="Y68" s="263">
        <f>+Sheet1!$T$9</f>
        <v>44469</v>
      </c>
      <c r="Z68" s="263">
        <f>+Sheet1!$U$9</f>
        <v>44834</v>
      </c>
      <c r="AA68" s="263">
        <f>+Sheet1!$V$9</f>
        <v>45199</v>
      </c>
      <c r="AB68" s="263">
        <f>+Sheet1!$W$9</f>
        <v>45565</v>
      </c>
      <c r="AC68" s="263">
        <f>+Sheet1!$X$9</f>
        <v>45930</v>
      </c>
      <c r="AD68" s="263">
        <f>+Sheet1!$Y$9</f>
        <v>46295</v>
      </c>
      <c r="AE68" s="263">
        <f>+Sheet1!$Z$9</f>
        <v>46660</v>
      </c>
      <c r="AF68" s="263">
        <f>+Sheet1!AA$9</f>
        <v>47026</v>
      </c>
      <c r="AG68" s="263">
        <f>+Sheet1!AB$9</f>
        <v>47391</v>
      </c>
      <c r="AH68" s="263">
        <f>+Sheet1!AC$9</f>
        <v>47756</v>
      </c>
      <c r="AI68" s="263">
        <f>+Sheet1!AD$9</f>
        <v>48121</v>
      </c>
      <c r="AJ68" s="263">
        <f>+Sheet1!AE$9</f>
        <v>48487</v>
      </c>
      <c r="AK68" s="263">
        <f>+Sheet1!AF$9</f>
        <v>48852</v>
      </c>
      <c r="AL68" s="263">
        <f>+Sheet1!AG$9</f>
        <v>49217</v>
      </c>
      <c r="AM68" s="263">
        <f>+Sheet1!AH$9</f>
        <v>49582</v>
      </c>
      <c r="AN68" s="263">
        <f>+Sheet1!AI$9</f>
        <v>49948</v>
      </c>
      <c r="AO68" s="263">
        <f>+Sheet1!AJ$9</f>
        <v>50313</v>
      </c>
      <c r="AP68" s="261"/>
      <c r="AQ68" s="260">
        <v>10</v>
      </c>
    </row>
    <row r="69" spans="24:43" ht="15" hidden="1">
      <c r="Y69" s="265">
        <f>'4. SUBAWARDS'!Q52</f>
        <v>0</v>
      </c>
      <c r="Z69" s="265">
        <f>'4. SUBAWARDS'!R52</f>
        <v>0</v>
      </c>
      <c r="AA69" s="265">
        <f>'4. SUBAWARDS'!S52</f>
        <v>0</v>
      </c>
      <c r="AB69" s="265">
        <f>'4. SUBAWARDS'!T52</f>
        <v>0</v>
      </c>
      <c r="AC69" s="265">
        <f>'4. SUBAWARDS'!U52</f>
        <v>0</v>
      </c>
      <c r="AD69" s="265">
        <f>'4. SUBAWARDS'!V52</f>
        <v>0</v>
      </c>
      <c r="AE69" s="265">
        <f>'4. SUBAWARDS'!W52</f>
        <v>0</v>
      </c>
      <c r="AF69" s="265">
        <f>'4. SUBAWARDS'!X52</f>
        <v>0</v>
      </c>
      <c r="AG69" s="265">
        <f>'4. SUBAWARDS'!Y52</f>
        <v>0</v>
      </c>
      <c r="AH69" s="265">
        <f>'4. SUBAWARDS'!Z52</f>
        <v>0</v>
      </c>
      <c r="AI69" s="265">
        <f>'4. SUBAWARDS'!AA52</f>
        <v>0</v>
      </c>
      <c r="AJ69" s="265">
        <f>'4. SUBAWARDS'!AB52</f>
        <v>0</v>
      </c>
      <c r="AK69" s="265">
        <f>'4. SUBAWARDS'!AC52</f>
        <v>0</v>
      </c>
      <c r="AL69" s="265">
        <f>'4. SUBAWARDS'!AD52</f>
        <v>0</v>
      </c>
      <c r="AM69" s="265">
        <f>'4. SUBAWARDS'!AE52</f>
        <v>0</v>
      </c>
      <c r="AN69" s="265">
        <f>'4. SUBAWARDS'!AF52</f>
        <v>0</v>
      </c>
      <c r="AO69" s="265">
        <f>'4. SUBAWARDS'!AG52</f>
        <v>0</v>
      </c>
      <c r="AP69" s="261">
        <f>SUM(Y69:AO69)</f>
        <v>0</v>
      </c>
    </row>
    <row r="70" spans="24:43" ht="15" hidden="1">
      <c r="Y70" s="265"/>
      <c r="Z70" s="265"/>
      <c r="AA70" s="265"/>
      <c r="AB70" s="265"/>
      <c r="AC70" s="265"/>
      <c r="AD70" s="265"/>
      <c r="AE70" s="265"/>
      <c r="AF70" s="265"/>
      <c r="AG70" s="265"/>
      <c r="AH70" s="265"/>
      <c r="AI70" s="265"/>
      <c r="AJ70" s="265"/>
      <c r="AK70" s="265"/>
      <c r="AL70" s="265"/>
      <c r="AM70" s="265"/>
      <c r="AN70" s="265"/>
      <c r="AO70" s="265"/>
      <c r="AP70" s="261"/>
    </row>
    <row r="71" spans="24:43" ht="15" hidden="1">
      <c r="Y71" s="265">
        <f>IF(Y69=0,0,(($T$43/$AP$69)*Y69)*VLOOKUP('1. SUMMARY'!$C$20,rate,+Sheet1!T$21,0))</f>
        <v>0</v>
      </c>
      <c r="Z71" s="265">
        <f>IF(Z69=0,0,(($T$43/$AP$69)*Z69)*VLOOKUP('1. SUMMARY'!$C$20,rate,+Sheet1!U$21,0))</f>
        <v>0</v>
      </c>
      <c r="AA71" s="265">
        <f>IF(AA69=0,0,(($T$43/$AP$69)*AA69)*VLOOKUP('1. SUMMARY'!$C$20,rate,+Sheet1!V$21,0))</f>
        <v>0</v>
      </c>
      <c r="AB71" s="265">
        <f>IF(AB69=0,0,(($T$43/$AP$69)*AB69)*VLOOKUP('1. SUMMARY'!$C$20,rate,+Sheet1!W$21,0))</f>
        <v>0</v>
      </c>
      <c r="AC71" s="265">
        <f>IF(AC69=0,0,(($T$43/$AP$69)*AC69)*VLOOKUP('1. SUMMARY'!$C$20,rate,+Sheet1!X$21,0))</f>
        <v>0</v>
      </c>
      <c r="AD71" s="265">
        <f>IF(AD69=0,0,(($T$43/$AP$69)*AD69)*VLOOKUP('1. SUMMARY'!$C$20,rate,+Sheet1!Y$21,0))</f>
        <v>0</v>
      </c>
      <c r="AE71" s="265">
        <f>IF(AE69=0,0,(($T$43/$AP$69)*AE69)*VLOOKUP('1. SUMMARY'!$C$20,rate,+Sheet1!Z$21,0))</f>
        <v>0</v>
      </c>
      <c r="AF71" s="265">
        <f>IF(AF69=0,0,(($T$43/$AP$69)*AF69)*VLOOKUP('1. SUMMARY'!$C$20,rate,+Sheet1!AA$21,0))</f>
        <v>0</v>
      </c>
      <c r="AG71" s="265">
        <f>IF(AG69=0,0,(($T$43/$AP$69)*AG69)*VLOOKUP('1. SUMMARY'!$C$20,rate,+Sheet1!AB$21,0))</f>
        <v>0</v>
      </c>
      <c r="AH71" s="265">
        <f>IF(AH69=0,0,(($T$43/$AP$69)*AH69)*VLOOKUP('1. SUMMARY'!$C$20,rate,+Sheet1!AC$21,0))</f>
        <v>0</v>
      </c>
      <c r="AI71" s="265">
        <f>IF(AI69=0,0,(($T$43/$AP$69)*AI69)*VLOOKUP('1. SUMMARY'!$C$20,rate,+Sheet1!AD$21,0))</f>
        <v>0</v>
      </c>
      <c r="AJ71" s="265">
        <f>IF(AJ69=0,0,(($T$43/$AP$69)*AJ69)*VLOOKUP('1. SUMMARY'!$C$20,rate,+Sheet1!AE$21,0))</f>
        <v>0</v>
      </c>
      <c r="AK71" s="265">
        <f>IF(AK69=0,0,(($T$43/$AP$69)*AK69)*VLOOKUP('1. SUMMARY'!$C$20,rate,+Sheet1!AF$21,0))</f>
        <v>0</v>
      </c>
      <c r="AL71" s="265">
        <f>IF(AL69=0,0,(($T$43/$AP$69)*AL69)*VLOOKUP('1. SUMMARY'!$C$20,rate,+Sheet1!AG$21,0))</f>
        <v>0</v>
      </c>
      <c r="AM71" s="265">
        <f>IF(AM69=0,0,(($T$43/$AP$69)*AM69)*VLOOKUP('1. SUMMARY'!$C$20,rate,+Sheet1!AH$21,0))</f>
        <v>0</v>
      </c>
      <c r="AN71" s="265">
        <f>IF(AN69=0,0,(($T$43/$AP$69)*AN69)*VLOOKUP('1. SUMMARY'!$C$20,rate,+Sheet1!AI$21,0))</f>
        <v>0</v>
      </c>
      <c r="AO71" s="265">
        <f>IF(AO69=0,0,(($T$43/$AP$69)*AO69)*VLOOKUP('1. SUMMARY'!$C$20,rate,+Sheet1!AJ$21,0))</f>
        <v>0</v>
      </c>
      <c r="AP71" s="261">
        <f>SUM(Y71:AO71)</f>
        <v>0</v>
      </c>
    </row>
    <row r="72" spans="24:43" ht="15" hidden="1">
      <c r="Y72" s="265">
        <f>IF(Y69=0,0,+($T$43/$AP$62)*Y69)</f>
        <v>0</v>
      </c>
      <c r="Z72" s="265">
        <f t="shared" ref="Z72:AO72" si="11">IF(Z69=0,0,+($T$43/$AP$62)*Z69)</f>
        <v>0</v>
      </c>
      <c r="AA72" s="265">
        <f t="shared" si="11"/>
        <v>0</v>
      </c>
      <c r="AB72" s="265">
        <f t="shared" si="11"/>
        <v>0</v>
      </c>
      <c r="AC72" s="265">
        <f t="shared" si="11"/>
        <v>0</v>
      </c>
      <c r="AD72" s="265">
        <f t="shared" si="11"/>
        <v>0</v>
      </c>
      <c r="AE72" s="265">
        <f t="shared" si="11"/>
        <v>0</v>
      </c>
      <c r="AF72" s="265">
        <f t="shared" si="11"/>
        <v>0</v>
      </c>
      <c r="AG72" s="265">
        <f t="shared" si="11"/>
        <v>0</v>
      </c>
      <c r="AH72" s="265">
        <f t="shared" si="11"/>
        <v>0</v>
      </c>
      <c r="AI72" s="265">
        <f t="shared" si="11"/>
        <v>0</v>
      </c>
      <c r="AJ72" s="265">
        <f t="shared" si="11"/>
        <v>0</v>
      </c>
      <c r="AK72" s="265">
        <f t="shared" si="11"/>
        <v>0</v>
      </c>
      <c r="AL72" s="265">
        <f t="shared" si="11"/>
        <v>0</v>
      </c>
      <c r="AM72" s="265">
        <f t="shared" si="11"/>
        <v>0</v>
      </c>
      <c r="AN72" s="265">
        <f t="shared" si="11"/>
        <v>0</v>
      </c>
      <c r="AO72" s="265">
        <f t="shared" si="11"/>
        <v>0</v>
      </c>
      <c r="AP72" s="261">
        <f>SUM(Y72:AO72)</f>
        <v>0</v>
      </c>
    </row>
    <row r="73" spans="24:43" ht="15" hidden="1">
      <c r="Y73" s="265"/>
      <c r="Z73" s="265"/>
      <c r="AA73" s="265"/>
      <c r="AB73" s="265"/>
      <c r="AC73" s="265"/>
      <c r="AD73" s="265"/>
      <c r="AE73" s="265"/>
      <c r="AF73" s="265"/>
      <c r="AG73" s="265"/>
      <c r="AH73" s="265"/>
      <c r="AI73" s="265"/>
      <c r="AJ73" s="265"/>
      <c r="AK73" s="265"/>
      <c r="AL73" s="265"/>
      <c r="AM73" s="265"/>
      <c r="AN73" s="265"/>
      <c r="AO73" s="265"/>
      <c r="AP73" s="261"/>
    </row>
    <row r="74" spans="24:43" ht="15" hidden="1">
      <c r="Y74" s="265"/>
      <c r="Z74" s="265"/>
      <c r="AA74" s="265"/>
      <c r="AB74" s="265"/>
      <c r="AC74" s="265"/>
      <c r="AD74" s="265"/>
      <c r="AE74" s="265"/>
      <c r="AF74" s="265"/>
      <c r="AG74" s="265"/>
      <c r="AH74" s="265"/>
      <c r="AI74" s="265"/>
      <c r="AJ74" s="265"/>
      <c r="AK74" s="265"/>
      <c r="AL74" s="265"/>
      <c r="AM74" s="265"/>
      <c r="AN74" s="265"/>
      <c r="AO74" s="265"/>
      <c r="AP74" s="261"/>
    </row>
    <row r="75" spans="24:43" ht="15" hidden="1">
      <c r="Y75" s="265"/>
      <c r="Z75" s="265"/>
      <c r="AA75" s="265"/>
      <c r="AB75" s="265"/>
      <c r="AC75" s="265"/>
      <c r="AD75" s="265"/>
      <c r="AE75" s="265"/>
      <c r="AF75" s="265"/>
      <c r="AG75" s="265"/>
      <c r="AH75" s="265"/>
      <c r="AI75" s="265"/>
      <c r="AJ75" s="265"/>
      <c r="AK75" s="265"/>
      <c r="AL75" s="265"/>
      <c r="AM75" s="265"/>
      <c r="AN75" s="265"/>
      <c r="AO75" s="265"/>
      <c r="AP75" s="261"/>
    </row>
    <row r="76" spans="24:43" ht="15" hidden="1">
      <c r="Y76" s="265"/>
      <c r="Z76" s="265"/>
      <c r="AA76" s="265"/>
      <c r="AB76" s="265"/>
      <c r="AC76" s="265"/>
      <c r="AD76" s="265"/>
      <c r="AE76" s="265"/>
      <c r="AF76" s="265"/>
      <c r="AG76" s="265"/>
      <c r="AH76" s="265"/>
      <c r="AI76" s="265"/>
      <c r="AJ76" s="265"/>
      <c r="AK76" s="265"/>
      <c r="AL76" s="265"/>
      <c r="AM76" s="265"/>
      <c r="AN76" s="265"/>
      <c r="AO76" s="265"/>
      <c r="AP76" s="261"/>
    </row>
    <row r="77" spans="24:43" ht="15" hidden="1">
      <c r="Y77" s="265"/>
      <c r="Z77" s="265"/>
      <c r="AA77" s="265"/>
      <c r="AB77" s="265"/>
      <c r="AC77" s="265"/>
      <c r="AD77" s="265"/>
      <c r="AE77" s="265"/>
      <c r="AF77" s="265"/>
      <c r="AG77" s="265"/>
      <c r="AH77" s="265"/>
      <c r="AI77" s="265"/>
      <c r="AJ77" s="265"/>
      <c r="AK77" s="265"/>
      <c r="AL77" s="265"/>
      <c r="AM77" s="265"/>
      <c r="AN77" s="265"/>
      <c r="AO77" s="265"/>
      <c r="AP77" s="261"/>
    </row>
    <row r="78" spans="24:43" ht="15" hidden="1">
      <c r="Y78" s="263">
        <f>+Sheet1!$T$8</f>
        <v>44105</v>
      </c>
      <c r="Z78" s="263">
        <f>+Sheet1!$U$8</f>
        <v>44470</v>
      </c>
      <c r="AA78" s="263">
        <f>+Sheet1!$V$8</f>
        <v>44835</v>
      </c>
      <c r="AB78" s="263">
        <f>+Sheet1!$W$8</f>
        <v>45200</v>
      </c>
      <c r="AC78" s="263">
        <f>+Sheet1!$X$8</f>
        <v>45566</v>
      </c>
      <c r="AD78" s="263">
        <f>+Sheet1!$Y$8</f>
        <v>45931</v>
      </c>
      <c r="AE78" s="263">
        <f>+Sheet1!$Z$8</f>
        <v>46296</v>
      </c>
      <c r="AF78" s="263">
        <f>+Sheet1!AA$8</f>
        <v>46661</v>
      </c>
      <c r="AG78" s="263">
        <f>+Sheet1!AB$8</f>
        <v>47027</v>
      </c>
      <c r="AH78" s="263">
        <f>+Sheet1!AC$8</f>
        <v>47392</v>
      </c>
      <c r="AI78" s="263">
        <f>+Sheet1!AD$8</f>
        <v>47757</v>
      </c>
      <c r="AJ78" s="263">
        <f>+Sheet1!AE$8</f>
        <v>48122</v>
      </c>
      <c r="AK78" s="263">
        <f>+Sheet1!AF$8</f>
        <v>48488</v>
      </c>
      <c r="AL78" s="263">
        <f>+Sheet1!AG$8</f>
        <v>48853</v>
      </c>
      <c r="AM78" s="263">
        <f>+Sheet1!AH$8</f>
        <v>49218</v>
      </c>
      <c r="AN78" s="263">
        <f>+Sheet1!AI$8</f>
        <v>49583</v>
      </c>
      <c r="AO78" s="263">
        <f>+Sheet1!AJ$8</f>
        <v>49949</v>
      </c>
      <c r="AP78" s="261"/>
    </row>
    <row r="79" spans="24:43" ht="15" hidden="1">
      <c r="X79" s="260">
        <v>1</v>
      </c>
      <c r="Y79" s="263">
        <f>+Sheet1!$T$9</f>
        <v>44469</v>
      </c>
      <c r="Z79" s="263">
        <f>+Sheet1!$U$9</f>
        <v>44834</v>
      </c>
      <c r="AA79" s="263">
        <f>+Sheet1!$V$9</f>
        <v>45199</v>
      </c>
      <c r="AB79" s="263">
        <f>+Sheet1!$W$9</f>
        <v>45565</v>
      </c>
      <c r="AC79" s="263">
        <f>+Sheet1!$X$9</f>
        <v>45930</v>
      </c>
      <c r="AD79" s="263">
        <f>+Sheet1!$Y$9</f>
        <v>46295</v>
      </c>
      <c r="AE79" s="263">
        <f>+Sheet1!$Z$9</f>
        <v>46660</v>
      </c>
      <c r="AF79" s="263">
        <f>+Sheet1!AA$9</f>
        <v>47026</v>
      </c>
      <c r="AG79" s="263">
        <f>+Sheet1!AB$9</f>
        <v>47391</v>
      </c>
      <c r="AH79" s="263">
        <f>+Sheet1!AC$9</f>
        <v>47756</v>
      </c>
      <c r="AI79" s="263">
        <f>+Sheet1!AD$9</f>
        <v>48121</v>
      </c>
      <c r="AJ79" s="263">
        <f>+Sheet1!AE$9</f>
        <v>48487</v>
      </c>
      <c r="AK79" s="263">
        <f>+Sheet1!AF$9</f>
        <v>48852</v>
      </c>
      <c r="AL79" s="263">
        <f>+Sheet1!AG$9</f>
        <v>49217</v>
      </c>
      <c r="AM79" s="263">
        <f>+Sheet1!AH$9</f>
        <v>49582</v>
      </c>
      <c r="AN79" s="263">
        <f>+Sheet1!AI$9</f>
        <v>49948</v>
      </c>
      <c r="AO79" s="263">
        <f>+Sheet1!AJ$9</f>
        <v>50313</v>
      </c>
      <c r="AP79" s="305"/>
      <c r="AQ79" s="260">
        <v>1</v>
      </c>
    </row>
    <row r="80" spans="24:43" ht="15" hidden="1">
      <c r="Y80" s="305">
        <f>Y8</f>
        <v>1461</v>
      </c>
      <c r="Z80" s="305">
        <f t="shared" ref="Z80:AO80" si="12">Z8</f>
        <v>0</v>
      </c>
      <c r="AA80" s="305">
        <f t="shared" si="12"/>
        <v>0</v>
      </c>
      <c r="AB80" s="305">
        <f t="shared" si="12"/>
        <v>0</v>
      </c>
      <c r="AC80" s="305">
        <f t="shared" si="12"/>
        <v>0</v>
      </c>
      <c r="AD80" s="305">
        <f t="shared" si="12"/>
        <v>0</v>
      </c>
      <c r="AE80" s="305">
        <f t="shared" si="12"/>
        <v>0</v>
      </c>
      <c r="AF80" s="305">
        <f t="shared" si="12"/>
        <v>0</v>
      </c>
      <c r="AG80" s="305">
        <f t="shared" si="12"/>
        <v>0</v>
      </c>
      <c r="AH80" s="305">
        <f t="shared" si="12"/>
        <v>0</v>
      </c>
      <c r="AI80" s="305">
        <f t="shared" si="12"/>
        <v>0</v>
      </c>
      <c r="AJ80" s="305">
        <f t="shared" si="12"/>
        <v>0</v>
      </c>
      <c r="AK80" s="305">
        <f t="shared" si="12"/>
        <v>0</v>
      </c>
      <c r="AL80" s="305">
        <f t="shared" si="12"/>
        <v>0</v>
      </c>
      <c r="AM80" s="305">
        <f t="shared" si="12"/>
        <v>0</v>
      </c>
      <c r="AN80" s="305">
        <f t="shared" si="12"/>
        <v>0</v>
      </c>
      <c r="AO80" s="305">
        <f t="shared" si="12"/>
        <v>0</v>
      </c>
      <c r="AP80" s="305">
        <f>SUM(Y80:AO80)</f>
        <v>1461</v>
      </c>
    </row>
    <row r="81" spans="24:43" ht="15" hidden="1">
      <c r="Y81" s="309"/>
      <c r="Z81" s="309"/>
      <c r="AA81" s="309"/>
      <c r="AB81" s="309"/>
      <c r="AC81" s="309"/>
      <c r="AD81" s="309"/>
      <c r="AE81" s="309"/>
      <c r="AF81" s="309"/>
      <c r="AG81" s="309"/>
      <c r="AH81" s="309"/>
      <c r="AI81" s="309"/>
      <c r="AJ81" s="309"/>
      <c r="AK81" s="309"/>
      <c r="AL81" s="309"/>
      <c r="AM81" s="309"/>
      <c r="AN81" s="309"/>
      <c r="AO81" s="309"/>
      <c r="AP81" s="309"/>
    </row>
    <row r="82" spans="24:43" ht="15" hidden="1">
      <c r="Y82" s="314">
        <f>IF(Y$8=0,0,(($B$41/$AP$80)*Y8)*VLOOKUP('1. SUMMARY'!$C$20,rate,+Sheet1!T$21,0))</f>
        <v>0</v>
      </c>
      <c r="Z82" s="314">
        <f>IF(Z$8=0,0,(($B$41/$AP$80)*Z8)*VLOOKUP('1. SUMMARY'!$C$20,rate,+Sheet1!U$21,0))</f>
        <v>0</v>
      </c>
      <c r="AA82" s="314">
        <f>IF(AA$8=0,0,(($B$41/$AP$80)*AA8)*VLOOKUP('1. SUMMARY'!$C$20,rate,+Sheet1!V$21,0))</f>
        <v>0</v>
      </c>
      <c r="AB82" s="314">
        <f>IF(AB$8=0,0,(($B$41/$AP$80)*AB8)*VLOOKUP('1. SUMMARY'!$C$20,rate,+Sheet1!W$21,0))</f>
        <v>0</v>
      </c>
      <c r="AC82" s="314">
        <f>IF(AC$8=0,0,(($B$41/$AP$80)*AC8)*VLOOKUP('1. SUMMARY'!$C$20,rate,+Sheet1!X$21,0))</f>
        <v>0</v>
      </c>
      <c r="AD82" s="314">
        <f>IF(AD$8=0,0,(($B$41/$AP$80)*AD8)*VLOOKUP('1. SUMMARY'!$C$20,rate,+Sheet1!Y$21,0))</f>
        <v>0</v>
      </c>
      <c r="AE82" s="314">
        <f>IF(AE$8=0,0,(($B$41/$AP$80)*AE8)*VLOOKUP('1. SUMMARY'!$C$20,rate,+Sheet1!Z$21,0))</f>
        <v>0</v>
      </c>
      <c r="AF82" s="314">
        <f>IF(AF$8=0,0,(($B$41/$AP$80)*AF8)*VLOOKUP('1. SUMMARY'!$C$20,rate,+Sheet1!AA$21,0))</f>
        <v>0</v>
      </c>
      <c r="AG82" s="314">
        <f>IF(AG$8=0,0,(($B$41/$AP$80)*AG8)*VLOOKUP('1. SUMMARY'!$C$20,rate,+Sheet1!AB$21,0))</f>
        <v>0</v>
      </c>
      <c r="AH82" s="314">
        <f>IF(AH$8=0,0,(($B$41/$AP$80)*AH8)*VLOOKUP('1. SUMMARY'!$C$20,rate,+Sheet1!AC$21,0))</f>
        <v>0</v>
      </c>
      <c r="AI82" s="314">
        <f>IF(AI$8=0,0,(($B$41/$AP$80)*AI8)*VLOOKUP('1. SUMMARY'!$C$20,rate,+Sheet1!AD$21,0))</f>
        <v>0</v>
      </c>
      <c r="AJ82" s="314">
        <f>IF(AJ$8=0,0,(($B$41/$AP$80)*AJ8)*VLOOKUP('1. SUMMARY'!$C$20,rate,+Sheet1!AE$21,0))</f>
        <v>0</v>
      </c>
      <c r="AK82" s="314">
        <f>IF(AK$8=0,0,(($B$41/$AP$80)*AK8)*VLOOKUP('1. SUMMARY'!$C$20,rate,+Sheet1!AF$21,0))</f>
        <v>0</v>
      </c>
      <c r="AL82" s="314">
        <f>IF(AL$8=0,0,(($B$41/$AP$80)*AL8)*VLOOKUP('1. SUMMARY'!$C$20,rate,+Sheet1!AG$21,0))</f>
        <v>0</v>
      </c>
      <c r="AM82" s="314">
        <f>IF(AM$8=0,0,(($B$41/$AP$80)*AM8)*VLOOKUP('1. SUMMARY'!$C$20,rate,+Sheet1!AH$21,0))</f>
        <v>0</v>
      </c>
      <c r="AN82" s="314">
        <f>IF(AN$8=0,0,(($B$41/$AP$80)*AN8)*VLOOKUP('1. SUMMARY'!$C$20,rate,+Sheet1!AI$21,0))</f>
        <v>0</v>
      </c>
      <c r="AO82" s="314">
        <f>IF(AO$8=0,0,(($B$41/$AP$80)*AO8)*VLOOKUP('1. SUMMARY'!$C$20,rate,+Sheet1!AJ$21,0))</f>
        <v>0</v>
      </c>
      <c r="AP82" s="432">
        <f>SUM(Y82:AO82)</f>
        <v>0</v>
      </c>
    </row>
    <row r="83" spans="24:43" ht="15" hidden="1">
      <c r="Y83" s="314">
        <f>IF(Y80=0,0,+($B$41/$AP$80)*Y80)</f>
        <v>0</v>
      </c>
      <c r="Z83" s="314">
        <f t="shared" ref="Z83:AO83" si="13">IF(Z80=0,0,+($B$41/$AP$80)*Z80)</f>
        <v>0</v>
      </c>
      <c r="AA83" s="314">
        <f t="shared" si="13"/>
        <v>0</v>
      </c>
      <c r="AB83" s="314">
        <f t="shared" si="13"/>
        <v>0</v>
      </c>
      <c r="AC83" s="314">
        <f t="shared" si="13"/>
        <v>0</v>
      </c>
      <c r="AD83" s="314">
        <f t="shared" si="13"/>
        <v>0</v>
      </c>
      <c r="AE83" s="314">
        <f t="shared" si="13"/>
        <v>0</v>
      </c>
      <c r="AF83" s="314">
        <f t="shared" si="13"/>
        <v>0</v>
      </c>
      <c r="AG83" s="314">
        <f t="shared" si="13"/>
        <v>0</v>
      </c>
      <c r="AH83" s="314">
        <f t="shared" si="13"/>
        <v>0</v>
      </c>
      <c r="AI83" s="314">
        <f t="shared" si="13"/>
        <v>0</v>
      </c>
      <c r="AJ83" s="314">
        <f t="shared" si="13"/>
        <v>0</v>
      </c>
      <c r="AK83" s="314">
        <f t="shared" si="13"/>
        <v>0</v>
      </c>
      <c r="AL83" s="314">
        <f t="shared" si="13"/>
        <v>0</v>
      </c>
      <c r="AM83" s="314">
        <f t="shared" si="13"/>
        <v>0</v>
      </c>
      <c r="AN83" s="314">
        <f t="shared" si="13"/>
        <v>0</v>
      </c>
      <c r="AO83" s="314">
        <f t="shared" si="13"/>
        <v>0</v>
      </c>
      <c r="AP83" s="432">
        <f>SUM(Y83:AO83)</f>
        <v>0</v>
      </c>
    </row>
    <row r="84" spans="24:43" ht="15" hidden="1">
      <c r="Y84" s="305"/>
      <c r="Z84" s="305"/>
      <c r="AA84" s="305"/>
      <c r="AB84" s="305"/>
      <c r="AC84" s="305"/>
      <c r="AD84" s="305"/>
      <c r="AE84" s="305"/>
      <c r="AF84" s="305"/>
      <c r="AG84" s="305"/>
      <c r="AH84" s="305"/>
      <c r="AI84" s="305"/>
      <c r="AJ84" s="305"/>
      <c r="AK84" s="305"/>
      <c r="AL84" s="305"/>
      <c r="AM84" s="305"/>
      <c r="AN84" s="305"/>
      <c r="AO84" s="305"/>
      <c r="AP84" s="305"/>
    </row>
    <row r="85" spans="24:43" ht="15" hidden="1">
      <c r="Y85" s="304">
        <f>Y13</f>
        <v>44105</v>
      </c>
      <c r="Z85" s="304">
        <f t="shared" ref="Z85:AO86" si="14">Z13</f>
        <v>44470</v>
      </c>
      <c r="AA85" s="304">
        <f t="shared" si="14"/>
        <v>44835</v>
      </c>
      <c r="AB85" s="304">
        <f t="shared" si="14"/>
        <v>45200</v>
      </c>
      <c r="AC85" s="304">
        <f t="shared" si="14"/>
        <v>45566</v>
      </c>
      <c r="AD85" s="304">
        <f t="shared" si="14"/>
        <v>45931</v>
      </c>
      <c r="AE85" s="304">
        <f t="shared" si="14"/>
        <v>46296</v>
      </c>
      <c r="AF85" s="304">
        <f t="shared" si="14"/>
        <v>46661</v>
      </c>
      <c r="AG85" s="304">
        <f t="shared" si="14"/>
        <v>47027</v>
      </c>
      <c r="AH85" s="304">
        <f t="shared" si="14"/>
        <v>47392</v>
      </c>
      <c r="AI85" s="304">
        <f t="shared" si="14"/>
        <v>47757</v>
      </c>
      <c r="AJ85" s="304">
        <f t="shared" si="14"/>
        <v>48122</v>
      </c>
      <c r="AK85" s="304">
        <f t="shared" si="14"/>
        <v>48488</v>
      </c>
      <c r="AL85" s="304">
        <f t="shared" si="14"/>
        <v>48853</v>
      </c>
      <c r="AM85" s="304">
        <f t="shared" si="14"/>
        <v>49218</v>
      </c>
      <c r="AN85" s="304">
        <f t="shared" si="14"/>
        <v>49583</v>
      </c>
      <c r="AO85" s="304">
        <f t="shared" si="14"/>
        <v>49949</v>
      </c>
      <c r="AP85" s="305"/>
    </row>
    <row r="86" spans="24:43" ht="15" hidden="1">
      <c r="X86" s="260">
        <v>2</v>
      </c>
      <c r="Y86" s="304">
        <f t="shared" ref="Y86:AN86" si="15">Y14</f>
        <v>44469</v>
      </c>
      <c r="Z86" s="304">
        <f t="shared" si="15"/>
        <v>44834</v>
      </c>
      <c r="AA86" s="304">
        <f t="shared" si="15"/>
        <v>45199</v>
      </c>
      <c r="AB86" s="304">
        <f t="shared" si="15"/>
        <v>45565</v>
      </c>
      <c r="AC86" s="304">
        <f t="shared" si="15"/>
        <v>45930</v>
      </c>
      <c r="AD86" s="304">
        <f t="shared" si="15"/>
        <v>46295</v>
      </c>
      <c r="AE86" s="304">
        <f t="shared" si="15"/>
        <v>46660</v>
      </c>
      <c r="AF86" s="304">
        <f t="shared" si="15"/>
        <v>47026</v>
      </c>
      <c r="AG86" s="304">
        <f t="shared" si="15"/>
        <v>47391</v>
      </c>
      <c r="AH86" s="304">
        <f t="shared" si="15"/>
        <v>47756</v>
      </c>
      <c r="AI86" s="304">
        <f t="shared" si="15"/>
        <v>48121</v>
      </c>
      <c r="AJ86" s="304">
        <f t="shared" si="15"/>
        <v>48487</v>
      </c>
      <c r="AK86" s="304">
        <f t="shared" si="15"/>
        <v>48852</v>
      </c>
      <c r="AL86" s="304">
        <f t="shared" si="15"/>
        <v>49217</v>
      </c>
      <c r="AM86" s="304">
        <f t="shared" si="15"/>
        <v>49582</v>
      </c>
      <c r="AN86" s="304">
        <f t="shared" si="15"/>
        <v>49948</v>
      </c>
      <c r="AO86" s="304">
        <f t="shared" si="14"/>
        <v>50313</v>
      </c>
      <c r="AP86" s="305"/>
      <c r="AQ86" s="260">
        <v>2</v>
      </c>
    </row>
    <row r="87" spans="24:43" ht="15" hidden="1">
      <c r="Y87" s="305">
        <f>Y15</f>
        <v>0</v>
      </c>
      <c r="Z87" s="305">
        <f t="shared" ref="Z87:AO87" si="16">Z15</f>
        <v>0</v>
      </c>
      <c r="AA87" s="305">
        <f t="shared" si="16"/>
        <v>0</v>
      </c>
      <c r="AB87" s="305">
        <f t="shared" si="16"/>
        <v>0</v>
      </c>
      <c r="AC87" s="305">
        <f t="shared" si="16"/>
        <v>0</v>
      </c>
      <c r="AD87" s="305">
        <f t="shared" si="16"/>
        <v>0</v>
      </c>
      <c r="AE87" s="305">
        <f t="shared" si="16"/>
        <v>0</v>
      </c>
      <c r="AF87" s="305">
        <f t="shared" si="16"/>
        <v>0</v>
      </c>
      <c r="AG87" s="305">
        <f t="shared" si="16"/>
        <v>0</v>
      </c>
      <c r="AH87" s="305">
        <f t="shared" si="16"/>
        <v>0</v>
      </c>
      <c r="AI87" s="305">
        <f t="shared" si="16"/>
        <v>0</v>
      </c>
      <c r="AJ87" s="305">
        <f t="shared" si="16"/>
        <v>0</v>
      </c>
      <c r="AK87" s="305">
        <f t="shared" si="16"/>
        <v>0</v>
      </c>
      <c r="AL87" s="305">
        <f t="shared" si="16"/>
        <v>0</v>
      </c>
      <c r="AM87" s="305">
        <f t="shared" si="16"/>
        <v>0</v>
      </c>
      <c r="AN87" s="305">
        <f t="shared" si="16"/>
        <v>0</v>
      </c>
      <c r="AO87" s="305">
        <f t="shared" si="16"/>
        <v>0</v>
      </c>
      <c r="AP87" s="305">
        <f>SUM(Y87:AO87)</f>
        <v>0</v>
      </c>
    </row>
    <row r="88" spans="24:43" ht="15" hidden="1">
      <c r="Y88" s="309"/>
      <c r="Z88" s="309"/>
      <c r="AA88" s="309"/>
      <c r="AB88" s="309"/>
      <c r="AC88" s="309"/>
      <c r="AD88" s="309"/>
      <c r="AE88" s="309"/>
      <c r="AF88" s="309"/>
      <c r="AG88" s="309"/>
      <c r="AH88" s="309"/>
      <c r="AI88" s="309"/>
      <c r="AJ88" s="309"/>
      <c r="AK88" s="309"/>
      <c r="AL88" s="309"/>
      <c r="AM88" s="309"/>
      <c r="AN88" s="309"/>
      <c r="AO88" s="309"/>
      <c r="AP88" s="309"/>
    </row>
    <row r="89" spans="24:43" ht="12.75" hidden="1" customHeight="1">
      <c r="Y89" s="314">
        <f>IF(Y15=0,0,(($D$41/$AP$87)*Y15)*VLOOKUP('1. SUMMARY'!$C$20,rate,+Sheet1!T21,0))</f>
        <v>0</v>
      </c>
      <c r="Z89" s="314">
        <f>IF(Z15=0,0,(($D$41/$AP$87)*Z15)*VLOOKUP('1. SUMMARY'!$C$20,rate,+Sheet1!U21,0))</f>
        <v>0</v>
      </c>
      <c r="AA89" s="314">
        <f>IF(AA15=0,0,(($D$41/$AP$87)*AA15)*VLOOKUP('1. SUMMARY'!$C$20,rate,+Sheet1!V21,0))</f>
        <v>0</v>
      </c>
      <c r="AB89" s="314">
        <f>IF(AB15=0,0,(($D$41/$AP$87)*AB15)*VLOOKUP('1. SUMMARY'!$C$20,rate,+Sheet1!W21,0))</f>
        <v>0</v>
      </c>
      <c r="AC89" s="314">
        <f>IF(AC15=0,0,(($D$41/$AP$87)*AC15)*VLOOKUP('1. SUMMARY'!$C$20,rate,+Sheet1!X21,0))</f>
        <v>0</v>
      </c>
      <c r="AD89" s="314">
        <f>IF(AD15=0,0,(($D$41/$AP$87)*AD15)*VLOOKUP('1. SUMMARY'!$C$20,rate,+Sheet1!Y21,0))</f>
        <v>0</v>
      </c>
      <c r="AE89" s="314">
        <f>IF(AE15=0,0,(($D$41/$AP$87)*AE15)*VLOOKUP('1. SUMMARY'!$C$20,rate,+Sheet1!Z21,0))</f>
        <v>0</v>
      </c>
      <c r="AF89" s="314">
        <f>IF(AF15=0,0,(($D$41/$AP$87)*AF15)*VLOOKUP('1. SUMMARY'!$C$20,rate,+Sheet1!AA21,0))</f>
        <v>0</v>
      </c>
      <c r="AG89" s="314">
        <f>IF(AG15=0,0,(($D$41/$AP$87)*AG15)*VLOOKUP('1. SUMMARY'!$C$20,rate,+Sheet1!AB21,0))</f>
        <v>0</v>
      </c>
      <c r="AH89" s="314">
        <f>IF(AH15=0,0,(($D$41/$AP$87)*AH15)*VLOOKUP('1. SUMMARY'!$C$20,rate,+Sheet1!AC21,0))</f>
        <v>0</v>
      </c>
      <c r="AI89" s="314">
        <f>IF(AI15=0,0,(($D$41/$AP$87)*AI15)*VLOOKUP('1. SUMMARY'!$C$20,rate,+Sheet1!AD21,0))</f>
        <v>0</v>
      </c>
      <c r="AJ89" s="314">
        <f>IF(AJ15=0,0,(($D$41/$AP$87)*AJ15)*VLOOKUP('1. SUMMARY'!$C$20,rate,+Sheet1!AE21,0))</f>
        <v>0</v>
      </c>
      <c r="AK89" s="314">
        <f>IF(AK15=0,0,(($D$41/$AP$87)*AK15)*VLOOKUP('1. SUMMARY'!$C$20,rate,+Sheet1!AF21,0))</f>
        <v>0</v>
      </c>
      <c r="AL89" s="314">
        <f>IF(AL15=0,0,(($D$41/$AP$87)*AL15)*VLOOKUP('1. SUMMARY'!$C$20,rate,+Sheet1!AG21,0))</f>
        <v>0</v>
      </c>
      <c r="AM89" s="314">
        <f>IF(AM15=0,0,(($D$41/$AP$87)*AM15)*VLOOKUP('1. SUMMARY'!$C$20,rate,+Sheet1!AH21,0))</f>
        <v>0</v>
      </c>
      <c r="AN89" s="314">
        <f>IF(AN15=0,0,(($D$41/$AP$87)*AN15)*VLOOKUP('1. SUMMARY'!$C$20,rate,+Sheet1!AI21,0))</f>
        <v>0</v>
      </c>
      <c r="AO89" s="314">
        <f>IF(AO15=0,0,(($D$41/$AP$87)*AO15)*VLOOKUP('1. SUMMARY'!$C$20,rate,+Sheet1!AJ21,0))</f>
        <v>0</v>
      </c>
      <c r="AP89" s="432">
        <f>SUM(Y89:AO89)</f>
        <v>0</v>
      </c>
    </row>
    <row r="90" spans="24:43" ht="12.75" hidden="1" customHeight="1">
      <c r="Y90" s="314">
        <f>IF(Y87=0,0,+($D$41/$AP$87)*Y87)</f>
        <v>0</v>
      </c>
      <c r="Z90" s="314">
        <f t="shared" ref="Z90:AO90" si="17">IF(Z87=0,0,+($D$41/$AP$87)*Z87)</f>
        <v>0</v>
      </c>
      <c r="AA90" s="314">
        <f t="shared" si="17"/>
        <v>0</v>
      </c>
      <c r="AB90" s="314">
        <f t="shared" si="17"/>
        <v>0</v>
      </c>
      <c r="AC90" s="314">
        <f t="shared" si="17"/>
        <v>0</v>
      </c>
      <c r="AD90" s="314">
        <f t="shared" si="17"/>
        <v>0</v>
      </c>
      <c r="AE90" s="314">
        <f t="shared" si="17"/>
        <v>0</v>
      </c>
      <c r="AF90" s="314">
        <f t="shared" si="17"/>
        <v>0</v>
      </c>
      <c r="AG90" s="314">
        <f t="shared" si="17"/>
        <v>0</v>
      </c>
      <c r="AH90" s="314">
        <f t="shared" si="17"/>
        <v>0</v>
      </c>
      <c r="AI90" s="314">
        <f t="shared" si="17"/>
        <v>0</v>
      </c>
      <c r="AJ90" s="314">
        <f t="shared" si="17"/>
        <v>0</v>
      </c>
      <c r="AK90" s="314">
        <f t="shared" si="17"/>
        <v>0</v>
      </c>
      <c r="AL90" s="314">
        <f t="shared" si="17"/>
        <v>0</v>
      </c>
      <c r="AM90" s="314">
        <f t="shared" si="17"/>
        <v>0</v>
      </c>
      <c r="AN90" s="314">
        <f t="shared" si="17"/>
        <v>0</v>
      </c>
      <c r="AO90" s="314">
        <f t="shared" si="17"/>
        <v>0</v>
      </c>
      <c r="AP90" s="432">
        <f>SUM(Y90:AO90)</f>
        <v>0</v>
      </c>
    </row>
    <row r="91" spans="24:43" ht="12.75" hidden="1" customHeight="1">
      <c r="Y91" s="304">
        <f>Y19</f>
        <v>44105</v>
      </c>
      <c r="Z91" s="304">
        <f t="shared" ref="Z91:AO93" si="18">Z19</f>
        <v>44470</v>
      </c>
      <c r="AA91" s="304">
        <f t="shared" si="18"/>
        <v>44835</v>
      </c>
      <c r="AB91" s="304">
        <f t="shared" si="18"/>
        <v>45200</v>
      </c>
      <c r="AC91" s="304">
        <f t="shared" si="18"/>
        <v>45566</v>
      </c>
      <c r="AD91" s="304">
        <f t="shared" si="18"/>
        <v>45931</v>
      </c>
      <c r="AE91" s="304">
        <f t="shared" si="18"/>
        <v>46296</v>
      </c>
      <c r="AF91" s="304">
        <f t="shared" si="18"/>
        <v>46661</v>
      </c>
      <c r="AG91" s="304">
        <f t="shared" si="18"/>
        <v>47027</v>
      </c>
      <c r="AH91" s="304">
        <f t="shared" si="18"/>
        <v>47392</v>
      </c>
      <c r="AI91" s="304">
        <f t="shared" si="18"/>
        <v>47757</v>
      </c>
      <c r="AJ91" s="304">
        <f t="shared" si="18"/>
        <v>48122</v>
      </c>
      <c r="AK91" s="304">
        <f t="shared" si="18"/>
        <v>48488</v>
      </c>
      <c r="AL91" s="304">
        <f t="shared" si="18"/>
        <v>48853</v>
      </c>
      <c r="AM91" s="304">
        <f t="shared" si="18"/>
        <v>49218</v>
      </c>
      <c r="AN91" s="304">
        <f t="shared" si="18"/>
        <v>49583</v>
      </c>
      <c r="AO91" s="304">
        <f t="shared" si="18"/>
        <v>49949</v>
      </c>
      <c r="AP91" s="305"/>
    </row>
    <row r="92" spans="24:43" ht="12.75" hidden="1" customHeight="1">
      <c r="X92" s="260">
        <v>3</v>
      </c>
      <c r="Y92" s="304">
        <f t="shared" ref="Y92:AN93" si="19">Y20</f>
        <v>44469</v>
      </c>
      <c r="Z92" s="304">
        <f t="shared" si="19"/>
        <v>44834</v>
      </c>
      <c r="AA92" s="304">
        <f t="shared" si="19"/>
        <v>45199</v>
      </c>
      <c r="AB92" s="304">
        <f t="shared" si="19"/>
        <v>45565</v>
      </c>
      <c r="AC92" s="304">
        <f t="shared" si="19"/>
        <v>45930</v>
      </c>
      <c r="AD92" s="304">
        <f t="shared" si="19"/>
        <v>46295</v>
      </c>
      <c r="AE92" s="304">
        <f t="shared" si="19"/>
        <v>46660</v>
      </c>
      <c r="AF92" s="304">
        <f t="shared" si="19"/>
        <v>47026</v>
      </c>
      <c r="AG92" s="304">
        <f t="shared" si="19"/>
        <v>47391</v>
      </c>
      <c r="AH92" s="304">
        <f t="shared" si="19"/>
        <v>47756</v>
      </c>
      <c r="AI92" s="304">
        <f t="shared" si="19"/>
        <v>48121</v>
      </c>
      <c r="AJ92" s="304">
        <f t="shared" si="19"/>
        <v>48487</v>
      </c>
      <c r="AK92" s="304">
        <f t="shared" si="19"/>
        <v>48852</v>
      </c>
      <c r="AL92" s="304">
        <f t="shared" si="19"/>
        <v>49217</v>
      </c>
      <c r="AM92" s="304">
        <f t="shared" si="19"/>
        <v>49582</v>
      </c>
      <c r="AN92" s="304">
        <f t="shared" si="19"/>
        <v>49948</v>
      </c>
      <c r="AO92" s="304">
        <f t="shared" si="18"/>
        <v>50313</v>
      </c>
      <c r="AP92" s="305"/>
      <c r="AQ92" s="260">
        <v>3</v>
      </c>
    </row>
    <row r="93" spans="24:43" ht="12.75" hidden="1" customHeight="1">
      <c r="Y93" s="305">
        <f t="shared" si="19"/>
        <v>0</v>
      </c>
      <c r="Z93" s="305">
        <f t="shared" si="18"/>
        <v>0</v>
      </c>
      <c r="AA93" s="305">
        <f t="shared" si="18"/>
        <v>0</v>
      </c>
      <c r="AB93" s="305">
        <f t="shared" si="18"/>
        <v>0</v>
      </c>
      <c r="AC93" s="305">
        <f t="shared" si="18"/>
        <v>0</v>
      </c>
      <c r="AD93" s="305">
        <f t="shared" si="18"/>
        <v>0</v>
      </c>
      <c r="AE93" s="305">
        <f t="shared" si="18"/>
        <v>0</v>
      </c>
      <c r="AF93" s="305">
        <f t="shared" si="18"/>
        <v>0</v>
      </c>
      <c r="AG93" s="305">
        <f t="shared" si="18"/>
        <v>0</v>
      </c>
      <c r="AH93" s="305">
        <f t="shared" si="18"/>
        <v>0</v>
      </c>
      <c r="AI93" s="305">
        <f t="shared" si="18"/>
        <v>0</v>
      </c>
      <c r="AJ93" s="305">
        <f t="shared" si="18"/>
        <v>0</v>
      </c>
      <c r="AK93" s="305">
        <f t="shared" si="18"/>
        <v>0</v>
      </c>
      <c r="AL93" s="305">
        <f t="shared" si="18"/>
        <v>0</v>
      </c>
      <c r="AM93" s="305">
        <f t="shared" si="18"/>
        <v>0</v>
      </c>
      <c r="AN93" s="305">
        <f t="shared" si="18"/>
        <v>0</v>
      </c>
      <c r="AO93" s="305">
        <f t="shared" si="18"/>
        <v>0</v>
      </c>
      <c r="AP93" s="305">
        <f>SUM(Y93:AO93)</f>
        <v>0</v>
      </c>
    </row>
    <row r="94" spans="24:43" ht="12.75" hidden="1" customHeight="1">
      <c r="Y94" s="309"/>
      <c r="Z94" s="309"/>
      <c r="AA94" s="309"/>
      <c r="AB94" s="309"/>
      <c r="AC94" s="309"/>
      <c r="AD94" s="309"/>
      <c r="AE94" s="309"/>
      <c r="AF94" s="309"/>
      <c r="AG94" s="309"/>
      <c r="AH94" s="309"/>
      <c r="AI94" s="309"/>
      <c r="AJ94" s="309"/>
      <c r="AK94" s="309"/>
      <c r="AL94" s="309"/>
      <c r="AM94" s="309"/>
      <c r="AN94" s="309"/>
      <c r="AO94" s="309"/>
      <c r="AP94" s="309"/>
    </row>
    <row r="95" spans="24:43" ht="12.75" hidden="1" customHeight="1">
      <c r="Y95" s="314">
        <f>IF(Y21=0,0,(($F$41/$AP$93)*Y21)*VLOOKUP('1. SUMMARY'!$C$20,rate,+Sheet1!T21,0))</f>
        <v>0</v>
      </c>
      <c r="Z95" s="314">
        <f>IF(Z21=0,0,(($F$41/$AP$93)*Z21)*VLOOKUP('1. SUMMARY'!$C$20,rate,+Sheet1!U21,0))</f>
        <v>0</v>
      </c>
      <c r="AA95" s="314">
        <f>IF(AA21=0,0,(($F$41/$AP$93)*AA21)*VLOOKUP('1. SUMMARY'!$C$20,rate,+Sheet1!V21,0))</f>
        <v>0</v>
      </c>
      <c r="AB95" s="314">
        <f>IF(AB21=0,0,(($F$41/$AP$93)*AB21)*VLOOKUP('1. SUMMARY'!$C$20,rate,+Sheet1!W21,0))</f>
        <v>0</v>
      </c>
      <c r="AC95" s="314">
        <f>IF(AC21=0,0,(($F$41/$AP$93)*AC21)*VLOOKUP('1. SUMMARY'!$C$20,rate,+Sheet1!X21,0))</f>
        <v>0</v>
      </c>
      <c r="AD95" s="314">
        <f>IF(AD21=0,0,(($F$41/$AP$93)*AD21)*VLOOKUP('1. SUMMARY'!$C$20,rate,+Sheet1!Y21,0))</f>
        <v>0</v>
      </c>
      <c r="AE95" s="314">
        <f>IF(AE21=0,0,(($F$41/$AP$93)*AE21)*VLOOKUP('1. SUMMARY'!$C$20,rate,+Sheet1!Z21,0))</f>
        <v>0</v>
      </c>
      <c r="AF95" s="314">
        <f>IF(AF21=0,0,(($F$41/$AP$93)*AF21)*VLOOKUP('1. SUMMARY'!$C$20,rate,+Sheet1!AA21,0))</f>
        <v>0</v>
      </c>
      <c r="AG95" s="314">
        <f>IF(AG21=0,0,(($F$41/$AP$93)*AG21)*VLOOKUP('1. SUMMARY'!$C$20,rate,+Sheet1!AB21,0))</f>
        <v>0</v>
      </c>
      <c r="AH95" s="314">
        <f>IF(AH21=0,0,(($F$41/$AP$93)*AH21)*VLOOKUP('1. SUMMARY'!$C$20,rate,+Sheet1!AC21,0))</f>
        <v>0</v>
      </c>
      <c r="AI95" s="314">
        <f>IF(AI21=0,0,(($F$41/$AP$93)*AI21)*VLOOKUP('1. SUMMARY'!$C$20,rate,+Sheet1!AD21,0))</f>
        <v>0</v>
      </c>
      <c r="AJ95" s="314">
        <f>IF(AJ21=0,0,(($F$41/$AP$93)*AJ21)*VLOOKUP('1. SUMMARY'!$C$20,rate,+Sheet1!AE21,0))</f>
        <v>0</v>
      </c>
      <c r="AK95" s="314">
        <f>IF(AK21=0,0,(($F$41/$AP$93)*AK21)*VLOOKUP('1. SUMMARY'!$C$20,rate,+Sheet1!AF21,0))</f>
        <v>0</v>
      </c>
      <c r="AL95" s="314">
        <f>IF(AL21=0,0,(($F$41/$AP$93)*AL21)*VLOOKUP('1. SUMMARY'!$C$20,rate,+Sheet1!AG21,0))</f>
        <v>0</v>
      </c>
      <c r="AM95" s="314">
        <f>IF(AM21=0,0,(($F$41/$AP$93)*AM21)*VLOOKUP('1. SUMMARY'!$C$20,rate,+Sheet1!AH21,0))</f>
        <v>0</v>
      </c>
      <c r="AN95" s="314">
        <f>IF(AN21=0,0,(($F$41/$AP$93)*AN21)*VLOOKUP('1. SUMMARY'!$C$20,rate,+Sheet1!AI21,0))</f>
        <v>0</v>
      </c>
      <c r="AO95" s="314">
        <f>IF(AO21=0,0,(($F$41/$AP$93)*AO21)*VLOOKUP('1. SUMMARY'!$C$20,rate,+Sheet1!AJ21,0))</f>
        <v>0</v>
      </c>
      <c r="AP95" s="432">
        <f>SUM(Y95:AO95)</f>
        <v>0</v>
      </c>
    </row>
    <row r="96" spans="24:43" ht="12.75" hidden="1" customHeight="1">
      <c r="Y96" s="314">
        <f>IF(Y93=0,0,+($F$41/$AP$93)*Y93)</f>
        <v>0</v>
      </c>
      <c r="Z96" s="314">
        <f t="shared" ref="Z96:AO96" si="20">IF(Z93=0,0,+($F$41/$AP$93)*Z93)</f>
        <v>0</v>
      </c>
      <c r="AA96" s="314">
        <f t="shared" si="20"/>
        <v>0</v>
      </c>
      <c r="AB96" s="314">
        <f t="shared" si="20"/>
        <v>0</v>
      </c>
      <c r="AC96" s="314">
        <f t="shared" si="20"/>
        <v>0</v>
      </c>
      <c r="AD96" s="314">
        <f t="shared" si="20"/>
        <v>0</v>
      </c>
      <c r="AE96" s="314">
        <f t="shared" si="20"/>
        <v>0</v>
      </c>
      <c r="AF96" s="314">
        <f t="shared" si="20"/>
        <v>0</v>
      </c>
      <c r="AG96" s="314">
        <f t="shared" si="20"/>
        <v>0</v>
      </c>
      <c r="AH96" s="314">
        <f t="shared" si="20"/>
        <v>0</v>
      </c>
      <c r="AI96" s="314">
        <f t="shared" si="20"/>
        <v>0</v>
      </c>
      <c r="AJ96" s="314">
        <f t="shared" si="20"/>
        <v>0</v>
      </c>
      <c r="AK96" s="314">
        <f t="shared" si="20"/>
        <v>0</v>
      </c>
      <c r="AL96" s="314">
        <f t="shared" si="20"/>
        <v>0</v>
      </c>
      <c r="AM96" s="314">
        <f t="shared" si="20"/>
        <v>0</v>
      </c>
      <c r="AN96" s="314">
        <f t="shared" si="20"/>
        <v>0</v>
      </c>
      <c r="AO96" s="314">
        <f t="shared" si="20"/>
        <v>0</v>
      </c>
      <c r="AP96" s="432">
        <f>SUM(Y96:AO96)</f>
        <v>0</v>
      </c>
    </row>
    <row r="97" spans="24:43" ht="12.75" hidden="1" customHeight="1">
      <c r="Y97" s="304">
        <f>Y25</f>
        <v>44105</v>
      </c>
      <c r="Z97" s="304">
        <f t="shared" ref="Z97:AO99" si="21">Z25</f>
        <v>44470</v>
      </c>
      <c r="AA97" s="304">
        <f t="shared" si="21"/>
        <v>44835</v>
      </c>
      <c r="AB97" s="304">
        <f t="shared" si="21"/>
        <v>45200</v>
      </c>
      <c r="AC97" s="304">
        <f t="shared" si="21"/>
        <v>45566</v>
      </c>
      <c r="AD97" s="304">
        <f t="shared" si="21"/>
        <v>45931</v>
      </c>
      <c r="AE97" s="304">
        <f t="shared" si="21"/>
        <v>46296</v>
      </c>
      <c r="AF97" s="304">
        <f t="shared" si="21"/>
        <v>46661</v>
      </c>
      <c r="AG97" s="304">
        <f t="shared" si="21"/>
        <v>47027</v>
      </c>
      <c r="AH97" s="304">
        <f t="shared" si="21"/>
        <v>47392</v>
      </c>
      <c r="AI97" s="304">
        <f t="shared" si="21"/>
        <v>47757</v>
      </c>
      <c r="AJ97" s="304">
        <f t="shared" si="21"/>
        <v>48122</v>
      </c>
      <c r="AK97" s="304">
        <f t="shared" si="21"/>
        <v>48488</v>
      </c>
      <c r="AL97" s="304">
        <f t="shared" si="21"/>
        <v>48853</v>
      </c>
      <c r="AM97" s="304">
        <f t="shared" si="21"/>
        <v>49218</v>
      </c>
      <c r="AN97" s="304">
        <f t="shared" si="21"/>
        <v>49583</v>
      </c>
      <c r="AO97" s="304">
        <f t="shared" si="21"/>
        <v>49949</v>
      </c>
      <c r="AP97" s="305"/>
    </row>
    <row r="98" spans="24:43" ht="12.75" hidden="1" customHeight="1">
      <c r="X98" s="260">
        <v>4</v>
      </c>
      <c r="Y98" s="304">
        <f t="shared" ref="Y98:AN99" si="22">Y26</f>
        <v>44469</v>
      </c>
      <c r="Z98" s="304">
        <f t="shared" si="22"/>
        <v>44834</v>
      </c>
      <c r="AA98" s="304">
        <f t="shared" si="22"/>
        <v>45199</v>
      </c>
      <c r="AB98" s="304">
        <f t="shared" si="22"/>
        <v>45565</v>
      </c>
      <c r="AC98" s="304">
        <f t="shared" si="22"/>
        <v>45930</v>
      </c>
      <c r="AD98" s="304">
        <f t="shared" si="22"/>
        <v>46295</v>
      </c>
      <c r="AE98" s="304">
        <f t="shared" si="22"/>
        <v>46660</v>
      </c>
      <c r="AF98" s="304">
        <f t="shared" si="22"/>
        <v>47026</v>
      </c>
      <c r="AG98" s="304">
        <f t="shared" si="22"/>
        <v>47391</v>
      </c>
      <c r="AH98" s="304">
        <f t="shared" si="22"/>
        <v>47756</v>
      </c>
      <c r="AI98" s="304">
        <f t="shared" si="22"/>
        <v>48121</v>
      </c>
      <c r="AJ98" s="304">
        <f t="shared" si="22"/>
        <v>48487</v>
      </c>
      <c r="AK98" s="304">
        <f t="shared" si="22"/>
        <v>48852</v>
      </c>
      <c r="AL98" s="304">
        <f t="shared" si="22"/>
        <v>49217</v>
      </c>
      <c r="AM98" s="304">
        <f t="shared" si="22"/>
        <v>49582</v>
      </c>
      <c r="AN98" s="304">
        <f t="shared" si="22"/>
        <v>49948</v>
      </c>
      <c r="AO98" s="304">
        <f t="shared" si="21"/>
        <v>50313</v>
      </c>
      <c r="AP98" s="305"/>
      <c r="AQ98" s="260">
        <v>4</v>
      </c>
    </row>
    <row r="99" spans="24:43" ht="12.75" hidden="1" customHeight="1">
      <c r="Y99" s="305">
        <f t="shared" si="22"/>
        <v>0</v>
      </c>
      <c r="Z99" s="305">
        <f t="shared" si="21"/>
        <v>0</v>
      </c>
      <c r="AA99" s="305">
        <f t="shared" si="21"/>
        <v>0</v>
      </c>
      <c r="AB99" s="305">
        <f t="shared" si="21"/>
        <v>0</v>
      </c>
      <c r="AC99" s="305">
        <f t="shared" si="21"/>
        <v>0</v>
      </c>
      <c r="AD99" s="305">
        <f t="shared" si="21"/>
        <v>0</v>
      </c>
      <c r="AE99" s="305">
        <f t="shared" si="21"/>
        <v>0</v>
      </c>
      <c r="AF99" s="305">
        <f t="shared" si="21"/>
        <v>0</v>
      </c>
      <c r="AG99" s="305">
        <f t="shared" si="21"/>
        <v>0</v>
      </c>
      <c r="AH99" s="305">
        <f t="shared" si="21"/>
        <v>0</v>
      </c>
      <c r="AI99" s="305">
        <f t="shared" si="21"/>
        <v>0</v>
      </c>
      <c r="AJ99" s="305">
        <f t="shared" si="21"/>
        <v>0</v>
      </c>
      <c r="AK99" s="305">
        <f t="shared" si="21"/>
        <v>0</v>
      </c>
      <c r="AL99" s="305">
        <f t="shared" si="21"/>
        <v>0</v>
      </c>
      <c r="AM99" s="305">
        <f t="shared" si="21"/>
        <v>0</v>
      </c>
      <c r="AN99" s="305">
        <f t="shared" si="21"/>
        <v>0</v>
      </c>
      <c r="AO99" s="305">
        <f t="shared" si="21"/>
        <v>0</v>
      </c>
      <c r="AP99" s="305">
        <f>SUM(Y99:AO99)</f>
        <v>0</v>
      </c>
    </row>
    <row r="100" spans="24:43" ht="12.75" hidden="1" customHeight="1">
      <c r="Y100" s="309"/>
      <c r="Z100" s="309"/>
      <c r="AA100" s="309"/>
      <c r="AB100" s="309"/>
      <c r="AC100" s="309"/>
      <c r="AD100" s="309"/>
      <c r="AE100" s="309"/>
      <c r="AF100" s="309"/>
      <c r="AG100" s="309"/>
      <c r="AH100" s="309"/>
      <c r="AI100" s="309"/>
      <c r="AJ100" s="309"/>
      <c r="AK100" s="309"/>
      <c r="AL100" s="309"/>
      <c r="AM100" s="309"/>
      <c r="AN100" s="309"/>
      <c r="AO100" s="309"/>
      <c r="AP100" s="309"/>
    </row>
    <row r="101" spans="24:43" ht="12.75" hidden="1" customHeight="1">
      <c r="Y101" s="314">
        <f>IF(Y27=0,0,(($H$41/$AP$99)*Y27)*VLOOKUP('1. SUMMARY'!$C$20,rate,+Sheet1!T21,0))</f>
        <v>0</v>
      </c>
      <c r="Z101" s="314">
        <f>IF(Z27=0,0,(($H$41/$AP$99)*Z27)*VLOOKUP('1. SUMMARY'!$C$20,rate,+Sheet1!U21,0))</f>
        <v>0</v>
      </c>
      <c r="AA101" s="314">
        <f>IF(AA27=0,0,(($H$41/$AP$99)*AA27)*VLOOKUP('1. SUMMARY'!$C$20,rate,+Sheet1!V21,0))</f>
        <v>0</v>
      </c>
      <c r="AB101" s="314">
        <f>IF(AB27=0,0,(($H$41/$AP$99)*AB27)*VLOOKUP('1. SUMMARY'!$C$20,rate,+Sheet1!W21,0))</f>
        <v>0</v>
      </c>
      <c r="AC101" s="314">
        <f>IF(AC27=0,0,(($H$41/$AP$99)*AC27)*VLOOKUP('1. SUMMARY'!$C$20,rate,+Sheet1!X21,0))</f>
        <v>0</v>
      </c>
      <c r="AD101" s="314">
        <f>IF(AD27=0,0,(($H$41/$AP$99)*AD27)*VLOOKUP('1. SUMMARY'!$C$20,rate,+Sheet1!Y21,0))</f>
        <v>0</v>
      </c>
      <c r="AE101" s="314">
        <f>IF(AE27=0,0,(($H$41/$AP$99)*AE27)*VLOOKUP('1. SUMMARY'!$C$20,rate,+Sheet1!Z21,0))</f>
        <v>0</v>
      </c>
      <c r="AF101" s="314">
        <f>IF(AF27=0,0,(($H$41/$AP$99)*AF27)*VLOOKUP('1. SUMMARY'!$C$20,rate,+Sheet1!AA21,0))</f>
        <v>0</v>
      </c>
      <c r="AG101" s="314">
        <f>IF(AG27=0,0,(($H$41/$AP$99)*AG27)*VLOOKUP('1. SUMMARY'!$C$20,rate,+Sheet1!AB21,0))</f>
        <v>0</v>
      </c>
      <c r="AH101" s="314">
        <f>IF(AH27=0,0,(($H$41/$AP$99)*AH27)*VLOOKUP('1. SUMMARY'!$C$20,rate,+Sheet1!AC21,0))</f>
        <v>0</v>
      </c>
      <c r="AI101" s="314">
        <f>IF(AI27=0,0,(($H$41/$AP$99)*AI27)*VLOOKUP('1. SUMMARY'!$C$20,rate,+Sheet1!AD21,0))</f>
        <v>0</v>
      </c>
      <c r="AJ101" s="314">
        <f>IF(AJ27=0,0,(($H$41/$AP$99)*AJ27)*VLOOKUP('1. SUMMARY'!$C$20,rate,+Sheet1!AE21,0))</f>
        <v>0</v>
      </c>
      <c r="AK101" s="314">
        <f>IF(AK27=0,0,(($H$41/$AP$99)*AK27)*VLOOKUP('1. SUMMARY'!$C$20,rate,+Sheet1!AF21,0))</f>
        <v>0</v>
      </c>
      <c r="AL101" s="314">
        <f>IF(AL27=0,0,(($H$41/$AP$99)*AL27)*VLOOKUP('1. SUMMARY'!$C$20,rate,+Sheet1!AG21,0))</f>
        <v>0</v>
      </c>
      <c r="AM101" s="314">
        <f>IF(AM27=0,0,(($H$41/$AP$99)*AM27)*VLOOKUP('1. SUMMARY'!$C$20,rate,+Sheet1!AH21,0))</f>
        <v>0</v>
      </c>
      <c r="AN101" s="314">
        <f>IF(AN27=0,0,(($H$41/$AP$99)*AN27)*VLOOKUP('1. SUMMARY'!$C$20,rate,+Sheet1!AI21,0))</f>
        <v>0</v>
      </c>
      <c r="AO101" s="314">
        <f>IF(AO27=0,0,(($H$41/$AP$99)*AO27)*VLOOKUP('1. SUMMARY'!$C$20,rate,+Sheet1!AJ21,0))</f>
        <v>0</v>
      </c>
      <c r="AP101" s="432">
        <f>SUM(Y101:AO101)</f>
        <v>0</v>
      </c>
    </row>
    <row r="102" spans="24:43" ht="12.75" hidden="1" customHeight="1">
      <c r="Y102" s="314">
        <f>IF(Y99=0,0,+($H$41/$AP$99)*Y99)</f>
        <v>0</v>
      </c>
      <c r="Z102" s="314">
        <f t="shared" ref="Z102:AN102" si="23">IF(Z99=0,0,+($H$41/$AP$99)*Z99)</f>
        <v>0</v>
      </c>
      <c r="AA102" s="314">
        <f t="shared" si="23"/>
        <v>0</v>
      </c>
      <c r="AB102" s="314">
        <f t="shared" si="23"/>
        <v>0</v>
      </c>
      <c r="AC102" s="314">
        <f t="shared" si="23"/>
        <v>0</v>
      </c>
      <c r="AD102" s="314">
        <f t="shared" si="23"/>
        <v>0</v>
      </c>
      <c r="AE102" s="314">
        <f t="shared" si="23"/>
        <v>0</v>
      </c>
      <c r="AF102" s="314">
        <f t="shared" si="23"/>
        <v>0</v>
      </c>
      <c r="AG102" s="314">
        <f t="shared" si="23"/>
        <v>0</v>
      </c>
      <c r="AH102" s="314">
        <f t="shared" si="23"/>
        <v>0</v>
      </c>
      <c r="AI102" s="314">
        <f t="shared" si="23"/>
        <v>0</v>
      </c>
      <c r="AJ102" s="314">
        <f t="shared" si="23"/>
        <v>0</v>
      </c>
      <c r="AK102" s="314">
        <f t="shared" si="23"/>
        <v>0</v>
      </c>
      <c r="AL102" s="314">
        <f t="shared" si="23"/>
        <v>0</v>
      </c>
      <c r="AM102" s="314">
        <f t="shared" si="23"/>
        <v>0</v>
      </c>
      <c r="AN102" s="314">
        <f t="shared" si="23"/>
        <v>0</v>
      </c>
      <c r="AO102" s="314">
        <f>IF(AO99=0,0,+($H$41/$AP$99)*AO99)</f>
        <v>0</v>
      </c>
      <c r="AP102" s="432">
        <f>SUM(Y102:AO102)</f>
        <v>0</v>
      </c>
    </row>
    <row r="103" spans="24:43" ht="12.75" hidden="1" customHeight="1">
      <c r="Y103" s="304">
        <f>Y31</f>
        <v>44105</v>
      </c>
      <c r="Z103" s="304">
        <f t="shared" ref="Z103:AO105" si="24">Z31</f>
        <v>44470</v>
      </c>
      <c r="AA103" s="304">
        <f t="shared" si="24"/>
        <v>44835</v>
      </c>
      <c r="AB103" s="304">
        <f t="shared" si="24"/>
        <v>45200</v>
      </c>
      <c r="AC103" s="304">
        <f t="shared" si="24"/>
        <v>45566</v>
      </c>
      <c r="AD103" s="304">
        <f t="shared" si="24"/>
        <v>45931</v>
      </c>
      <c r="AE103" s="304">
        <f t="shared" si="24"/>
        <v>46296</v>
      </c>
      <c r="AF103" s="304">
        <f t="shared" si="24"/>
        <v>46661</v>
      </c>
      <c r="AG103" s="304">
        <f t="shared" si="24"/>
        <v>47027</v>
      </c>
      <c r="AH103" s="304">
        <f t="shared" si="24"/>
        <v>47392</v>
      </c>
      <c r="AI103" s="304">
        <f t="shared" si="24"/>
        <v>47757</v>
      </c>
      <c r="AJ103" s="304">
        <f t="shared" si="24"/>
        <v>48122</v>
      </c>
      <c r="AK103" s="304">
        <f t="shared" si="24"/>
        <v>48488</v>
      </c>
      <c r="AL103" s="304">
        <f t="shared" si="24"/>
        <v>48853</v>
      </c>
      <c r="AM103" s="304">
        <f t="shared" si="24"/>
        <v>49218</v>
      </c>
      <c r="AN103" s="304">
        <f t="shared" si="24"/>
        <v>49583</v>
      </c>
      <c r="AO103" s="304">
        <f t="shared" si="24"/>
        <v>49949</v>
      </c>
      <c r="AP103" s="305"/>
    </row>
    <row r="104" spans="24:43" ht="12.75" hidden="1" customHeight="1">
      <c r="X104" s="260">
        <v>5</v>
      </c>
      <c r="Y104" s="304">
        <f t="shared" ref="Y104:AN105" si="25">Y32</f>
        <v>44469</v>
      </c>
      <c r="Z104" s="304">
        <f t="shared" si="25"/>
        <v>44834</v>
      </c>
      <c r="AA104" s="304">
        <f t="shared" si="25"/>
        <v>45199</v>
      </c>
      <c r="AB104" s="304">
        <f t="shared" si="25"/>
        <v>45565</v>
      </c>
      <c r="AC104" s="304">
        <f t="shared" si="25"/>
        <v>45930</v>
      </c>
      <c r="AD104" s="304">
        <f t="shared" si="25"/>
        <v>46295</v>
      </c>
      <c r="AE104" s="304">
        <f t="shared" si="25"/>
        <v>46660</v>
      </c>
      <c r="AF104" s="304">
        <f t="shared" si="25"/>
        <v>47026</v>
      </c>
      <c r="AG104" s="304">
        <f t="shared" si="25"/>
        <v>47391</v>
      </c>
      <c r="AH104" s="304">
        <f t="shared" si="25"/>
        <v>47756</v>
      </c>
      <c r="AI104" s="304">
        <f t="shared" si="25"/>
        <v>48121</v>
      </c>
      <c r="AJ104" s="304">
        <f t="shared" si="25"/>
        <v>48487</v>
      </c>
      <c r="AK104" s="304">
        <f t="shared" si="25"/>
        <v>48852</v>
      </c>
      <c r="AL104" s="304">
        <f t="shared" si="25"/>
        <v>49217</v>
      </c>
      <c r="AM104" s="304">
        <f t="shared" si="25"/>
        <v>49582</v>
      </c>
      <c r="AN104" s="304">
        <f t="shared" si="25"/>
        <v>49948</v>
      </c>
      <c r="AO104" s="304">
        <f t="shared" si="24"/>
        <v>50313</v>
      </c>
      <c r="AP104" s="305"/>
      <c r="AQ104" s="260">
        <v>5</v>
      </c>
    </row>
    <row r="105" spans="24:43" ht="12.75" hidden="1" customHeight="1">
      <c r="Y105" s="305">
        <f t="shared" si="25"/>
        <v>0</v>
      </c>
      <c r="Z105" s="305">
        <f t="shared" si="24"/>
        <v>0</v>
      </c>
      <c r="AA105" s="305">
        <f t="shared" si="24"/>
        <v>0</v>
      </c>
      <c r="AB105" s="305">
        <f t="shared" si="24"/>
        <v>0</v>
      </c>
      <c r="AC105" s="305">
        <f t="shared" si="24"/>
        <v>0</v>
      </c>
      <c r="AD105" s="305">
        <f t="shared" si="24"/>
        <v>0</v>
      </c>
      <c r="AE105" s="305">
        <f t="shared" si="24"/>
        <v>0</v>
      </c>
      <c r="AF105" s="305">
        <f t="shared" si="24"/>
        <v>0</v>
      </c>
      <c r="AG105" s="305">
        <f t="shared" si="24"/>
        <v>0</v>
      </c>
      <c r="AH105" s="305">
        <f t="shared" si="24"/>
        <v>0</v>
      </c>
      <c r="AI105" s="305">
        <f t="shared" si="24"/>
        <v>0</v>
      </c>
      <c r="AJ105" s="305">
        <f t="shared" si="24"/>
        <v>0</v>
      </c>
      <c r="AK105" s="305">
        <f t="shared" si="24"/>
        <v>0</v>
      </c>
      <c r="AL105" s="305">
        <f t="shared" si="24"/>
        <v>0</v>
      </c>
      <c r="AM105" s="305">
        <f t="shared" si="24"/>
        <v>0</v>
      </c>
      <c r="AN105" s="305">
        <f t="shared" si="24"/>
        <v>0</v>
      </c>
      <c r="AO105" s="305">
        <f t="shared" si="24"/>
        <v>0</v>
      </c>
      <c r="AP105" s="305">
        <f>SUM(Y105:AO105)</f>
        <v>0</v>
      </c>
    </row>
    <row r="106" spans="24:43" ht="12.75" hidden="1" customHeight="1">
      <c r="Y106" s="309"/>
      <c r="Z106" s="309"/>
      <c r="AA106" s="309"/>
      <c r="AB106" s="309"/>
      <c r="AC106" s="309"/>
      <c r="AD106" s="309"/>
      <c r="AE106" s="309"/>
      <c r="AF106" s="309"/>
      <c r="AG106" s="309"/>
      <c r="AH106" s="309"/>
      <c r="AI106" s="309"/>
      <c r="AJ106" s="309"/>
      <c r="AK106" s="309"/>
      <c r="AL106" s="309"/>
      <c r="AM106" s="309"/>
      <c r="AN106" s="309"/>
      <c r="AO106" s="309"/>
      <c r="AP106" s="309"/>
    </row>
    <row r="107" spans="24:43" ht="12.75" hidden="1" customHeight="1">
      <c r="Y107" s="314">
        <f>IF(Y105=0,0,(($J$41/$AP$105)*Y105)*VLOOKUP('1. SUMMARY'!$C$20,rate,+Sheet1!T21,0))</f>
        <v>0</v>
      </c>
      <c r="Z107" s="314">
        <f>IF(Z105=0,0,(($J$41/$AP$105)*Z105)*VLOOKUP('1. SUMMARY'!$C$20,rate,+Sheet1!U21,0))</f>
        <v>0</v>
      </c>
      <c r="AA107" s="314">
        <f>IF(AA105=0,0,(($J$41/$AP$105)*AA105)*VLOOKUP('1. SUMMARY'!$C$20,rate,+Sheet1!V21,0))</f>
        <v>0</v>
      </c>
      <c r="AB107" s="314">
        <f>IF(AB105=0,0,(($J$41/$AP$105)*AB105)*VLOOKUP('1. SUMMARY'!$C$20,rate,+Sheet1!W21,0))</f>
        <v>0</v>
      </c>
      <c r="AC107" s="314">
        <f>IF(AC105=0,0,(($J$41/$AP$105)*AC105)*VLOOKUP('1. SUMMARY'!$C$20,rate,+Sheet1!X21,0))</f>
        <v>0</v>
      </c>
      <c r="AD107" s="314">
        <f>IF(AD105=0,0,(($J$41/$AP$105)*AD105)*VLOOKUP('1. SUMMARY'!$C$20,rate,+Sheet1!Y21,0))</f>
        <v>0</v>
      </c>
      <c r="AE107" s="314">
        <f>IF(AE105=0,0,(($J$41/$AP$105)*AE105)*VLOOKUP('1. SUMMARY'!$C$20,rate,+Sheet1!Z21,0))</f>
        <v>0</v>
      </c>
      <c r="AF107" s="314">
        <f>IF(AF105=0,0,(($J$41/$AP$105)*AF105)*VLOOKUP('1. SUMMARY'!$C$20,rate,+Sheet1!AA21,0))</f>
        <v>0</v>
      </c>
      <c r="AG107" s="314">
        <f>IF(AG105=0,0,(($J$41/$AP$105)*AG105)*VLOOKUP('1. SUMMARY'!$C$20,rate,+Sheet1!AB21,0))</f>
        <v>0</v>
      </c>
      <c r="AH107" s="314">
        <f>IF(AH105=0,0,(($J$41/$AP$105)*AH105)*VLOOKUP('1. SUMMARY'!$C$20,rate,+Sheet1!AC21,0))</f>
        <v>0</v>
      </c>
      <c r="AI107" s="314">
        <f>IF(AI105=0,0,(($J$41/$AP$105)*AI105)*VLOOKUP('1. SUMMARY'!$C$20,rate,+Sheet1!AD21,0))</f>
        <v>0</v>
      </c>
      <c r="AJ107" s="314">
        <f>IF(AJ105=0,0,(($J$41/$AP$105)*AJ105)*VLOOKUP('1. SUMMARY'!$C$20,rate,+Sheet1!AE21,0))</f>
        <v>0</v>
      </c>
      <c r="AK107" s="314">
        <f>IF(AK105=0,0,(($J$41/$AP$105)*AK105)*VLOOKUP('1. SUMMARY'!$C$20,rate,+Sheet1!AF21,0))</f>
        <v>0</v>
      </c>
      <c r="AL107" s="314">
        <f>IF(AL105=0,0,(($J$41/$AP$105)*AL105)*VLOOKUP('1. SUMMARY'!$C$20,rate,+Sheet1!AG21,0))</f>
        <v>0</v>
      </c>
      <c r="AM107" s="314">
        <f>IF(AM105=0,0,(($J$41/$AP$105)*AM105)*VLOOKUP('1. SUMMARY'!$C$20,rate,+Sheet1!AH21,0))</f>
        <v>0</v>
      </c>
      <c r="AN107" s="314">
        <f>IF(AN105=0,0,(($J$41/$AP$105)*AN105)*VLOOKUP('1. SUMMARY'!$C$20,rate,+Sheet1!AI21,0))</f>
        <v>0</v>
      </c>
      <c r="AO107" s="314">
        <f>IF(AO105=0,0,(($J$41/$AP$105)*AO105)*VLOOKUP('1. SUMMARY'!$C$20,rate,+Sheet1!AJ21,0))</f>
        <v>0</v>
      </c>
      <c r="AP107" s="432">
        <f>SUM(Y107:AO107)</f>
        <v>0</v>
      </c>
    </row>
    <row r="108" spans="24:43" ht="12.75" hidden="1" customHeight="1">
      <c r="Y108" s="314">
        <f>IF(Y105=0,0,+($J$41/$AP$105)*Y105)</f>
        <v>0</v>
      </c>
      <c r="Z108" s="314">
        <f t="shared" ref="Z108:AO108" si="26">IF(Z105=0,0,+($J$41/$AP$105)*Z105)</f>
        <v>0</v>
      </c>
      <c r="AA108" s="314">
        <f t="shared" si="26"/>
        <v>0</v>
      </c>
      <c r="AB108" s="314">
        <f t="shared" si="26"/>
        <v>0</v>
      </c>
      <c r="AC108" s="314">
        <f t="shared" si="26"/>
        <v>0</v>
      </c>
      <c r="AD108" s="314">
        <f t="shared" si="26"/>
        <v>0</v>
      </c>
      <c r="AE108" s="314">
        <f t="shared" si="26"/>
        <v>0</v>
      </c>
      <c r="AF108" s="314">
        <f t="shared" si="26"/>
        <v>0</v>
      </c>
      <c r="AG108" s="314">
        <f t="shared" si="26"/>
        <v>0</v>
      </c>
      <c r="AH108" s="314">
        <f t="shared" si="26"/>
        <v>0</v>
      </c>
      <c r="AI108" s="314">
        <f t="shared" si="26"/>
        <v>0</v>
      </c>
      <c r="AJ108" s="314">
        <f t="shared" si="26"/>
        <v>0</v>
      </c>
      <c r="AK108" s="314">
        <f t="shared" si="26"/>
        <v>0</v>
      </c>
      <c r="AL108" s="314">
        <f t="shared" si="26"/>
        <v>0</v>
      </c>
      <c r="AM108" s="314">
        <f t="shared" si="26"/>
        <v>0</v>
      </c>
      <c r="AN108" s="314">
        <f t="shared" si="26"/>
        <v>0</v>
      </c>
      <c r="AO108" s="314">
        <f t="shared" si="26"/>
        <v>0</v>
      </c>
      <c r="AP108" s="432">
        <f>SUM(Y108:AO108)</f>
        <v>0</v>
      </c>
    </row>
    <row r="109" spans="24:43" ht="12.75" hidden="1" customHeight="1">
      <c r="Y109" s="431">
        <f>Y39</f>
        <v>44105</v>
      </c>
      <c r="Z109" s="431">
        <f t="shared" ref="Z109:AO111" si="27">Z39</f>
        <v>44470</v>
      </c>
      <c r="AA109" s="431">
        <f t="shared" si="27"/>
        <v>44835</v>
      </c>
      <c r="AB109" s="431">
        <f t="shared" si="27"/>
        <v>45200</v>
      </c>
      <c r="AC109" s="431">
        <f t="shared" si="27"/>
        <v>45566</v>
      </c>
      <c r="AD109" s="431">
        <f t="shared" si="27"/>
        <v>45931</v>
      </c>
      <c r="AE109" s="431">
        <f t="shared" si="27"/>
        <v>46296</v>
      </c>
      <c r="AF109" s="431">
        <f t="shared" si="27"/>
        <v>46661</v>
      </c>
      <c r="AG109" s="431">
        <f t="shared" si="27"/>
        <v>47027</v>
      </c>
      <c r="AH109" s="431">
        <f t="shared" si="27"/>
        <v>47392</v>
      </c>
      <c r="AI109" s="431">
        <f t="shared" si="27"/>
        <v>47757</v>
      </c>
      <c r="AJ109" s="431">
        <f t="shared" si="27"/>
        <v>48122</v>
      </c>
      <c r="AK109" s="431">
        <f t="shared" si="27"/>
        <v>48488</v>
      </c>
      <c r="AL109" s="431">
        <f t="shared" si="27"/>
        <v>48853</v>
      </c>
      <c r="AM109" s="431">
        <f t="shared" si="27"/>
        <v>49218</v>
      </c>
      <c r="AN109" s="431">
        <f t="shared" si="27"/>
        <v>49583</v>
      </c>
      <c r="AO109" s="431">
        <f t="shared" si="27"/>
        <v>49949</v>
      </c>
      <c r="AP109" s="340"/>
    </row>
    <row r="110" spans="24:43" ht="12.75" hidden="1" customHeight="1">
      <c r="X110" s="260">
        <v>6</v>
      </c>
      <c r="Y110" s="431">
        <f t="shared" ref="Y110:AN111" si="28">Y40</f>
        <v>44469</v>
      </c>
      <c r="Z110" s="431">
        <f t="shared" si="28"/>
        <v>44834</v>
      </c>
      <c r="AA110" s="431">
        <f t="shared" si="28"/>
        <v>45199</v>
      </c>
      <c r="AB110" s="431">
        <f t="shared" si="28"/>
        <v>45565</v>
      </c>
      <c r="AC110" s="431">
        <f t="shared" si="28"/>
        <v>45930</v>
      </c>
      <c r="AD110" s="431">
        <f t="shared" si="28"/>
        <v>46295</v>
      </c>
      <c r="AE110" s="431">
        <f t="shared" si="28"/>
        <v>46660</v>
      </c>
      <c r="AF110" s="431">
        <f t="shared" si="28"/>
        <v>47026</v>
      </c>
      <c r="AG110" s="431">
        <f t="shared" si="28"/>
        <v>47391</v>
      </c>
      <c r="AH110" s="431">
        <f t="shared" si="28"/>
        <v>47756</v>
      </c>
      <c r="AI110" s="431">
        <f t="shared" si="28"/>
        <v>48121</v>
      </c>
      <c r="AJ110" s="431">
        <f t="shared" si="28"/>
        <v>48487</v>
      </c>
      <c r="AK110" s="431">
        <f t="shared" si="28"/>
        <v>48852</v>
      </c>
      <c r="AL110" s="431">
        <f t="shared" si="28"/>
        <v>49217</v>
      </c>
      <c r="AM110" s="431">
        <f t="shared" si="28"/>
        <v>49582</v>
      </c>
      <c r="AN110" s="431">
        <f t="shared" si="28"/>
        <v>49948</v>
      </c>
      <c r="AO110" s="431">
        <f t="shared" si="27"/>
        <v>50313</v>
      </c>
      <c r="AP110" s="340"/>
      <c r="AQ110" s="260">
        <v>6</v>
      </c>
    </row>
    <row r="111" spans="24:43" ht="12.75" hidden="1" customHeight="1">
      <c r="Y111" s="305">
        <f t="shared" si="28"/>
        <v>0</v>
      </c>
      <c r="Z111" s="305">
        <f t="shared" si="27"/>
        <v>0</v>
      </c>
      <c r="AA111" s="305">
        <f t="shared" si="27"/>
        <v>0</v>
      </c>
      <c r="AB111" s="305">
        <f t="shared" si="27"/>
        <v>0</v>
      </c>
      <c r="AC111" s="305">
        <f t="shared" si="27"/>
        <v>0</v>
      </c>
      <c r="AD111" s="305">
        <f t="shared" si="27"/>
        <v>0</v>
      </c>
      <c r="AE111" s="305">
        <f t="shared" si="27"/>
        <v>0</v>
      </c>
      <c r="AF111" s="305">
        <f t="shared" si="27"/>
        <v>0</v>
      </c>
      <c r="AG111" s="305">
        <f t="shared" si="27"/>
        <v>0</v>
      </c>
      <c r="AH111" s="305">
        <f t="shared" si="27"/>
        <v>0</v>
      </c>
      <c r="AI111" s="305">
        <f t="shared" si="27"/>
        <v>0</v>
      </c>
      <c r="AJ111" s="305">
        <f t="shared" si="27"/>
        <v>0</v>
      </c>
      <c r="AK111" s="305">
        <f t="shared" si="27"/>
        <v>0</v>
      </c>
      <c r="AL111" s="305">
        <f t="shared" si="27"/>
        <v>0</v>
      </c>
      <c r="AM111" s="305">
        <f t="shared" si="27"/>
        <v>0</v>
      </c>
      <c r="AN111" s="305">
        <f t="shared" si="27"/>
        <v>0</v>
      </c>
      <c r="AO111" s="305">
        <f t="shared" si="27"/>
        <v>0</v>
      </c>
      <c r="AP111" s="305">
        <f>SUM(Y111:AO111)</f>
        <v>0</v>
      </c>
    </row>
    <row r="112" spans="24:43" ht="12.75" hidden="1" customHeight="1">
      <c r="Y112" s="314"/>
      <c r="Z112" s="314"/>
      <c r="AA112" s="314"/>
      <c r="AB112" s="314"/>
      <c r="AC112" s="314"/>
      <c r="AD112" s="314"/>
      <c r="AE112" s="314"/>
      <c r="AF112" s="314"/>
      <c r="AG112" s="314"/>
      <c r="AH112" s="314"/>
      <c r="AI112" s="314"/>
      <c r="AJ112" s="314"/>
      <c r="AK112" s="314"/>
      <c r="AL112" s="314"/>
      <c r="AM112" s="314"/>
      <c r="AN112" s="314"/>
      <c r="AO112" s="314"/>
      <c r="AP112" s="309"/>
    </row>
    <row r="113" spans="24:43" ht="12.75" hidden="1" customHeight="1">
      <c r="Y113" s="314">
        <f>IF(Y111=0,0,(($L$41/$AP111)*Y111)*VLOOKUP('1. SUMMARY'!$C$20,rate,+Sheet1!T$21,0))</f>
        <v>0</v>
      </c>
      <c r="Z113" s="314">
        <f>IF(Z111=0,0,(($L$41/$AP111)*Z111)*VLOOKUP('1. SUMMARY'!$C$20,rate,+Sheet1!U$21,0))</f>
        <v>0</v>
      </c>
      <c r="AA113" s="314">
        <f>IF(AA111=0,0,(($L$41/$AP111)*AA111)*VLOOKUP('1. SUMMARY'!$C$20,rate,+Sheet1!V$21,0))</f>
        <v>0</v>
      </c>
      <c r="AB113" s="314">
        <f>IF(AB111=0,0,(($L$41/$AP111)*AB111)*VLOOKUP('1. SUMMARY'!$C$20,rate,+Sheet1!W$21,0))</f>
        <v>0</v>
      </c>
      <c r="AC113" s="314">
        <f>IF(AC111=0,0,(($L$41/$AP111)*AC111)*VLOOKUP('1. SUMMARY'!$C$20,rate,+Sheet1!X$21,0))</f>
        <v>0</v>
      </c>
      <c r="AD113" s="314">
        <f>IF(AD111=0,0,(($L$41/$AP111)*AD111)*VLOOKUP('1. SUMMARY'!$C$20,rate,+Sheet1!Y$21,0))</f>
        <v>0</v>
      </c>
      <c r="AE113" s="314">
        <f>IF(AE111=0,0,(($L$41/$AP111)*AE111)*VLOOKUP('1. SUMMARY'!$C$20,rate,+Sheet1!Z$21,0))</f>
        <v>0</v>
      </c>
      <c r="AF113" s="314">
        <f>IF(AF111=0,0,(($L$41/$AP111)*AF111)*VLOOKUP('1. SUMMARY'!$C$20,rate,+Sheet1!AA$21,0))</f>
        <v>0</v>
      </c>
      <c r="AG113" s="314">
        <f>IF(AG111=0,0,(($L$41/$AP111)*AG111)*VLOOKUP('1. SUMMARY'!$C$20,rate,+Sheet1!AB$21,0))</f>
        <v>0</v>
      </c>
      <c r="AH113" s="314">
        <f>IF(AH111=0,0,(($L$41/$AP111)*AH111)*VLOOKUP('1. SUMMARY'!$C$20,rate,+Sheet1!AC$21,0))</f>
        <v>0</v>
      </c>
      <c r="AI113" s="314">
        <f>IF(AI111=0,0,(($L$41/$AP111)*AI111)*VLOOKUP('1. SUMMARY'!$C$20,rate,+Sheet1!AD$21,0))</f>
        <v>0</v>
      </c>
      <c r="AJ113" s="314">
        <f>IF(AJ111=0,0,(($L$41/$AP111)*AJ111)*VLOOKUP('1. SUMMARY'!$C$20,rate,+Sheet1!AE$21,0))</f>
        <v>0</v>
      </c>
      <c r="AK113" s="314">
        <f>IF(AK111=0,0,(($L$41/$AP111)*AK111)*VLOOKUP('1. SUMMARY'!$C$20,rate,+Sheet1!AF$21,0))</f>
        <v>0</v>
      </c>
      <c r="AL113" s="314">
        <f>IF(AL111=0,0,(($L$41/$AP111)*AL111)*VLOOKUP('1. SUMMARY'!$C$20,rate,+Sheet1!AG$21,0))</f>
        <v>0</v>
      </c>
      <c r="AM113" s="314">
        <f>IF(AM111=0,0,(($L$41/$AP111)*AM111)*VLOOKUP('1. SUMMARY'!$C$20,rate,+Sheet1!AH$21,0))</f>
        <v>0</v>
      </c>
      <c r="AN113" s="314">
        <f>IF(AN111=0,0,(($L$41/$AP111)*AN111)*VLOOKUP('1. SUMMARY'!$C$20,rate,+Sheet1!AI$21,0))</f>
        <v>0</v>
      </c>
      <c r="AO113" s="314">
        <f>IF(AO111=0,0,(($L$41/$AP111)*AO111)*VLOOKUP('1. SUMMARY'!$C$20,rate,+Sheet1!AJ$21,0))</f>
        <v>0</v>
      </c>
      <c r="AP113" s="432">
        <f>SUM(Y113:AO113)</f>
        <v>0</v>
      </c>
    </row>
    <row r="114" spans="24:43" ht="12.75" hidden="1" customHeight="1">
      <c r="Y114" s="314">
        <f>IF(Y111=0,0,+($L$41/$AP111)*Y111)</f>
        <v>0</v>
      </c>
      <c r="Z114" s="314">
        <f t="shared" ref="Z114:AO114" si="29">IF(Z111=0,0,+($L$41/$AP111)*Z111)</f>
        <v>0</v>
      </c>
      <c r="AA114" s="314">
        <f t="shared" si="29"/>
        <v>0</v>
      </c>
      <c r="AB114" s="314">
        <f t="shared" si="29"/>
        <v>0</v>
      </c>
      <c r="AC114" s="314">
        <f t="shared" si="29"/>
        <v>0</v>
      </c>
      <c r="AD114" s="314">
        <f t="shared" si="29"/>
        <v>0</v>
      </c>
      <c r="AE114" s="314">
        <f t="shared" si="29"/>
        <v>0</v>
      </c>
      <c r="AF114" s="314">
        <f t="shared" si="29"/>
        <v>0</v>
      </c>
      <c r="AG114" s="314">
        <f t="shared" si="29"/>
        <v>0</v>
      </c>
      <c r="AH114" s="314">
        <f t="shared" si="29"/>
        <v>0</v>
      </c>
      <c r="AI114" s="314">
        <f t="shared" si="29"/>
        <v>0</v>
      </c>
      <c r="AJ114" s="314">
        <f t="shared" si="29"/>
        <v>0</v>
      </c>
      <c r="AK114" s="314">
        <f t="shared" si="29"/>
        <v>0</v>
      </c>
      <c r="AL114" s="314">
        <f t="shared" si="29"/>
        <v>0</v>
      </c>
      <c r="AM114" s="314">
        <f t="shared" si="29"/>
        <v>0</v>
      </c>
      <c r="AN114" s="314">
        <f t="shared" si="29"/>
        <v>0</v>
      </c>
      <c r="AO114" s="314">
        <f t="shared" si="29"/>
        <v>0</v>
      </c>
      <c r="AP114" s="432">
        <f>SUM(Y114:AO114)</f>
        <v>0</v>
      </c>
    </row>
    <row r="115" spans="24:43" ht="12.75" hidden="1" customHeight="1">
      <c r="Y115" s="431">
        <f>Y46</f>
        <v>44105</v>
      </c>
      <c r="Z115" s="431">
        <f t="shared" ref="Z115:AO117" si="30">Z46</f>
        <v>44470</v>
      </c>
      <c r="AA115" s="431">
        <f t="shared" si="30"/>
        <v>44835</v>
      </c>
      <c r="AB115" s="431">
        <f t="shared" si="30"/>
        <v>45200</v>
      </c>
      <c r="AC115" s="431">
        <f t="shared" si="30"/>
        <v>45566</v>
      </c>
      <c r="AD115" s="431">
        <f t="shared" si="30"/>
        <v>45931</v>
      </c>
      <c r="AE115" s="431">
        <f t="shared" si="30"/>
        <v>46296</v>
      </c>
      <c r="AF115" s="431">
        <f t="shared" si="30"/>
        <v>46661</v>
      </c>
      <c r="AG115" s="431">
        <f t="shared" si="30"/>
        <v>47027</v>
      </c>
      <c r="AH115" s="431">
        <f t="shared" si="30"/>
        <v>47392</v>
      </c>
      <c r="AI115" s="431">
        <f t="shared" si="30"/>
        <v>47757</v>
      </c>
      <c r="AJ115" s="431">
        <f t="shared" si="30"/>
        <v>48122</v>
      </c>
      <c r="AK115" s="431">
        <f t="shared" si="30"/>
        <v>48488</v>
      </c>
      <c r="AL115" s="431">
        <f t="shared" si="30"/>
        <v>48853</v>
      </c>
      <c r="AM115" s="431">
        <f t="shared" si="30"/>
        <v>49218</v>
      </c>
      <c r="AN115" s="431">
        <f t="shared" si="30"/>
        <v>49583</v>
      </c>
      <c r="AO115" s="431">
        <f t="shared" si="30"/>
        <v>49949</v>
      </c>
      <c r="AP115" s="340"/>
    </row>
    <row r="116" spans="24:43" ht="12.75" hidden="1" customHeight="1">
      <c r="X116" s="260">
        <v>7</v>
      </c>
      <c r="Y116" s="431">
        <f t="shared" ref="Y116:AN117" si="31">Y47</f>
        <v>44469</v>
      </c>
      <c r="Z116" s="431">
        <f t="shared" si="31"/>
        <v>44834</v>
      </c>
      <c r="AA116" s="431">
        <f t="shared" si="31"/>
        <v>45199</v>
      </c>
      <c r="AB116" s="431">
        <f t="shared" si="31"/>
        <v>45565</v>
      </c>
      <c r="AC116" s="431">
        <f t="shared" si="31"/>
        <v>45930</v>
      </c>
      <c r="AD116" s="431">
        <f t="shared" si="31"/>
        <v>46295</v>
      </c>
      <c r="AE116" s="431">
        <f t="shared" si="31"/>
        <v>46660</v>
      </c>
      <c r="AF116" s="431">
        <f t="shared" si="31"/>
        <v>47026</v>
      </c>
      <c r="AG116" s="431">
        <f t="shared" si="31"/>
        <v>47391</v>
      </c>
      <c r="AH116" s="431">
        <f t="shared" si="31"/>
        <v>47756</v>
      </c>
      <c r="AI116" s="431">
        <f t="shared" si="31"/>
        <v>48121</v>
      </c>
      <c r="AJ116" s="431">
        <f t="shared" si="31"/>
        <v>48487</v>
      </c>
      <c r="AK116" s="431">
        <f t="shared" si="31"/>
        <v>48852</v>
      </c>
      <c r="AL116" s="431">
        <f t="shared" si="31"/>
        <v>49217</v>
      </c>
      <c r="AM116" s="431">
        <f t="shared" si="31"/>
        <v>49582</v>
      </c>
      <c r="AN116" s="431">
        <f t="shared" si="31"/>
        <v>49948</v>
      </c>
      <c r="AO116" s="431">
        <f t="shared" si="30"/>
        <v>50313</v>
      </c>
      <c r="AP116" s="340"/>
      <c r="AQ116" s="260">
        <v>7</v>
      </c>
    </row>
    <row r="117" spans="24:43" ht="12.75" hidden="1" customHeight="1">
      <c r="Y117" s="305">
        <f t="shared" si="31"/>
        <v>0</v>
      </c>
      <c r="Z117" s="305">
        <f t="shared" si="30"/>
        <v>0</v>
      </c>
      <c r="AA117" s="305">
        <f t="shared" si="30"/>
        <v>0</v>
      </c>
      <c r="AB117" s="305">
        <f t="shared" si="30"/>
        <v>0</v>
      </c>
      <c r="AC117" s="305">
        <f t="shared" si="30"/>
        <v>0</v>
      </c>
      <c r="AD117" s="305">
        <f t="shared" si="30"/>
        <v>0</v>
      </c>
      <c r="AE117" s="305">
        <f t="shared" si="30"/>
        <v>0</v>
      </c>
      <c r="AF117" s="305">
        <f t="shared" si="30"/>
        <v>0</v>
      </c>
      <c r="AG117" s="305">
        <f t="shared" si="30"/>
        <v>0</v>
      </c>
      <c r="AH117" s="305">
        <f t="shared" si="30"/>
        <v>0</v>
      </c>
      <c r="AI117" s="305">
        <f t="shared" si="30"/>
        <v>0</v>
      </c>
      <c r="AJ117" s="305">
        <f t="shared" si="30"/>
        <v>0</v>
      </c>
      <c r="AK117" s="305">
        <f t="shared" si="30"/>
        <v>0</v>
      </c>
      <c r="AL117" s="305">
        <f t="shared" si="30"/>
        <v>0</v>
      </c>
      <c r="AM117" s="305">
        <f t="shared" si="30"/>
        <v>0</v>
      </c>
      <c r="AN117" s="305">
        <f t="shared" si="30"/>
        <v>0</v>
      </c>
      <c r="AO117" s="305">
        <f t="shared" si="30"/>
        <v>0</v>
      </c>
      <c r="AP117" s="305">
        <f>SUM(Y117:AO117)</f>
        <v>0</v>
      </c>
    </row>
    <row r="118" spans="24:43" ht="12.75" hidden="1" customHeight="1">
      <c r="Y118" s="314"/>
      <c r="Z118" s="314"/>
      <c r="AA118" s="314"/>
      <c r="AB118" s="314"/>
      <c r="AC118" s="314"/>
      <c r="AD118" s="314"/>
      <c r="AE118" s="314"/>
      <c r="AF118" s="314"/>
      <c r="AG118" s="314"/>
      <c r="AH118" s="314"/>
      <c r="AI118" s="314"/>
      <c r="AJ118" s="314"/>
      <c r="AK118" s="314"/>
      <c r="AL118" s="314"/>
      <c r="AM118" s="314"/>
      <c r="AN118" s="314"/>
      <c r="AO118" s="314"/>
      <c r="AP118" s="309"/>
    </row>
    <row r="119" spans="24:43" ht="12.75" hidden="1" customHeight="1">
      <c r="Y119" s="314">
        <f>IF(Y117=0,0,(($N$41/$AP117)*Y117)*VLOOKUP('1. SUMMARY'!$C$20,rate,+Sheet1!T$21,0))</f>
        <v>0</v>
      </c>
      <c r="Z119" s="314">
        <f>IF(Z117=0,0,(($N$41/$AP117)*Z117)*VLOOKUP('1. SUMMARY'!$C$20,rate,+Sheet1!U$21,0))</f>
        <v>0</v>
      </c>
      <c r="AA119" s="314">
        <f>IF(AA117=0,0,(($N$41/$AP117)*AA117)*VLOOKUP('1. SUMMARY'!$C$20,rate,+Sheet1!V$21,0))</f>
        <v>0</v>
      </c>
      <c r="AB119" s="314">
        <f>IF(AB117=0,0,(($N$41/$AP117)*AB117)*VLOOKUP('1. SUMMARY'!$C$20,rate,+Sheet1!W$21,0))</f>
        <v>0</v>
      </c>
      <c r="AC119" s="314">
        <f>IF(AC117=0,0,(($N$41/$AP117)*AC117)*VLOOKUP('1. SUMMARY'!$C$20,rate,+Sheet1!X$21,0))</f>
        <v>0</v>
      </c>
      <c r="AD119" s="314">
        <f>IF(AD117=0,0,(($N$41/$AP117)*AD117)*VLOOKUP('1. SUMMARY'!$C$20,rate,+Sheet1!Y$21,0))</f>
        <v>0</v>
      </c>
      <c r="AE119" s="314">
        <f>IF(AE117=0,0,(($N$41/$AP117)*AE117)*VLOOKUP('1. SUMMARY'!$C$20,rate,+Sheet1!Z$21,0))</f>
        <v>0</v>
      </c>
      <c r="AF119" s="314">
        <f>IF(AF117=0,0,(($N$41/$AP117)*AF117)*VLOOKUP('1. SUMMARY'!$C$20,rate,+Sheet1!AA$21,0))</f>
        <v>0</v>
      </c>
      <c r="AG119" s="314">
        <f>IF(AG117=0,0,(($N$41/$AP117)*AG117)*VLOOKUP('1. SUMMARY'!$C$20,rate,+Sheet1!AB$21,0))</f>
        <v>0</v>
      </c>
      <c r="AH119" s="314">
        <f>IF(AH117=0,0,(($N$41/$AP117)*AH117)*VLOOKUP('1. SUMMARY'!$C$20,rate,+Sheet1!AC$21,0))</f>
        <v>0</v>
      </c>
      <c r="AI119" s="314">
        <f>IF(AI117=0,0,(($N$41/$AP117)*AI117)*VLOOKUP('1. SUMMARY'!$C$20,rate,+Sheet1!AD$21,0))</f>
        <v>0</v>
      </c>
      <c r="AJ119" s="314">
        <f>IF(AJ117=0,0,(($N$41/$AP117)*AJ117)*VLOOKUP('1. SUMMARY'!$C$20,rate,+Sheet1!AE$21,0))</f>
        <v>0</v>
      </c>
      <c r="AK119" s="314">
        <f>IF(AK117=0,0,(($N$41/$AP117)*AK117)*VLOOKUP('1. SUMMARY'!$C$20,rate,+Sheet1!AF$21,0))</f>
        <v>0</v>
      </c>
      <c r="AL119" s="314">
        <f>IF(AL117=0,0,(($N$41/$AP117)*AL117)*VLOOKUP('1. SUMMARY'!$C$20,rate,+Sheet1!AG$21,0))</f>
        <v>0</v>
      </c>
      <c r="AM119" s="314">
        <f>IF(AM117=0,0,(($N$41/$AP117)*AM117)*VLOOKUP('1. SUMMARY'!$C$20,rate,+Sheet1!AH$21,0))</f>
        <v>0</v>
      </c>
      <c r="AN119" s="314">
        <f>IF(AN117=0,0,(($N$41/$AP117)*AN117)*VLOOKUP('1. SUMMARY'!$C$20,rate,+Sheet1!AI$21,0))</f>
        <v>0</v>
      </c>
      <c r="AO119" s="314">
        <f>IF(AO117=0,0,(($N$41/$AP117)*AO117)*VLOOKUP('1. SUMMARY'!$C$20,rate,+Sheet1!AJ$21,0))</f>
        <v>0</v>
      </c>
      <c r="AP119" s="432">
        <f>SUM(Y119:AO119)</f>
        <v>0</v>
      </c>
    </row>
    <row r="120" spans="24:43" ht="12.75" hidden="1" customHeight="1">
      <c r="Y120" s="314">
        <f>IF(Y117=0,0,+($N$41/$AP117)*Y117)</f>
        <v>0</v>
      </c>
      <c r="Z120" s="314">
        <f t="shared" ref="Z120:AO120" si="32">IF(Z117=0,0,+($N$41/$AP117)*Z117)</f>
        <v>0</v>
      </c>
      <c r="AA120" s="314">
        <f t="shared" si="32"/>
        <v>0</v>
      </c>
      <c r="AB120" s="314">
        <f t="shared" si="32"/>
        <v>0</v>
      </c>
      <c r="AC120" s="314">
        <f t="shared" si="32"/>
        <v>0</v>
      </c>
      <c r="AD120" s="314">
        <f t="shared" si="32"/>
        <v>0</v>
      </c>
      <c r="AE120" s="314">
        <f t="shared" si="32"/>
        <v>0</v>
      </c>
      <c r="AF120" s="314">
        <f t="shared" si="32"/>
        <v>0</v>
      </c>
      <c r="AG120" s="314">
        <f t="shared" si="32"/>
        <v>0</v>
      </c>
      <c r="AH120" s="314">
        <f t="shared" si="32"/>
        <v>0</v>
      </c>
      <c r="AI120" s="314">
        <f t="shared" si="32"/>
        <v>0</v>
      </c>
      <c r="AJ120" s="314">
        <f t="shared" si="32"/>
        <v>0</v>
      </c>
      <c r="AK120" s="314">
        <f t="shared" si="32"/>
        <v>0</v>
      </c>
      <c r="AL120" s="314">
        <f t="shared" si="32"/>
        <v>0</v>
      </c>
      <c r="AM120" s="314">
        <f t="shared" si="32"/>
        <v>0</v>
      </c>
      <c r="AN120" s="314">
        <f t="shared" si="32"/>
        <v>0</v>
      </c>
      <c r="AO120" s="314">
        <f t="shared" si="32"/>
        <v>0</v>
      </c>
      <c r="AP120" s="432">
        <f>SUM(Y120:AO120)</f>
        <v>0</v>
      </c>
    </row>
    <row r="121" spans="24:43" ht="12.75" hidden="1" customHeight="1">
      <c r="Y121" s="431">
        <f>Y53</f>
        <v>44105</v>
      </c>
      <c r="Z121" s="431">
        <f t="shared" ref="Z121:AO123" si="33">Z53</f>
        <v>44470</v>
      </c>
      <c r="AA121" s="431">
        <f t="shared" si="33"/>
        <v>44835</v>
      </c>
      <c r="AB121" s="431">
        <f t="shared" si="33"/>
        <v>45200</v>
      </c>
      <c r="AC121" s="431">
        <f t="shared" si="33"/>
        <v>45566</v>
      </c>
      <c r="AD121" s="431">
        <f t="shared" si="33"/>
        <v>45931</v>
      </c>
      <c r="AE121" s="431">
        <f t="shared" si="33"/>
        <v>46296</v>
      </c>
      <c r="AF121" s="431">
        <f t="shared" si="33"/>
        <v>46661</v>
      </c>
      <c r="AG121" s="431">
        <f t="shared" si="33"/>
        <v>47027</v>
      </c>
      <c r="AH121" s="431">
        <f t="shared" si="33"/>
        <v>47392</v>
      </c>
      <c r="AI121" s="431">
        <f t="shared" si="33"/>
        <v>47757</v>
      </c>
      <c r="AJ121" s="431">
        <f t="shared" si="33"/>
        <v>48122</v>
      </c>
      <c r="AK121" s="431">
        <f t="shared" si="33"/>
        <v>48488</v>
      </c>
      <c r="AL121" s="431">
        <f t="shared" si="33"/>
        <v>48853</v>
      </c>
      <c r="AM121" s="431">
        <f t="shared" si="33"/>
        <v>49218</v>
      </c>
      <c r="AN121" s="431">
        <f t="shared" si="33"/>
        <v>49583</v>
      </c>
      <c r="AO121" s="431">
        <f t="shared" si="33"/>
        <v>49949</v>
      </c>
      <c r="AP121" s="340"/>
    </row>
    <row r="122" spans="24:43" ht="12.75" hidden="1" customHeight="1">
      <c r="X122" s="260">
        <v>8</v>
      </c>
      <c r="Y122" s="431">
        <f t="shared" ref="Y122:AN123" si="34">Y54</f>
        <v>44469</v>
      </c>
      <c r="Z122" s="431">
        <f t="shared" si="34"/>
        <v>44834</v>
      </c>
      <c r="AA122" s="431">
        <f t="shared" si="34"/>
        <v>45199</v>
      </c>
      <c r="AB122" s="431">
        <f t="shared" si="34"/>
        <v>45565</v>
      </c>
      <c r="AC122" s="431">
        <f t="shared" si="34"/>
        <v>45930</v>
      </c>
      <c r="AD122" s="431">
        <f t="shared" si="34"/>
        <v>46295</v>
      </c>
      <c r="AE122" s="431">
        <f t="shared" si="34"/>
        <v>46660</v>
      </c>
      <c r="AF122" s="431">
        <f t="shared" si="34"/>
        <v>47026</v>
      </c>
      <c r="AG122" s="431">
        <f t="shared" si="34"/>
        <v>47391</v>
      </c>
      <c r="AH122" s="431">
        <f t="shared" si="34"/>
        <v>47756</v>
      </c>
      <c r="AI122" s="431">
        <f t="shared" si="34"/>
        <v>48121</v>
      </c>
      <c r="AJ122" s="431">
        <f t="shared" si="34"/>
        <v>48487</v>
      </c>
      <c r="AK122" s="431">
        <f t="shared" si="34"/>
        <v>48852</v>
      </c>
      <c r="AL122" s="431">
        <f t="shared" si="34"/>
        <v>49217</v>
      </c>
      <c r="AM122" s="431">
        <f t="shared" si="34"/>
        <v>49582</v>
      </c>
      <c r="AN122" s="431">
        <f t="shared" si="34"/>
        <v>49948</v>
      </c>
      <c r="AO122" s="431">
        <f t="shared" si="33"/>
        <v>50313</v>
      </c>
      <c r="AP122" s="340"/>
      <c r="AQ122" s="260">
        <v>8</v>
      </c>
    </row>
    <row r="123" spans="24:43" ht="12.75" hidden="1" customHeight="1">
      <c r="Y123" s="305">
        <f t="shared" si="34"/>
        <v>0</v>
      </c>
      <c r="Z123" s="305">
        <f t="shared" si="33"/>
        <v>0</v>
      </c>
      <c r="AA123" s="305">
        <f t="shared" si="33"/>
        <v>0</v>
      </c>
      <c r="AB123" s="305">
        <f t="shared" si="33"/>
        <v>0</v>
      </c>
      <c r="AC123" s="305">
        <f t="shared" si="33"/>
        <v>0</v>
      </c>
      <c r="AD123" s="305">
        <f t="shared" si="33"/>
        <v>0</v>
      </c>
      <c r="AE123" s="305">
        <f t="shared" si="33"/>
        <v>0</v>
      </c>
      <c r="AF123" s="305">
        <f t="shared" si="33"/>
        <v>0</v>
      </c>
      <c r="AG123" s="305">
        <f t="shared" si="33"/>
        <v>0</v>
      </c>
      <c r="AH123" s="305">
        <f t="shared" si="33"/>
        <v>0</v>
      </c>
      <c r="AI123" s="305">
        <f t="shared" si="33"/>
        <v>0</v>
      </c>
      <c r="AJ123" s="305">
        <f t="shared" si="33"/>
        <v>0</v>
      </c>
      <c r="AK123" s="305">
        <f t="shared" si="33"/>
        <v>0</v>
      </c>
      <c r="AL123" s="305">
        <f t="shared" si="33"/>
        <v>0</v>
      </c>
      <c r="AM123" s="305">
        <f t="shared" si="33"/>
        <v>0</v>
      </c>
      <c r="AN123" s="305">
        <f t="shared" si="33"/>
        <v>0</v>
      </c>
      <c r="AO123" s="305">
        <f t="shared" si="33"/>
        <v>0</v>
      </c>
      <c r="AP123" s="305">
        <f>SUM(Y123:AO123)</f>
        <v>0</v>
      </c>
    </row>
    <row r="124" spans="24:43" ht="12.75" hidden="1" customHeight="1">
      <c r="Y124" s="314"/>
      <c r="Z124" s="314"/>
      <c r="AA124" s="314"/>
      <c r="AB124" s="314"/>
      <c r="AC124" s="314"/>
      <c r="AD124" s="314"/>
      <c r="AE124" s="314"/>
      <c r="AF124" s="314"/>
      <c r="AG124" s="314"/>
      <c r="AH124" s="314"/>
      <c r="AI124" s="314"/>
      <c r="AJ124" s="314"/>
      <c r="AK124" s="314"/>
      <c r="AL124" s="314"/>
      <c r="AM124" s="314"/>
      <c r="AN124" s="314"/>
      <c r="AO124" s="314"/>
      <c r="AP124" s="309"/>
    </row>
    <row r="125" spans="24:43" ht="12.75" hidden="1" customHeight="1">
      <c r="Y125" s="314">
        <f>IF(Y123=0,0,(($P$41/$AP123)*Y123)*VLOOKUP('1. SUMMARY'!$C$20,rate,+Sheet1!T$21,0))</f>
        <v>0</v>
      </c>
      <c r="Z125" s="314">
        <f>IF(Z123=0,0,(($P$41/$AP123)*Z123)*VLOOKUP('1. SUMMARY'!$C$20,rate,+Sheet1!U$21,0))</f>
        <v>0</v>
      </c>
      <c r="AA125" s="314">
        <f>IF(AA123=0,0,(($P$41/$AP123)*AA123)*VLOOKUP('1. SUMMARY'!$C$20,rate,+Sheet1!V$21,0))</f>
        <v>0</v>
      </c>
      <c r="AB125" s="314">
        <f>IF(AB123=0,0,(($P$41/$AP123)*AB123)*VLOOKUP('1. SUMMARY'!$C$20,rate,+Sheet1!W$21,0))</f>
        <v>0</v>
      </c>
      <c r="AC125" s="314">
        <f>IF(AC123=0,0,(($P$41/$AP123)*AC123)*VLOOKUP('1. SUMMARY'!$C$20,rate,+Sheet1!X$21,0))</f>
        <v>0</v>
      </c>
      <c r="AD125" s="314">
        <f>IF(AD123=0,0,(($P$41/$AP123)*AD123)*VLOOKUP('1. SUMMARY'!$C$20,rate,+Sheet1!Y$21,0))</f>
        <v>0</v>
      </c>
      <c r="AE125" s="314">
        <f>IF(AE123=0,0,(($P$41/$AP123)*AE123)*VLOOKUP('1. SUMMARY'!$C$20,rate,+Sheet1!Z$21,0))</f>
        <v>0</v>
      </c>
      <c r="AF125" s="314">
        <f>IF(AF123=0,0,(($P$41/$AP123)*AF123)*VLOOKUP('1. SUMMARY'!$C$20,rate,+Sheet1!AA$21,0))</f>
        <v>0</v>
      </c>
      <c r="AG125" s="314">
        <f>IF(AG123=0,0,(($P$41/$AP123)*AG123)*VLOOKUP('1. SUMMARY'!$C$20,rate,+Sheet1!AB$21,0))</f>
        <v>0</v>
      </c>
      <c r="AH125" s="314">
        <f>IF(AH123=0,0,(($P$41/$AP123)*AH123)*VLOOKUP('1. SUMMARY'!$C$20,rate,+Sheet1!AC$21,0))</f>
        <v>0</v>
      </c>
      <c r="AI125" s="314">
        <f>IF(AI123=0,0,(($P$41/$AP123)*AI123)*VLOOKUP('1. SUMMARY'!$C$20,rate,+Sheet1!AD$21,0))</f>
        <v>0</v>
      </c>
      <c r="AJ125" s="314">
        <f>IF(AJ123=0,0,(($P$41/$AP123)*AJ123)*VLOOKUP('1. SUMMARY'!$C$20,rate,+Sheet1!AE$21,0))</f>
        <v>0</v>
      </c>
      <c r="AK125" s="314">
        <f>IF(AK123=0,0,(($P$41/$AP123)*AK123)*VLOOKUP('1. SUMMARY'!$C$20,rate,+Sheet1!AF$21,0))</f>
        <v>0</v>
      </c>
      <c r="AL125" s="314">
        <f>IF(AL123=0,0,(($P$41/$AP123)*AL123)*VLOOKUP('1. SUMMARY'!$C$20,rate,+Sheet1!AG$21,0))</f>
        <v>0</v>
      </c>
      <c r="AM125" s="314">
        <f>IF(AM123=0,0,(($P$41/$AP123)*AM123)*VLOOKUP('1. SUMMARY'!$C$20,rate,+Sheet1!AH$21,0))</f>
        <v>0</v>
      </c>
      <c r="AN125" s="314">
        <f>IF(AN123=0,0,(($P$41/$AP123)*AN123)*VLOOKUP('1. SUMMARY'!$C$20,rate,+Sheet1!AI$21,0))</f>
        <v>0</v>
      </c>
      <c r="AO125" s="314">
        <f>IF(AO123=0,0,(($P$41/$AP123)*AO123)*VLOOKUP('1. SUMMARY'!$C$20,rate,+Sheet1!AJ$21,0))</f>
        <v>0</v>
      </c>
      <c r="AP125" s="432">
        <f>SUM(Y125:AO125)</f>
        <v>0</v>
      </c>
    </row>
    <row r="126" spans="24:43" ht="12.75" hidden="1" customHeight="1">
      <c r="Y126" s="314">
        <f>IF(Y123=0,0,+($P$41/$AP123)*Y123)</f>
        <v>0</v>
      </c>
      <c r="Z126" s="314">
        <f t="shared" ref="Z126:AO126" si="35">IF(Z123=0,0,+($P$41/$AP123)*Z123)</f>
        <v>0</v>
      </c>
      <c r="AA126" s="314">
        <f t="shared" si="35"/>
        <v>0</v>
      </c>
      <c r="AB126" s="314">
        <f t="shared" si="35"/>
        <v>0</v>
      </c>
      <c r="AC126" s="314">
        <f t="shared" si="35"/>
        <v>0</v>
      </c>
      <c r="AD126" s="314">
        <f t="shared" si="35"/>
        <v>0</v>
      </c>
      <c r="AE126" s="314">
        <f t="shared" si="35"/>
        <v>0</v>
      </c>
      <c r="AF126" s="314">
        <f t="shared" si="35"/>
        <v>0</v>
      </c>
      <c r="AG126" s="314">
        <f t="shared" si="35"/>
        <v>0</v>
      </c>
      <c r="AH126" s="314">
        <f t="shared" si="35"/>
        <v>0</v>
      </c>
      <c r="AI126" s="314">
        <f t="shared" si="35"/>
        <v>0</v>
      </c>
      <c r="AJ126" s="314">
        <f t="shared" si="35"/>
        <v>0</v>
      </c>
      <c r="AK126" s="314">
        <f t="shared" si="35"/>
        <v>0</v>
      </c>
      <c r="AL126" s="314">
        <f t="shared" si="35"/>
        <v>0</v>
      </c>
      <c r="AM126" s="314">
        <f t="shared" si="35"/>
        <v>0</v>
      </c>
      <c r="AN126" s="314">
        <f t="shared" si="35"/>
        <v>0</v>
      </c>
      <c r="AO126" s="314">
        <f t="shared" si="35"/>
        <v>0</v>
      </c>
      <c r="AP126" s="432">
        <f>SUM(Y126:AO126)</f>
        <v>0</v>
      </c>
    </row>
    <row r="127" spans="24:43" ht="12.75" hidden="1" customHeight="1">
      <c r="X127" s="260">
        <v>9</v>
      </c>
      <c r="Y127" s="431">
        <f>Y60</f>
        <v>44105</v>
      </c>
      <c r="Z127" s="431">
        <f t="shared" ref="Z127:AO129" si="36">Z60</f>
        <v>44470</v>
      </c>
      <c r="AA127" s="431">
        <f t="shared" si="36"/>
        <v>44835</v>
      </c>
      <c r="AB127" s="431">
        <f t="shared" si="36"/>
        <v>45200</v>
      </c>
      <c r="AC127" s="431">
        <f t="shared" si="36"/>
        <v>45566</v>
      </c>
      <c r="AD127" s="431">
        <f t="shared" si="36"/>
        <v>45931</v>
      </c>
      <c r="AE127" s="431">
        <f t="shared" si="36"/>
        <v>46296</v>
      </c>
      <c r="AF127" s="431">
        <f t="shared" si="36"/>
        <v>46661</v>
      </c>
      <c r="AG127" s="431">
        <f t="shared" si="36"/>
        <v>47027</v>
      </c>
      <c r="AH127" s="431">
        <f t="shared" si="36"/>
        <v>47392</v>
      </c>
      <c r="AI127" s="431">
        <f t="shared" si="36"/>
        <v>47757</v>
      </c>
      <c r="AJ127" s="431">
        <f t="shared" si="36"/>
        <v>48122</v>
      </c>
      <c r="AK127" s="431">
        <f t="shared" si="36"/>
        <v>48488</v>
      </c>
      <c r="AL127" s="431">
        <f t="shared" si="36"/>
        <v>48853</v>
      </c>
      <c r="AM127" s="431">
        <f t="shared" si="36"/>
        <v>49218</v>
      </c>
      <c r="AN127" s="431">
        <f t="shared" si="36"/>
        <v>49583</v>
      </c>
      <c r="AO127" s="431">
        <f t="shared" si="36"/>
        <v>49949</v>
      </c>
      <c r="AP127" s="340"/>
      <c r="AQ127" s="260">
        <v>9</v>
      </c>
    </row>
    <row r="128" spans="24:43" ht="12.75" hidden="1" customHeight="1">
      <c r="Y128" s="431">
        <f t="shared" ref="Y128:AN129" si="37">Y61</f>
        <v>44469</v>
      </c>
      <c r="Z128" s="431">
        <f t="shared" si="37"/>
        <v>44834</v>
      </c>
      <c r="AA128" s="431">
        <f t="shared" si="37"/>
        <v>45199</v>
      </c>
      <c r="AB128" s="431">
        <f t="shared" si="37"/>
        <v>45565</v>
      </c>
      <c r="AC128" s="431">
        <f t="shared" si="37"/>
        <v>45930</v>
      </c>
      <c r="AD128" s="431">
        <f t="shared" si="37"/>
        <v>46295</v>
      </c>
      <c r="AE128" s="431">
        <f t="shared" si="37"/>
        <v>46660</v>
      </c>
      <c r="AF128" s="431">
        <f t="shared" si="37"/>
        <v>47026</v>
      </c>
      <c r="AG128" s="431">
        <f t="shared" si="37"/>
        <v>47391</v>
      </c>
      <c r="AH128" s="431">
        <f t="shared" si="37"/>
        <v>47756</v>
      </c>
      <c r="AI128" s="431">
        <f t="shared" si="37"/>
        <v>48121</v>
      </c>
      <c r="AJ128" s="431">
        <f t="shared" si="37"/>
        <v>48487</v>
      </c>
      <c r="AK128" s="431">
        <f t="shared" si="37"/>
        <v>48852</v>
      </c>
      <c r="AL128" s="431">
        <f t="shared" si="37"/>
        <v>49217</v>
      </c>
      <c r="AM128" s="431">
        <f t="shared" si="37"/>
        <v>49582</v>
      </c>
      <c r="AN128" s="431">
        <f t="shared" si="37"/>
        <v>49948</v>
      </c>
      <c r="AO128" s="431">
        <f t="shared" si="36"/>
        <v>50313</v>
      </c>
      <c r="AP128" s="340"/>
    </row>
    <row r="129" spans="24:43" ht="12.75" hidden="1" customHeight="1">
      <c r="Y129" s="305">
        <f t="shared" si="37"/>
        <v>0</v>
      </c>
      <c r="Z129" s="305">
        <f t="shared" si="36"/>
        <v>0</v>
      </c>
      <c r="AA129" s="305">
        <f t="shared" si="36"/>
        <v>0</v>
      </c>
      <c r="AB129" s="305">
        <f t="shared" si="36"/>
        <v>0</v>
      </c>
      <c r="AC129" s="305">
        <f t="shared" si="36"/>
        <v>0</v>
      </c>
      <c r="AD129" s="305">
        <f t="shared" si="36"/>
        <v>0</v>
      </c>
      <c r="AE129" s="305">
        <f t="shared" si="36"/>
        <v>0</v>
      </c>
      <c r="AF129" s="305">
        <f t="shared" si="36"/>
        <v>0</v>
      </c>
      <c r="AG129" s="305">
        <f t="shared" si="36"/>
        <v>0</v>
      </c>
      <c r="AH129" s="305">
        <f t="shared" si="36"/>
        <v>0</v>
      </c>
      <c r="AI129" s="305">
        <f t="shared" si="36"/>
        <v>0</v>
      </c>
      <c r="AJ129" s="305">
        <f t="shared" si="36"/>
        <v>0</v>
      </c>
      <c r="AK129" s="305">
        <f t="shared" si="36"/>
        <v>0</v>
      </c>
      <c r="AL129" s="305">
        <f t="shared" si="36"/>
        <v>0</v>
      </c>
      <c r="AM129" s="305">
        <f t="shared" si="36"/>
        <v>0</v>
      </c>
      <c r="AN129" s="305">
        <f t="shared" si="36"/>
        <v>0</v>
      </c>
      <c r="AO129" s="305">
        <f t="shared" si="36"/>
        <v>0</v>
      </c>
      <c r="AP129" s="305">
        <f>SUM(Y129:AO129)</f>
        <v>0</v>
      </c>
    </row>
    <row r="130" spans="24:43" ht="12.75" hidden="1" customHeight="1">
      <c r="Y130" s="314"/>
      <c r="Z130" s="314"/>
      <c r="AA130" s="314"/>
      <c r="AB130" s="314"/>
      <c r="AC130" s="314"/>
      <c r="AD130" s="314"/>
      <c r="AE130" s="314"/>
      <c r="AF130" s="314"/>
      <c r="AG130" s="314"/>
      <c r="AH130" s="314"/>
      <c r="AI130" s="314"/>
      <c r="AJ130" s="314"/>
      <c r="AK130" s="314"/>
      <c r="AL130" s="314"/>
      <c r="AM130" s="314"/>
      <c r="AN130" s="314"/>
      <c r="AO130" s="314"/>
      <c r="AP130" s="309"/>
    </row>
    <row r="131" spans="24:43" ht="12.75" hidden="1" customHeight="1">
      <c r="Y131" s="314">
        <f>IF(Y129=0,0,(($R$41/$AP129)*Y129)*VLOOKUP('1. SUMMARY'!$C$20,rate,+Sheet1!T$21,0))</f>
        <v>0</v>
      </c>
      <c r="Z131" s="314">
        <f>IF(Z129=0,0,(($R$41/$AP129)*Z129)*VLOOKUP('1. SUMMARY'!$C$20,rate,+Sheet1!U$21,0))</f>
        <v>0</v>
      </c>
      <c r="AA131" s="314">
        <f>IF(AA129=0,0,(($R$41/$AP129)*AA129)*VLOOKUP('1. SUMMARY'!$C$20,rate,+Sheet1!V$21,0))</f>
        <v>0</v>
      </c>
      <c r="AB131" s="314">
        <f>IF(AB129=0,0,(($R$41/$AP129)*AB129)*VLOOKUP('1. SUMMARY'!$C$20,rate,+Sheet1!W$21,0))</f>
        <v>0</v>
      </c>
      <c r="AC131" s="314">
        <f>IF(AC129=0,0,(($R$41/$AP129)*AC129)*VLOOKUP('1. SUMMARY'!$C$20,rate,+Sheet1!X$21,0))</f>
        <v>0</v>
      </c>
      <c r="AD131" s="314">
        <f>IF(AD129=0,0,(($R$41/$AP129)*AD129)*VLOOKUP('1. SUMMARY'!$C$20,rate,+Sheet1!Y$21,0))</f>
        <v>0</v>
      </c>
      <c r="AE131" s="314">
        <f>IF(AE129=0,0,(($R$41/$AP129)*AE129)*VLOOKUP('1. SUMMARY'!$C$20,rate,+Sheet1!Z$21,0))</f>
        <v>0</v>
      </c>
      <c r="AF131" s="314">
        <f>IF(AF129=0,0,(($R$41/$AP129)*AF129)*VLOOKUP('1. SUMMARY'!$C$20,rate,+Sheet1!AA$21,0))</f>
        <v>0</v>
      </c>
      <c r="AG131" s="314">
        <f>IF(AG129=0,0,(($R$41/$AP129)*AG129)*VLOOKUP('1. SUMMARY'!$C$20,rate,+Sheet1!AB$21,0))</f>
        <v>0</v>
      </c>
      <c r="AH131" s="314">
        <f>IF(AH129=0,0,(($R$41/$AP129)*AH129)*VLOOKUP('1. SUMMARY'!$C$20,rate,+Sheet1!AC$21,0))</f>
        <v>0</v>
      </c>
      <c r="AI131" s="314">
        <f>IF(AI129=0,0,(($R$41/$AP129)*AI129)*VLOOKUP('1. SUMMARY'!$C$20,rate,+Sheet1!AD$21,0))</f>
        <v>0</v>
      </c>
      <c r="AJ131" s="314">
        <f>IF(AJ129=0,0,(($R$41/$AP129)*AJ129)*VLOOKUP('1. SUMMARY'!$C$20,rate,+Sheet1!AE$21,0))</f>
        <v>0</v>
      </c>
      <c r="AK131" s="314">
        <f>IF(AK129=0,0,(($R$41/$AP129)*AK129)*VLOOKUP('1. SUMMARY'!$C$20,rate,+Sheet1!AF$21,0))</f>
        <v>0</v>
      </c>
      <c r="AL131" s="314">
        <f>IF(AL129=0,0,(($R$41/$AP129)*AL129)*VLOOKUP('1. SUMMARY'!$C$20,rate,+Sheet1!AG$21,0))</f>
        <v>0</v>
      </c>
      <c r="AM131" s="314">
        <f>IF(AM129=0,0,(($R$41/$AP129)*AM129)*VLOOKUP('1. SUMMARY'!$C$20,rate,+Sheet1!AH$21,0))</f>
        <v>0</v>
      </c>
      <c r="AN131" s="314">
        <f>IF(AN129=0,0,(($R$41/$AP129)*AN129)*VLOOKUP('1. SUMMARY'!$C$20,rate,+Sheet1!AI$21,0))</f>
        <v>0</v>
      </c>
      <c r="AO131" s="314">
        <f>IF(AO129=0,0,(($R$41/$AP129)*AO129)*VLOOKUP('1. SUMMARY'!$C$20,rate,+Sheet1!AJ$21,0))</f>
        <v>0</v>
      </c>
      <c r="AP131" s="432">
        <f>SUM(Y131:AO131)</f>
        <v>0</v>
      </c>
    </row>
    <row r="132" spans="24:43" ht="12.75" hidden="1" customHeight="1">
      <c r="Y132" s="314">
        <f>IF(Y129=0,0,+($R$41/$AP129)*Y129)</f>
        <v>0</v>
      </c>
      <c r="Z132" s="314">
        <f t="shared" ref="Z132:AO132" si="38">IF(Z129=0,0,+($R$41/$AP129)*Z129)</f>
        <v>0</v>
      </c>
      <c r="AA132" s="314">
        <f t="shared" si="38"/>
        <v>0</v>
      </c>
      <c r="AB132" s="314">
        <f t="shared" si="38"/>
        <v>0</v>
      </c>
      <c r="AC132" s="314">
        <f t="shared" si="38"/>
        <v>0</v>
      </c>
      <c r="AD132" s="314">
        <f t="shared" si="38"/>
        <v>0</v>
      </c>
      <c r="AE132" s="314">
        <f t="shared" si="38"/>
        <v>0</v>
      </c>
      <c r="AF132" s="314">
        <f t="shared" si="38"/>
        <v>0</v>
      </c>
      <c r="AG132" s="314">
        <f t="shared" si="38"/>
        <v>0</v>
      </c>
      <c r="AH132" s="314">
        <f t="shared" si="38"/>
        <v>0</v>
      </c>
      <c r="AI132" s="314">
        <f t="shared" si="38"/>
        <v>0</v>
      </c>
      <c r="AJ132" s="314">
        <f t="shared" si="38"/>
        <v>0</v>
      </c>
      <c r="AK132" s="314">
        <f t="shared" si="38"/>
        <v>0</v>
      </c>
      <c r="AL132" s="314">
        <f t="shared" si="38"/>
        <v>0</v>
      </c>
      <c r="AM132" s="314">
        <f t="shared" si="38"/>
        <v>0</v>
      </c>
      <c r="AN132" s="314">
        <f t="shared" si="38"/>
        <v>0</v>
      </c>
      <c r="AO132" s="314">
        <f t="shared" si="38"/>
        <v>0</v>
      </c>
      <c r="AP132" s="432">
        <f>SUM(Y132:AO132)</f>
        <v>0</v>
      </c>
    </row>
    <row r="133" spans="24:43" ht="12.75" hidden="1" customHeight="1">
      <c r="X133" s="260">
        <v>10</v>
      </c>
      <c r="Y133" s="431">
        <f>Y67</f>
        <v>44105</v>
      </c>
      <c r="Z133" s="431">
        <f t="shared" ref="Z133:AO135" si="39">Z67</f>
        <v>44470</v>
      </c>
      <c r="AA133" s="431">
        <f t="shared" si="39"/>
        <v>44835</v>
      </c>
      <c r="AB133" s="431">
        <f t="shared" si="39"/>
        <v>45200</v>
      </c>
      <c r="AC133" s="431">
        <f t="shared" si="39"/>
        <v>45566</v>
      </c>
      <c r="AD133" s="431">
        <f t="shared" si="39"/>
        <v>45931</v>
      </c>
      <c r="AE133" s="431">
        <f t="shared" si="39"/>
        <v>46296</v>
      </c>
      <c r="AF133" s="431">
        <f t="shared" si="39"/>
        <v>46661</v>
      </c>
      <c r="AG133" s="431">
        <f t="shared" si="39"/>
        <v>47027</v>
      </c>
      <c r="AH133" s="431">
        <f t="shared" si="39"/>
        <v>47392</v>
      </c>
      <c r="AI133" s="431">
        <f t="shared" si="39"/>
        <v>47757</v>
      </c>
      <c r="AJ133" s="431">
        <f t="shared" si="39"/>
        <v>48122</v>
      </c>
      <c r="AK133" s="431">
        <f t="shared" si="39"/>
        <v>48488</v>
      </c>
      <c r="AL133" s="431">
        <f t="shared" si="39"/>
        <v>48853</v>
      </c>
      <c r="AM133" s="431">
        <f t="shared" si="39"/>
        <v>49218</v>
      </c>
      <c r="AN133" s="431">
        <f t="shared" si="39"/>
        <v>49583</v>
      </c>
      <c r="AO133" s="431">
        <f t="shared" si="39"/>
        <v>49949</v>
      </c>
      <c r="AP133" s="340"/>
      <c r="AQ133" s="260">
        <v>10</v>
      </c>
    </row>
    <row r="134" spans="24:43" ht="12.75" hidden="1" customHeight="1">
      <c r="Y134" s="431">
        <f t="shared" ref="Y134:AN135" si="40">Y68</f>
        <v>44469</v>
      </c>
      <c r="Z134" s="431">
        <f t="shared" si="40"/>
        <v>44834</v>
      </c>
      <c r="AA134" s="431">
        <f t="shared" si="40"/>
        <v>45199</v>
      </c>
      <c r="AB134" s="431">
        <f t="shared" si="40"/>
        <v>45565</v>
      </c>
      <c r="AC134" s="431">
        <f t="shared" si="40"/>
        <v>45930</v>
      </c>
      <c r="AD134" s="431">
        <f t="shared" si="40"/>
        <v>46295</v>
      </c>
      <c r="AE134" s="431">
        <f t="shared" si="40"/>
        <v>46660</v>
      </c>
      <c r="AF134" s="431">
        <f t="shared" si="40"/>
        <v>47026</v>
      </c>
      <c r="AG134" s="431">
        <f t="shared" si="40"/>
        <v>47391</v>
      </c>
      <c r="AH134" s="431">
        <f t="shared" si="40"/>
        <v>47756</v>
      </c>
      <c r="AI134" s="431">
        <f t="shared" si="40"/>
        <v>48121</v>
      </c>
      <c r="AJ134" s="431">
        <f t="shared" si="40"/>
        <v>48487</v>
      </c>
      <c r="AK134" s="431">
        <f t="shared" si="40"/>
        <v>48852</v>
      </c>
      <c r="AL134" s="431">
        <f t="shared" si="40"/>
        <v>49217</v>
      </c>
      <c r="AM134" s="431">
        <f t="shared" si="40"/>
        <v>49582</v>
      </c>
      <c r="AN134" s="431">
        <f t="shared" si="40"/>
        <v>49948</v>
      </c>
      <c r="AO134" s="431">
        <f t="shared" si="39"/>
        <v>50313</v>
      </c>
      <c r="AP134" s="340"/>
    </row>
    <row r="135" spans="24:43" ht="12.75" hidden="1" customHeight="1">
      <c r="Y135" s="305">
        <f t="shared" si="40"/>
        <v>0</v>
      </c>
      <c r="Z135" s="305">
        <f t="shared" si="39"/>
        <v>0</v>
      </c>
      <c r="AA135" s="305">
        <f t="shared" si="39"/>
        <v>0</v>
      </c>
      <c r="AB135" s="305">
        <f t="shared" si="39"/>
        <v>0</v>
      </c>
      <c r="AC135" s="305">
        <f t="shared" si="39"/>
        <v>0</v>
      </c>
      <c r="AD135" s="305">
        <f t="shared" si="39"/>
        <v>0</v>
      </c>
      <c r="AE135" s="305">
        <f t="shared" si="39"/>
        <v>0</v>
      </c>
      <c r="AF135" s="305">
        <f t="shared" si="39"/>
        <v>0</v>
      </c>
      <c r="AG135" s="305">
        <f t="shared" si="39"/>
        <v>0</v>
      </c>
      <c r="AH135" s="305">
        <f t="shared" si="39"/>
        <v>0</v>
      </c>
      <c r="AI135" s="305">
        <f t="shared" si="39"/>
        <v>0</v>
      </c>
      <c r="AJ135" s="305">
        <f t="shared" si="39"/>
        <v>0</v>
      </c>
      <c r="AK135" s="305">
        <f t="shared" si="39"/>
        <v>0</v>
      </c>
      <c r="AL135" s="305">
        <f t="shared" si="39"/>
        <v>0</v>
      </c>
      <c r="AM135" s="305">
        <f t="shared" si="39"/>
        <v>0</v>
      </c>
      <c r="AN135" s="305">
        <f t="shared" si="39"/>
        <v>0</v>
      </c>
      <c r="AO135" s="305">
        <f t="shared" si="39"/>
        <v>0</v>
      </c>
      <c r="AP135" s="305">
        <f>SUM(Y135:AO135)</f>
        <v>0</v>
      </c>
    </row>
    <row r="136" spans="24:43" ht="12.75" hidden="1" customHeight="1">
      <c r="Y136" s="314"/>
      <c r="Z136" s="314"/>
      <c r="AA136" s="314"/>
      <c r="AB136" s="314"/>
      <c r="AC136" s="314"/>
      <c r="AD136" s="314"/>
      <c r="AE136" s="314"/>
      <c r="AF136" s="314"/>
      <c r="AG136" s="314"/>
      <c r="AH136" s="314"/>
      <c r="AI136" s="314"/>
      <c r="AJ136" s="314"/>
      <c r="AK136" s="314"/>
      <c r="AL136" s="314"/>
      <c r="AM136" s="314"/>
      <c r="AN136" s="314"/>
      <c r="AO136" s="314"/>
      <c r="AP136" s="309"/>
    </row>
    <row r="137" spans="24:43" ht="12.75" hidden="1" customHeight="1">
      <c r="Y137" s="314">
        <f>IF(Y135=0,0,(($T$41/$AP135)*Y135)*VLOOKUP('1. SUMMARY'!$C$20,rate,+Sheet1!T$21,0))</f>
        <v>0</v>
      </c>
      <c r="Z137" s="314">
        <f>IF(Z135=0,0,(($T$41/$AP135)*Z135)*VLOOKUP('1. SUMMARY'!$C$20,rate,+Sheet1!U$21,0))</f>
        <v>0</v>
      </c>
      <c r="AA137" s="314">
        <f>IF(AA135=0,0,(($T$41/$AP135)*AA135)*VLOOKUP('1. SUMMARY'!$C$20,rate,+Sheet1!V$21,0))</f>
        <v>0</v>
      </c>
      <c r="AB137" s="314">
        <f>IF(AB135=0,0,(($T$41/$AP135)*AB135)*VLOOKUP('1. SUMMARY'!$C$20,rate,+Sheet1!W$21,0))</f>
        <v>0</v>
      </c>
      <c r="AC137" s="314">
        <f>IF(AC135=0,0,(($T$41/$AP135)*AC135)*VLOOKUP('1. SUMMARY'!$C$20,rate,+Sheet1!X$21,0))</f>
        <v>0</v>
      </c>
      <c r="AD137" s="314">
        <f>IF(AD135=0,0,(($T$41/$AP135)*AD135)*VLOOKUP('1. SUMMARY'!$C$20,rate,+Sheet1!Y$21,0))</f>
        <v>0</v>
      </c>
      <c r="AE137" s="314">
        <f>IF(AE135=0,0,(($T$41/$AP135)*AE135)*VLOOKUP('1. SUMMARY'!$C$20,rate,+Sheet1!Z$21,0))</f>
        <v>0</v>
      </c>
      <c r="AF137" s="314">
        <f>IF(AF135=0,0,(($T$41/$AP135)*AF135)*VLOOKUP('1. SUMMARY'!$C$20,rate,+Sheet1!AA$21,0))</f>
        <v>0</v>
      </c>
      <c r="AG137" s="314">
        <f>IF(AG135=0,0,(($T$41/$AP135)*AG135)*VLOOKUP('1. SUMMARY'!$C$20,rate,+Sheet1!AB$21,0))</f>
        <v>0</v>
      </c>
      <c r="AH137" s="314">
        <f>IF(AH135=0,0,(($T$41/$AP135)*AH135)*VLOOKUP('1. SUMMARY'!$C$20,rate,+Sheet1!AC$21,0))</f>
        <v>0</v>
      </c>
      <c r="AI137" s="314">
        <f>IF(AI135=0,0,(($T$41/$AP135)*AI135)*VLOOKUP('1. SUMMARY'!$C$20,rate,+Sheet1!AD$21,0))</f>
        <v>0</v>
      </c>
      <c r="AJ137" s="314">
        <f>IF(AJ135=0,0,(($T$41/$AP135)*AJ135)*VLOOKUP('1. SUMMARY'!$C$20,rate,+Sheet1!AE$21,0))</f>
        <v>0</v>
      </c>
      <c r="AK137" s="314">
        <f>IF(AK135=0,0,(($T$41/$AP135)*AK135)*VLOOKUP('1. SUMMARY'!$C$20,rate,+Sheet1!AF$21,0))</f>
        <v>0</v>
      </c>
      <c r="AL137" s="314">
        <f>IF(AL135=0,0,(($T$41/$AP135)*AL135)*VLOOKUP('1. SUMMARY'!$C$20,rate,+Sheet1!AG$21,0))</f>
        <v>0</v>
      </c>
      <c r="AM137" s="314">
        <f>IF(AM135=0,0,(($T$41/$AP135)*AM135)*VLOOKUP('1. SUMMARY'!$C$20,rate,+Sheet1!AH$21,0))</f>
        <v>0</v>
      </c>
      <c r="AN137" s="314">
        <f>IF(AN135=0,0,(($T$41/$AP135)*AN135)*VLOOKUP('1. SUMMARY'!$C$20,rate,+Sheet1!AI$21,0))</f>
        <v>0</v>
      </c>
      <c r="AO137" s="314">
        <f>IF(AO135=0,0,(($T$41/$AP135)*AO135)*VLOOKUP('1. SUMMARY'!$C$20,rate,+Sheet1!AJ$21,0))</f>
        <v>0</v>
      </c>
      <c r="AP137" s="432">
        <f>SUM(Y137:AO137)</f>
        <v>0</v>
      </c>
    </row>
    <row r="138" spans="24:43" ht="12.75" hidden="1" customHeight="1">
      <c r="Y138" s="314">
        <f>IF(Y135=0,0,+($T$41/$AP135)*Y135)</f>
        <v>0</v>
      </c>
      <c r="Z138" s="314">
        <f t="shared" ref="Z138:AO138" si="41">IF(Z135=0,0,+($T$41/$AP135)*Z135)</f>
        <v>0</v>
      </c>
      <c r="AA138" s="314">
        <f t="shared" si="41"/>
        <v>0</v>
      </c>
      <c r="AB138" s="314">
        <f t="shared" si="41"/>
        <v>0</v>
      </c>
      <c r="AC138" s="314">
        <f t="shared" si="41"/>
        <v>0</v>
      </c>
      <c r="AD138" s="314">
        <f t="shared" si="41"/>
        <v>0</v>
      </c>
      <c r="AE138" s="314">
        <f t="shared" si="41"/>
        <v>0</v>
      </c>
      <c r="AF138" s="314">
        <f t="shared" si="41"/>
        <v>0</v>
      </c>
      <c r="AG138" s="314">
        <f t="shared" si="41"/>
        <v>0</v>
      </c>
      <c r="AH138" s="314">
        <f t="shared" si="41"/>
        <v>0</v>
      </c>
      <c r="AI138" s="314">
        <f t="shared" si="41"/>
        <v>0</v>
      </c>
      <c r="AJ138" s="314">
        <f t="shared" si="41"/>
        <v>0</v>
      </c>
      <c r="AK138" s="314">
        <f t="shared" si="41"/>
        <v>0</v>
      </c>
      <c r="AL138" s="314">
        <f t="shared" si="41"/>
        <v>0</v>
      </c>
      <c r="AM138" s="314">
        <f t="shared" si="41"/>
        <v>0</v>
      </c>
      <c r="AN138" s="314">
        <f t="shared" si="41"/>
        <v>0</v>
      </c>
      <c r="AO138" s="314">
        <f t="shared" si="41"/>
        <v>0</v>
      </c>
      <c r="AP138" s="432">
        <f>SUM(Y138:AO138)</f>
        <v>0</v>
      </c>
    </row>
    <row r="139" spans="24:43" ht="12.75" hidden="1" customHeight="1">
      <c r="Y139" s="314"/>
      <c r="Z139" s="314"/>
      <c r="AA139" s="314"/>
      <c r="AB139" s="314"/>
      <c r="AC139" s="314"/>
      <c r="AD139" s="314"/>
      <c r="AE139" s="314"/>
      <c r="AF139" s="314"/>
      <c r="AG139" s="314"/>
      <c r="AH139" s="314"/>
      <c r="AI139" s="314"/>
      <c r="AJ139" s="314"/>
      <c r="AK139" s="314"/>
      <c r="AL139" s="314"/>
      <c r="AM139" s="314"/>
      <c r="AN139" s="314"/>
      <c r="AO139" s="314"/>
      <c r="AP139" s="340"/>
    </row>
    <row r="140" spans="24:43" ht="12.75" hidden="1" customHeight="1">
      <c r="Y140" s="314"/>
      <c r="Z140" s="314"/>
      <c r="AA140" s="314"/>
      <c r="AB140" s="314"/>
      <c r="AC140" s="314"/>
      <c r="AD140" s="314"/>
      <c r="AE140" s="314"/>
      <c r="AF140" s="314"/>
      <c r="AG140" s="314"/>
      <c r="AH140" s="314"/>
      <c r="AI140" s="314"/>
      <c r="AJ140" s="314"/>
      <c r="AK140" s="314"/>
      <c r="AL140" s="314"/>
      <c r="AM140" s="314"/>
      <c r="AN140" s="314"/>
      <c r="AO140" s="314"/>
      <c r="AP140" s="340"/>
    </row>
    <row r="141" spans="24:43" ht="12.75" hidden="1" customHeight="1">
      <c r="Y141" s="314"/>
      <c r="Z141" s="314"/>
      <c r="AA141" s="314"/>
      <c r="AB141" s="314"/>
      <c r="AC141" s="314"/>
      <c r="AD141" s="314"/>
      <c r="AE141" s="314"/>
      <c r="AF141" s="314"/>
      <c r="AG141" s="314"/>
      <c r="AH141" s="314"/>
      <c r="AI141" s="314"/>
      <c r="AJ141" s="314"/>
      <c r="AK141" s="314"/>
      <c r="AL141" s="314"/>
      <c r="AM141" s="314"/>
      <c r="AN141" s="314"/>
      <c r="AO141" s="314"/>
      <c r="AP141" s="340"/>
    </row>
    <row r="142" spans="24:43" ht="12.75" hidden="1" customHeight="1">
      <c r="Y142" s="314"/>
      <c r="Z142" s="314"/>
      <c r="AA142" s="314"/>
      <c r="AB142" s="314"/>
      <c r="AC142" s="314"/>
      <c r="AD142" s="314"/>
      <c r="AE142" s="314"/>
      <c r="AF142" s="314"/>
      <c r="AG142" s="314"/>
      <c r="AH142" s="314"/>
      <c r="AI142" s="314"/>
      <c r="AJ142" s="314"/>
      <c r="AK142" s="314"/>
      <c r="AL142" s="314"/>
      <c r="AM142" s="314"/>
      <c r="AN142" s="314"/>
      <c r="AO142" s="314"/>
      <c r="AP142" s="340"/>
    </row>
    <row r="143" spans="24:43" ht="12.75" hidden="1" customHeight="1">
      <c r="Y143" s="341">
        <f>IF(Y10&gt;0,Y8,IF(Z10&gt;0,Z8,IF(AA10&gt;0,AA8,IF(AB10&gt;0,AB8,IF(AC10&gt;0,AC8,IF(AD10&gt;0,AD8,IF(AE10&gt;0,AE8,AF8)))))))</f>
        <v>0</v>
      </c>
      <c r="Z143" s="341">
        <f>IF(Y10&gt;0,Z8,IF(Z10&gt;0,AA8,IF(AA10&gt;0,AB8,IF(AB10&gt;0,AC8,IF(AC10&gt;0,AD8,IF(AD10&gt;0,AE8,IF(AE10&gt;0,AF8,AF8)))))))</f>
        <v>0</v>
      </c>
    </row>
    <row r="144" spans="24:43" ht="12.75" hidden="1" customHeight="1">
      <c r="X144" s="260">
        <v>1</v>
      </c>
      <c r="Y144" s="342">
        <f t="shared" ref="Y144:Y159" si="42">IF(AD144="Next",AE144,AD144)</f>
        <v>0</v>
      </c>
      <c r="Z144" s="342">
        <f>AP10-Y144</f>
        <v>0</v>
      </c>
      <c r="AA144" s="342">
        <f t="shared" ref="AA144:AA163" si="43">IF(AG144="Next",AH144,AG144)</f>
        <v>0</v>
      </c>
      <c r="AB144" s="342">
        <f>AP82-AA144</f>
        <v>0</v>
      </c>
      <c r="AD144" s="433" t="str">
        <f>IF(Y10&gt;0,Y10,IF(Z10&gt;0,Z10,IF(AA10&gt;0,AA10,IF(AB10&gt;0,AB10,IF(AC10&gt;0,AC10,IF(AD10&gt;0,AD10,IF(AE10&gt;0,AE10,IF(AF10&gt;0,AF10,"Next"))))))))</f>
        <v>Next</v>
      </c>
      <c r="AE144" s="433">
        <f>IF(AG10&gt;0,AG10,IF(AH10&gt;0,AH10,IF(AI10&gt;0,AI10,IF(AJ10&gt;0,AJ10,IF(AK10&gt;0,AK10,IF(AL10&gt;0,AL10,IF(AM10&gt;0,AM10,IF(AN10&gt;0,AN10,AO10))))))))</f>
        <v>0</v>
      </c>
      <c r="AG144" s="433" t="str">
        <f>IF(Y82&gt;0,Y82,IF(Z82&gt;0,Z82,IF(AA82&gt;0,AA82,IF(AB82&gt;0,AB82,IF(AC82&gt;0,AC82,IF(AD82&gt;0,AD82,IF(AE82&gt;0,AE82,IF(AF82&gt;0,AF82,"Next"))))))))</f>
        <v>Next</v>
      </c>
      <c r="AH144" s="433">
        <f>IF(AG82&gt;0,AG82,IF(AH82&gt;0,AH82,IF(AI82&gt;0,AI82,IF(AJ82&gt;0,AJ82,IF(AK82&gt;0,AK82,IF(AL82&gt;0,AL82,IF(AM82&gt;0,AM82,IF(AN82&gt;0,AN82,AO82))))))))</f>
        <v>0</v>
      </c>
    </row>
    <row r="145" spans="24:34" ht="12.75" hidden="1" customHeight="1">
      <c r="X145" s="260">
        <f>X144</f>
        <v>1</v>
      </c>
      <c r="Y145" s="342">
        <f t="shared" si="42"/>
        <v>0</v>
      </c>
      <c r="Z145" s="342">
        <f>AP11-Y145</f>
        <v>0</v>
      </c>
      <c r="AA145" s="342">
        <f t="shared" si="43"/>
        <v>0</v>
      </c>
      <c r="AB145" s="342">
        <f>AP83-AA145</f>
        <v>0</v>
      </c>
      <c r="AD145" s="433" t="str">
        <f>IF(Y11&gt;0,Y11,IF(Z11&gt;0,Z11,IF(AA11&gt;0,AA11,IF(AB11&gt;0,AB11,IF(AC11&gt;0,AC11,IF(AD11&gt;0,AD11,IF(AE11&gt;0,AE11,IF(AF11&gt;0,AF11,"Next"))))))))</f>
        <v>Next</v>
      </c>
      <c r="AE145" s="433">
        <f>IF(AG11&gt;0,AG11,IF(AH11&gt;0,AH11,IF(AI11&gt;0,AI11,IF(AJ11&gt;0,AJ11,IF(AK11&gt;0,AK11,IF(AL11&gt;0,AL11,IF(AM11&gt;0,AM11,IF(AN11&gt;0,AN11,AO11))))))))</f>
        <v>0</v>
      </c>
      <c r="AG145" s="433" t="str">
        <f>IF(Y83&gt;0,Y83,IF(Z83&gt;0,Z83,IF(AA83&gt;0,AA83,IF(AB83&gt;0,AB83,IF(AC83&gt;0,AC83,IF(AD83&gt;0,AD83,IF(AE83&gt;0,AE83,IF(AF83&gt;0,AF83,"Next"))))))))</f>
        <v>Next</v>
      </c>
      <c r="AH145" s="433">
        <f>IF(AG83&gt;0,AG83,IF(AH83&gt;0,AH83,IF(AI83&gt;0,AI83,IF(AJ83&gt;0,AJ83,IF(AK83&gt;0,AK83,IF(AL83&gt;0,AL83,IF(AM83&gt;0,AM83,IF(AN83&gt;0,AN83,AO83))))))))</f>
        <v>0</v>
      </c>
    </row>
    <row r="146" spans="24:34" ht="12.75" hidden="1" customHeight="1">
      <c r="X146" s="260">
        <f>X144+1</f>
        <v>2</v>
      </c>
      <c r="Y146" s="343">
        <f t="shared" si="42"/>
        <v>0</v>
      </c>
      <c r="Z146" s="343">
        <f>AP17-Y146</f>
        <v>0</v>
      </c>
      <c r="AA146" s="343">
        <f t="shared" si="43"/>
        <v>0</v>
      </c>
      <c r="AB146" s="343">
        <f>AP89-AA146</f>
        <v>0</v>
      </c>
      <c r="AD146" s="433" t="str">
        <f>IF(Y17&gt;0,Y17,IF(Z17&gt;0,Z17,IF(AA17&gt;0,AA17,IF(AB17&gt;0,AB17,IF(AC17&gt;0,AC17,IF(AD17&gt;0,AD17,IF(AE17&gt;0,AE17,IF(AF17&gt;0,AF17,"Next"))))))))</f>
        <v>Next</v>
      </c>
      <c r="AE146" s="433">
        <f>IF(AG17&gt;0,AG17,IF(AH17&gt;0,AH17,IF(AI17&gt;0,AI17,IF(AJ17&gt;0,AJ17,IF(AK17&gt;0,AK17,IF(AL17&gt;0,AL17,IF(AM17&gt;0,AM17,IF(AN17&gt;0,AN17,AO17))))))))</f>
        <v>0</v>
      </c>
      <c r="AG146" s="433" t="str">
        <f>IF(Y89&gt;0,Y89,IF(Z89&gt;0,Z89,IF(AA89&gt;0,AA89,IF(AB89&gt;0,AB89,IF(AC89&gt;0,AC89,IF(AD89&gt;0,AD89,IF(AE89&gt;0,AE89,IF(AF89&gt;0,AF89,"Next"))))))))</f>
        <v>Next</v>
      </c>
      <c r="AH146" s="433">
        <f>IF(AG89&gt;0,AG89,IF(AH89&gt;0,AH89,IF(AI89&gt;0,AI89,IF(AJ89&gt;0,AJ89,IF(AK89&gt;0,AK89,IF(AL89&gt;0,AL89,IF(AM89&gt;0,AM89,IF(AN89&gt;0,AN89,AO89))))))))</f>
        <v>0</v>
      </c>
    </row>
    <row r="147" spans="24:34" ht="12.75" hidden="1" customHeight="1">
      <c r="X147" s="260">
        <f>X146</f>
        <v>2</v>
      </c>
      <c r="Y147" s="343">
        <f t="shared" si="42"/>
        <v>0</v>
      </c>
      <c r="Z147" s="343">
        <f>AP18-Y147</f>
        <v>0</v>
      </c>
      <c r="AA147" s="343">
        <f t="shared" si="43"/>
        <v>0</v>
      </c>
      <c r="AB147" s="343">
        <f>AP90-AA147</f>
        <v>0</v>
      </c>
      <c r="AD147" s="433" t="str">
        <f>IF(Y18&gt;0,Y18,IF(Z18&gt;0,Z18,IF(AA18&gt;0,AA18,IF(AB18&gt;0,AB18,IF(AC18&gt;0,AC18,IF(AD18&gt;0,AD18,IF(AE18&gt;0,AE18,IF(AF18&gt;0,AF18,"Next"))))))))</f>
        <v>Next</v>
      </c>
      <c r="AE147" s="433">
        <f>IF(AG18&gt;0,AG18,IF(AH18&gt;0,AH18,IF(AI18&gt;0,AI18,IF(AJ18&gt;0,AJ18,IF(AK18&gt;0,AK18,IF(AL18&gt;0,AL18,IF(AM18&gt;0,AM18,IF(AN18&gt;0,AN18,AO18))))))))</f>
        <v>0</v>
      </c>
      <c r="AG147" s="433" t="str">
        <f>IF(Y90&gt;0,Y90,IF(Z90&gt;0,Z90,IF(AA90&gt;0,AA90,IF(AB90&gt;0,AB90,IF(AC90&gt;0,AC90,IF(AD90&gt;0,AD90,IF(AE90&gt;0,AE90,IF(AF90&gt;0,AF90,"Next"))))))))</f>
        <v>Next</v>
      </c>
      <c r="AH147" s="433">
        <f>IF(AG90&gt;0,AG90,IF(AH90&gt;0,AH90,IF(AI90&gt;0,AI90,IF(AJ90&gt;0,AJ90,IF(AK90&gt;0,AK90,IF(AL90&gt;0,AL90,IF(AM90&gt;0,AM90,IF(AN90&gt;0,AN90,AO90))))))))</f>
        <v>0</v>
      </c>
    </row>
    <row r="148" spans="24:34" ht="12.75" hidden="1" customHeight="1">
      <c r="X148" s="260">
        <f>X146+1</f>
        <v>3</v>
      </c>
      <c r="Y148" s="344">
        <f t="shared" si="42"/>
        <v>0</v>
      </c>
      <c r="Z148" s="344">
        <f>AP23-Y148</f>
        <v>0</v>
      </c>
      <c r="AA148" s="344">
        <f t="shared" si="43"/>
        <v>0</v>
      </c>
      <c r="AB148" s="344">
        <f>AP95-AA148</f>
        <v>0</v>
      </c>
      <c r="AD148" s="433" t="str">
        <f>IF(Y23&gt;0,Y23,IF(Z23&gt;0,Z23,IF(AA23&gt;0,AA23,IF(AB23&gt;0,AB23,IF(AC23&gt;0,AC23,IF(AD23&gt;0,AD23,IF(AE23&gt;0,AE23,IF(AF23&gt;0,AF23,"Next"))))))))</f>
        <v>Next</v>
      </c>
      <c r="AE148" s="433">
        <f>IF(AG23&gt;0,AG23,IF(AH23&gt;0,AH23,IF(AI23&gt;0,AI23,IF(AJ23&gt;0,AJ23,IF(AK23&gt;0,AK23,IF(AL23&gt;0,AL23,IF(AM23&gt;0,AM23,IF(AN23&gt;0,AN23,AO23))))))))</f>
        <v>0</v>
      </c>
      <c r="AG148" s="433" t="str">
        <f>IF(Y95&gt;0,Y95,IF(Z95&gt;0,Z95,IF(AA95&gt;0,AA95,IF(AB95&gt;0,AB95,IF(AC95&gt;0,AC95,IF(AD95&gt;0,AD95,IF(AE95&gt;0,AE95,IF(AF95&gt;0,AF95,"Next"))))))))</f>
        <v>Next</v>
      </c>
      <c r="AH148" s="433">
        <f>IF(AG95&gt;0,AG95,IF(AH95&gt;0,AH95,IF(AI95&gt;0,AI95,IF(AJ95&gt;0,AJ95,IF(AK95&gt;0,AK95,IF(AL95&gt;0,AL95,IF(AM95&gt;0,AM95,IF(AN95&gt;0,AN95,AO95))))))))</f>
        <v>0</v>
      </c>
    </row>
    <row r="149" spans="24:34" ht="12.75" hidden="1" customHeight="1">
      <c r="X149" s="260">
        <f>X148</f>
        <v>3</v>
      </c>
      <c r="Y149" s="344">
        <f t="shared" si="42"/>
        <v>0</v>
      </c>
      <c r="Z149" s="344">
        <f>AP24-Y149</f>
        <v>0</v>
      </c>
      <c r="AA149" s="344">
        <f t="shared" si="43"/>
        <v>0</v>
      </c>
      <c r="AB149" s="344">
        <f>AP96-AA149</f>
        <v>0</v>
      </c>
      <c r="AD149" s="433" t="str">
        <f>IF(Y24&gt;0,Y24,IF(Z24&gt;0,Z24,IF(AA24&gt;0,AA24,IF(AB24&gt;0,AB24,IF(AC24&gt;0,AC24,IF(AD24&gt;0,AD24,IF(AE24&gt;0,AE24,IF(AF24&gt;0,AF24,"Next"))))))))</f>
        <v>Next</v>
      </c>
      <c r="AE149" s="433">
        <f>IF(AG24&gt;0,AG24,IF(AH24&gt;0,AH24,IF(AI24&gt;0,AI24,IF(AJ24&gt;0,AJ24,IF(AK24&gt;0,AK24,IF(AL24&gt;0,AL24,IF(AM24&gt;0,AM24,IF(AN24&gt;0,AN24,AO24))))))))</f>
        <v>0</v>
      </c>
      <c r="AG149" s="433" t="str">
        <f>IF(Y96&gt;0,Y96,IF(Z96&gt;0,Z96,IF(AA96&gt;0,AA96,IF(AB96&gt;0,AB96,IF(AC96&gt;0,AC96,IF(AD96&gt;0,AD96,IF(AE96&gt;0,AE96,IF(AF96&gt;0,AF96,"Next"))))))))</f>
        <v>Next</v>
      </c>
      <c r="AH149" s="433">
        <f>IF(AG96&gt;0,AG96,IF(AH96&gt;0,AH96,IF(AI96&gt;0,AI96,IF(AJ96&gt;0,AJ96,IF(AK96&gt;0,AK96,IF(AL96&gt;0,AL96,IF(AM96&gt;0,AM96,IF(AN96&gt;0,AN96,AO96))))))))</f>
        <v>0</v>
      </c>
    </row>
    <row r="150" spans="24:34" ht="12.75" hidden="1" customHeight="1">
      <c r="X150" s="260">
        <f>X148+1</f>
        <v>4</v>
      </c>
      <c r="Y150" s="345">
        <f t="shared" si="42"/>
        <v>0</v>
      </c>
      <c r="Z150" s="345">
        <f>AP29-Y150</f>
        <v>0</v>
      </c>
      <c r="AA150" s="345">
        <f t="shared" si="43"/>
        <v>0</v>
      </c>
      <c r="AB150" s="345">
        <f>AP101-AA150</f>
        <v>0</v>
      </c>
      <c r="AD150" s="433" t="str">
        <f>IF(Y29&gt;0,Y29,IF(Z29&gt;0,Z29,IF(AA29&gt;0,AA29,IF(AB29&gt;0,AB29,IF(AC29&gt;0,AC29,IF(AD29&gt;0,AD29,IF(AE29&gt;0,AE29,IF(AF29&gt;0,AF29,"Next"))))))))</f>
        <v>Next</v>
      </c>
      <c r="AE150" s="433">
        <f>IF(AG29&gt;0,AG29,IF(AH29&gt;0,AH29,IF(AI29&gt;0,AI29,IF(AJ29&gt;0,AJ29,IF(AK29&gt;0,AK29,IF(AL29&gt;0,AL29,IF(AM29&gt;0,AM29,IF(AN29&gt;0,AN29,AO29))))))))</f>
        <v>0</v>
      </c>
      <c r="AG150" s="433" t="str">
        <f>IF(Y101&gt;0,Y101,IF(Z101&gt;0,Z101,IF(AA101&gt;0,AA101,IF(AB101&gt;0,AB101,IF(AC101&gt;0,AC101,IF(AD101&gt;0,AD101,IF(AE101&gt;0,AE101,IF(AF101&gt;0,AF101,"Next"))))))))</f>
        <v>Next</v>
      </c>
      <c r="AH150" s="433">
        <f>IF(AG101&gt;0,AG101,IF(AH101&gt;0,AH101,IF(AI101&gt;0,AI101,IF(AJ101&gt;0,AJ101,IF(AK101&gt;0,AK101,IF(AL101&gt;0,AL101,IF(AM101&gt;0,AM101,IF(AN101&gt;0,AN101,AO101))))))))</f>
        <v>0</v>
      </c>
    </row>
    <row r="151" spans="24:34" ht="12.75" hidden="1" customHeight="1">
      <c r="X151" s="260">
        <f>X150</f>
        <v>4</v>
      </c>
      <c r="Y151" s="345">
        <f t="shared" si="42"/>
        <v>0</v>
      </c>
      <c r="Z151" s="345">
        <f>AP30-Y151</f>
        <v>0</v>
      </c>
      <c r="AA151" s="345">
        <f t="shared" si="43"/>
        <v>0</v>
      </c>
      <c r="AB151" s="345">
        <f>AP102-AA151</f>
        <v>0</v>
      </c>
      <c r="AD151" s="433" t="str">
        <f>IF(Y30&gt;0,Y30,IF(Z30&gt;0,Z30,IF(AA30&gt;0,AA30,IF(AB30&gt;0,AB30,IF(AC30&gt;0,AC30,IF(AD30&gt;0,AD30,IF(AE30&gt;0,AE30,IF(AF30&gt;0,AF30,"Next"))))))))</f>
        <v>Next</v>
      </c>
      <c r="AE151" s="433">
        <f>IF(AG30&gt;0,AG30,IF(AH30&gt;0,AH30,IF(AI30&gt;0,AI30,IF(AJ30&gt;0,AJ30,IF(AK30&gt;0,AK30,IF(AL30&gt;0,AL30,IF(AM30&gt;0,AM30,IF(AN30&gt;0,AN30,AO30))))))))</f>
        <v>0</v>
      </c>
      <c r="AG151" s="433" t="str">
        <f>IF(Y102&gt;0,Y102,IF(Z102&gt;0,Z102,IF(AA102&gt;0,AA102,IF(AB102&gt;0,AB102,IF(AC102&gt;0,AC102,IF(AD102&gt;0,AD102,IF(AE102&gt;0,AE102,IF(AF102&gt;0,AF102,"Next"))))))))</f>
        <v>Next</v>
      </c>
      <c r="AH151" s="433">
        <f>IF(AG102&gt;0,AG102,IF(AH102&gt;0,AH102,IF(AI102&gt;0,AI102,IF(AJ102&gt;0,AJ102,IF(AK102&gt;0,AK102,IF(AL102&gt;0,AL102,IF(AM102&gt;0,AM102,IF(AN102&gt;0,AN102,AO102))))))))</f>
        <v>0</v>
      </c>
    </row>
    <row r="152" spans="24:34" ht="12.75" hidden="1" customHeight="1">
      <c r="X152" s="260">
        <f>X150+1</f>
        <v>5</v>
      </c>
      <c r="Y152" s="346">
        <f t="shared" si="42"/>
        <v>0</v>
      </c>
      <c r="Z152" s="346">
        <f>AP37-Y152</f>
        <v>0</v>
      </c>
      <c r="AA152" s="346">
        <f t="shared" si="43"/>
        <v>0</v>
      </c>
      <c r="AB152" s="346">
        <f>AP107-AA152</f>
        <v>0</v>
      </c>
      <c r="AD152" s="433" t="str">
        <f>IF(Y37&gt;0,Y37,IF(Z37&gt;0,Z37,IF(AA37&gt;0,AA37,IF(AB37&gt;0,AB37,IF(AC37&gt;0,AC37,IF(AD37&gt;0,AD37,IF(AE37&gt;0,AE37,IF(AF37&gt;0,AF37,"Next"))))))))</f>
        <v>Next</v>
      </c>
      <c r="AE152" s="433">
        <f>IF(AG37&gt;0,AG37,IF(AH37&gt;0,AH37,IF(AI37&gt;0,AI37,IF(AJ37&gt;0,AJ37,IF(AK37&gt;0,AK37,IF(AL37&gt;0,AL37,IF(AM37&gt;0,AM37,IF(AN37&gt;0,AN37,AO37))))))))</f>
        <v>0</v>
      </c>
      <c r="AG152" s="433" t="str">
        <f>IF(Y107&gt;0,Y107,IF(Z107&gt;0,Z107,IF(AA107&gt;0,AA107,IF(AB107&gt;0,AB107,IF(AC107&gt;0,AC107,IF(AD107&gt;0,AD107,IF(AE107&gt;0,AE107,IF(AF107&gt;0,AF107,"Next"))))))))</f>
        <v>Next</v>
      </c>
      <c r="AH152" s="433">
        <f>IF(AG107&gt;0,AG107,IF(AH107&gt;0,AH107,IF(AI107&gt;0,AI107,IF(AJ107&gt;0,AJ107,IF(AK107&gt;0,AK107,IF(AL107&gt;0,AL107,IF(AM107&gt;0,AM107,IF(AN107&gt;0,AN107,AO107))))))))</f>
        <v>0</v>
      </c>
    </row>
    <row r="153" spans="24:34" ht="12.75" hidden="1" customHeight="1">
      <c r="X153" s="260">
        <f>X152</f>
        <v>5</v>
      </c>
      <c r="Y153" s="346">
        <f t="shared" si="42"/>
        <v>0</v>
      </c>
      <c r="Z153" s="346">
        <f>AP38-Y153</f>
        <v>0</v>
      </c>
      <c r="AA153" s="346">
        <f t="shared" si="43"/>
        <v>0</v>
      </c>
      <c r="AB153" s="346">
        <f>AP108-AA153</f>
        <v>0</v>
      </c>
      <c r="AD153" s="433" t="str">
        <f>IF(Y38&gt;0,Y38,IF(Z38&gt;0,Z38,IF(AA38&gt;0,AA38,IF(AB38&gt;0,AB38,IF(AC38&gt;0,AC38,IF(AD38&gt;0,AD38,IF(AE38&gt;0,AE38,IF(AF38&gt;0,AF38,"Next"))))))))</f>
        <v>Next</v>
      </c>
      <c r="AE153" s="433">
        <f>IF(AG38&gt;0,AG38,IF(AH38&gt;0,AH38,IF(AI38&gt;0,AI38,IF(AJ38&gt;0,AJ38,IF(AK38&gt;0,AK38,IF(AL38&gt;0,AL38,IF(AM38&gt;0,AM38,IF(AN38&gt;0,AN38,AO38))))))))</f>
        <v>0</v>
      </c>
      <c r="AG153" s="433" t="str">
        <f>IF(Y108&gt;0,Y108,IF(Z108&gt;0,Z108,IF(AA108&gt;0,AA108,IF(AB108&gt;0,AB108,IF(AC108&gt;0,AC108,IF(AD108&gt;0,AD108,IF(AE108&gt;0,AE108,IF(AF108&gt;0,AF108,"Next"))))))))</f>
        <v>Next</v>
      </c>
      <c r="AH153" s="433">
        <f>IF(AG108&gt;0,AG108,IF(AH108&gt;0,AH108,IF(AI108&gt;0,AI108,IF(AJ108&gt;0,AJ108,IF(AK108&gt;0,AK108,IF(AL108&gt;0,AL108,IF(AM108&gt;0,AM108,IF(AN108&gt;0,AN108,AO108))))))))</f>
        <v>0</v>
      </c>
    </row>
    <row r="154" spans="24:34" ht="12.75" hidden="1" customHeight="1">
      <c r="X154" s="260">
        <f>X152+1</f>
        <v>6</v>
      </c>
      <c r="Y154" s="341">
        <f t="shared" si="42"/>
        <v>0</v>
      </c>
      <c r="Z154" s="341">
        <f>AP43-Y154</f>
        <v>0</v>
      </c>
      <c r="AA154" s="341">
        <f t="shared" si="43"/>
        <v>0</v>
      </c>
      <c r="AB154" s="341">
        <f>AP113-AA154</f>
        <v>0</v>
      </c>
      <c r="AD154" s="433" t="str">
        <f>IF(Y43&gt;0,Y43,IF(Z43&gt;0,Z43,IF(AA43&gt;0,AA43,IF(AB43&gt;0,AB43,IF(AC43&gt;0,AC43,IF(AD43&gt;0,AD43,IF(AE43&gt;0,AE43,IF(AF43&gt;0,AF43,"Next"))))))))</f>
        <v>Next</v>
      </c>
      <c r="AE154" s="433">
        <f>IF(AG43&gt;0,AG43,IF(AH43&gt;0,AH43,IF(AI43&gt;0,AI43,IF(AJ43&gt;0,AJ43,IF(AK43&gt;0,AK43,IF(AL43&gt;0,AL43,IF(AM43&gt;0,AM43,IF(AN43&gt;0,AN43,AO43))))))))</f>
        <v>0</v>
      </c>
      <c r="AG154" s="433" t="str">
        <f>IF(Y113&gt;0,Y113,IF(Z113&gt;0,Z113,IF(AA113&gt;0,AA113,IF(AB113&gt;0,AB113,IF(AC113&gt;0,AC113,IF(AD113&gt;0,AD113,IF(AE113&gt;0,AE113,IF(AF113&gt;0,AF113,"Next"))))))))</f>
        <v>Next</v>
      </c>
      <c r="AH154" s="433">
        <f>IF(AG113&gt;0,AG113,IF(AH113&gt;0,AH113,IF(AI113&gt;0,AI113,IF(AJ113&gt;0,AJ113,IF(AK113&gt;0,AK113,IF(AL113&gt;0,AL113,IF(AM113&gt;0,AM113,IF(AN113&gt;0,AN113,AO113))))))))</f>
        <v>0</v>
      </c>
    </row>
    <row r="155" spans="24:34" ht="12.75" hidden="1" customHeight="1">
      <c r="X155" s="260">
        <f>X154</f>
        <v>6</v>
      </c>
      <c r="Y155" s="341">
        <f t="shared" si="42"/>
        <v>0</v>
      </c>
      <c r="Z155" s="341">
        <f>AP44-Y155</f>
        <v>0</v>
      </c>
      <c r="AA155" s="341">
        <f t="shared" si="43"/>
        <v>0</v>
      </c>
      <c r="AB155" s="341">
        <f>AP114-AA155</f>
        <v>0</v>
      </c>
      <c r="AD155" s="433" t="str">
        <f>IF(Y44&gt;0,Y44,IF(Z44&gt;0,Z44,IF(AA44&gt;0,AA44,IF(AB44&gt;0,AB44,IF(AC44&gt;0,AC44,IF(AD44&gt;0,AD44,IF(AE44&gt;0,AE44,IF(AF44&gt;0,AF44,"Next"))))))))</f>
        <v>Next</v>
      </c>
      <c r="AE155" s="433">
        <f>IF(AG44&gt;0,AG44,IF(AH44&gt;0,AH44,IF(AI44&gt;0,AI44,IF(AJ44&gt;0,AJ44,IF(AK44&gt;0,AK44,IF(AL44&gt;0,AL44,IF(AM44&gt;0,AM44,IF(AN44&gt;0,AN44,AO44))))))))</f>
        <v>0</v>
      </c>
      <c r="AG155" s="433" t="str">
        <f>IF(Y114&gt;0,Y114,IF(Z114&gt;0,Z114,IF(AA114&gt;0,AA114,IF(AB114&gt;0,AB114,IF(AC114&gt;0,AC114,IF(AD114&gt;0,AD114,IF(AE114&gt;0,AE114,IF(AF114&gt;0,AF114,"Next"))))))))</f>
        <v>Next</v>
      </c>
      <c r="AH155" s="433">
        <f>IF(AG114&gt;0,AG114,IF(AH114&gt;0,AH114,IF(AI114&gt;0,AI114,IF(AJ114&gt;0,AJ114,IF(AK114&gt;0,AK114,IF(AL114&gt;0,AL114,IF(AM114&gt;0,AM114,IF(AN114&gt;0,AN114,AO114))))))))</f>
        <v>0</v>
      </c>
    </row>
    <row r="156" spans="24:34" ht="12.75" hidden="1" customHeight="1">
      <c r="X156" s="260">
        <f>X154+1</f>
        <v>7</v>
      </c>
      <c r="Y156" s="341">
        <f t="shared" si="42"/>
        <v>0</v>
      </c>
      <c r="Z156" s="341">
        <f>AP50-Y156</f>
        <v>0</v>
      </c>
      <c r="AA156" s="341">
        <f t="shared" si="43"/>
        <v>0</v>
      </c>
      <c r="AB156" s="341">
        <f>AP119-AA156</f>
        <v>0</v>
      </c>
      <c r="AD156" s="433" t="str">
        <f>IF(Y50&gt;0,Y50,IF(Z50&gt;0,Z50,IF(AA50&gt;0,AA50,IF(AB50&gt;0,AB50,IF(AC50&gt;0,AC50,IF(AD50&gt;0,AD50,IF(AE50&gt;0,AE50,IF(AF50&gt;0,AF50,"Next"))))))))</f>
        <v>Next</v>
      </c>
      <c r="AE156" s="433">
        <f>IF(AG50&gt;0,AG50,IF(AH50&gt;0,AH50,IF(AI50&gt;0,AI50,IF(AJ50&gt;0,AJ50,IF(AK50&gt;0,AK50,IF(AL50&gt;0,AL50,IF(AM50&gt;0,AM50,IF(AN50&gt;0,AN50,AO50))))))))</f>
        <v>0</v>
      </c>
      <c r="AG156" s="433" t="str">
        <f>IF(Y119&gt;0,Y119,IF(Z119&gt;0,Z119,IF(AA119&gt;0,AA119,IF(AB119&gt;0,AB119,IF(AC119&gt;0,AC119,IF(AD119&gt;0,AD119,IF(AE119&gt;0,AE119,IF(AF119&gt;0,AF119,"Next"))))))))</f>
        <v>Next</v>
      </c>
      <c r="AH156" s="433">
        <f>IF(AG119&gt;0,AG119,IF(AH119&gt;0,AH119,IF(AI119&gt;0,AI119,IF(AJ119&gt;0,AJ119,IF(AK119&gt;0,AK119,IF(AL119&gt;0,AL119,IF(AM119&gt;0,AM119,IF(AN119&gt;0,AN119,AO119))))))))</f>
        <v>0</v>
      </c>
    </row>
    <row r="157" spans="24:34" ht="12.75" hidden="1" customHeight="1">
      <c r="X157" s="260">
        <f>X156</f>
        <v>7</v>
      </c>
      <c r="Y157" s="341">
        <f t="shared" si="42"/>
        <v>0</v>
      </c>
      <c r="Z157" s="341">
        <f>AP51-Y157</f>
        <v>0</v>
      </c>
      <c r="AA157" s="341">
        <f t="shared" si="43"/>
        <v>0</v>
      </c>
      <c r="AB157" s="341">
        <f>AP120-AA157</f>
        <v>0</v>
      </c>
      <c r="AD157" s="433" t="str">
        <f>IF(Y51&gt;0,Y51,IF(Z51&gt;0,Z51,IF(AA51&gt;0,AA51,IF(AB51&gt;0,AB51,IF(AC51&gt;0,AC51,IF(AD51&gt;0,AD51,IF(AE51&gt;0,AE51,IF(AF51&gt;0,AF51,"Next"))))))))</f>
        <v>Next</v>
      </c>
      <c r="AE157" s="433">
        <f>IF(AG51&gt;0,AG51,IF(AH51&gt;0,AH51,IF(AI51&gt;0,AI51,IF(AJ51&gt;0,AJ51,IF(AK51&gt;0,AK51,IF(AL51&gt;0,AL51,IF(AM51&gt;0,AM51,IF(AN51&gt;0,AN51,AO51))))))))</f>
        <v>0</v>
      </c>
      <c r="AG157" s="433" t="str">
        <f>IF(Y120&gt;0,Y120,IF(Z120&gt;0,Z120,IF(AA120&gt;0,AA120,IF(AB120&gt;0,AB120,IF(AC120&gt;0,AC120,IF(AD120&gt;0,AD120,IF(AE120&gt;0,AE120,IF(AF120&gt;0,AF120,"Next"))))))))</f>
        <v>Next</v>
      </c>
      <c r="AH157" s="433">
        <f>IF(AG120&gt;0,AG120,IF(AH120&gt;0,AH120,IF(AI120&gt;0,AI120,IF(AJ120&gt;0,AJ120,IF(AK120&gt;0,AK120,IF(AL120&gt;0,AL120,IF(AM120&gt;0,AM120,IF(AN120&gt;0,AN120,AO120))))))))</f>
        <v>0</v>
      </c>
    </row>
    <row r="158" spans="24:34" ht="12.75" hidden="1" customHeight="1">
      <c r="X158" s="260">
        <f>X156+1</f>
        <v>8</v>
      </c>
      <c r="Y158" s="341">
        <f t="shared" si="42"/>
        <v>0</v>
      </c>
      <c r="Z158" s="341">
        <f>AP57-Y158</f>
        <v>0</v>
      </c>
      <c r="AA158" s="341">
        <f t="shared" si="43"/>
        <v>0</v>
      </c>
      <c r="AB158" s="341">
        <f>AP125-AA158</f>
        <v>0</v>
      </c>
      <c r="AD158" s="433" t="str">
        <f>IF(Y57&gt;0,Y57,IF(Z57&gt;0,Z57,IF(AA57&gt;0,AA57,IF(AB57&gt;0,AB57,IF(AC57&gt;0,AC57,IF(AD57&gt;0,AD57,IF(AE57&gt;0,AE57,IF(AF57&gt;0,AF57,"Next"))))))))</f>
        <v>Next</v>
      </c>
      <c r="AE158" s="433">
        <f>IF(AG57&gt;0,AG57,IF(AH57&gt;0,AH57,IF(AI57&gt;0,AI57,IF(AJ57&gt;0,AJ57,IF(AK57&gt;0,AK57,IF(AL57&gt;0,AL57,IF(AM57&gt;0,AM57,IF(AN57&gt;0,AN57,AO57))))))))</f>
        <v>0</v>
      </c>
      <c r="AG158" s="433" t="str">
        <f>IF(Y125&gt;0,Y125,IF(Z125&gt;0,Z125,IF(AA125&gt;0,AA125,IF(AB125&gt;0,AB125,IF(AC125&gt;0,AC125,IF(AD125&gt;0,AD125,IF(AE125&gt;0,AE125,IF(AF125&gt;0,AF125,"Next"))))))))</f>
        <v>Next</v>
      </c>
      <c r="AH158" s="433">
        <f>IF(AG125&gt;0,AG125,IF(AH125&gt;0,AH125,IF(AI125&gt;0,AI125,IF(AJ125&gt;0,AJ125,IF(AK125&gt;0,AK125,IF(AL125&gt;0,AL125,IF(AM125&gt;0,AM125,IF(AN125&gt;0,AN125,AO125))))))))</f>
        <v>0</v>
      </c>
    </row>
    <row r="159" spans="24:34" ht="12.75" hidden="1" customHeight="1">
      <c r="X159" s="260">
        <f>X158</f>
        <v>8</v>
      </c>
      <c r="Y159" s="341">
        <f t="shared" si="42"/>
        <v>0</v>
      </c>
      <c r="Z159" s="341">
        <f>AP58-Y159</f>
        <v>0</v>
      </c>
      <c r="AA159" s="341">
        <f t="shared" si="43"/>
        <v>0</v>
      </c>
      <c r="AB159" s="341">
        <f>AP126-AA159</f>
        <v>0</v>
      </c>
      <c r="AD159" s="433" t="str">
        <f>IF(Y58&gt;0,Y58,IF(Z58&gt;0,Z58,IF(AA58&gt;0,AA58,IF(AB58&gt;0,AB58,IF(AC58&gt;0,AC58,IF(AD58&gt;0,AD58,IF(AE58&gt;0,AE58,IF(AF58&gt;0,AF58,"Next"))))))))</f>
        <v>Next</v>
      </c>
      <c r="AE159" s="433">
        <f>IF(AG58&gt;0,AG58,IF(AH58&gt;0,AH58,IF(AI58&gt;0,AI58,IF(AJ58&gt;0,AJ58,IF(AK58&gt;0,AK58,IF(AL58&gt;0,AL58,IF(AM58&gt;0,AM58,IF(AN58&gt;0,AN58,AO58))))))))</f>
        <v>0</v>
      </c>
      <c r="AG159" s="433" t="str">
        <f>IF(Y126&gt;0,Y126,IF(Z126&gt;0,Z126,IF(AA126&gt;0,AA126,IF(AB126&gt;0,AB126,IF(AC126&gt;0,AC126,IF(AD126&gt;0,AD126,IF(AE126&gt;0,AE126,IF(AF126&gt;0,AF126,"Next"))))))))</f>
        <v>Next</v>
      </c>
      <c r="AH159" s="433">
        <f>IF(AG126&gt;0,AG126,IF(AH126&gt;0,AH126,IF(AI126&gt;0,AI126,IF(AJ126&gt;0,AJ126,IF(AK126&gt;0,AK126,IF(AL126&gt;0,AL126,IF(AM126&gt;0,AM126,IF(AN126&gt;0,AN126,AO126))))))))</f>
        <v>0</v>
      </c>
    </row>
    <row r="160" spans="24:34" ht="12.75" hidden="1" customHeight="1">
      <c r="X160" s="260">
        <f>X158+1</f>
        <v>9</v>
      </c>
      <c r="Y160" s="341">
        <f>IF(AD160="Next",AE160,AD160)</f>
        <v>0</v>
      </c>
      <c r="Z160" s="341">
        <f>AP64-Y160</f>
        <v>0</v>
      </c>
      <c r="AA160" s="341">
        <f t="shared" si="43"/>
        <v>0</v>
      </c>
      <c r="AB160" s="341">
        <f>AP131-AA160</f>
        <v>0</v>
      </c>
      <c r="AD160" s="433" t="str">
        <f>IF(Y64&gt;0,Y64,IF(Z64&gt;0,Z64,IF(AA64&gt;0,AA64,IF(AB64&gt;0,AB64,IF(AC64&gt;0,AC64,IF(AD64&gt;0,AD64,IF(AE64&gt;0,AE64,IF(AF64&gt;0,AF64,"Next"))))))))</f>
        <v>Next</v>
      </c>
      <c r="AE160" s="433">
        <f>IF(AG64&gt;0,AG64,IF(AH64&gt;0,AH64,IF(AI64&gt;0,AI64,IF(AJ64&gt;0,AJ64,IF(AK64&gt;0,AK64,IF(AL64&gt;0,AL64,IF(AM64&gt;0,AM64,IF(AN64&gt;0,AN64,AO64))))))))</f>
        <v>0</v>
      </c>
      <c r="AG160" s="433" t="str">
        <f>IF(Y131&gt;0,Y131,IF(Z131&gt;0,Z131,IF(AA131&gt;0,AA131,IF(AB131&gt;0,AB131,IF(AC131&gt;0,AC131,IF(AD131&gt;0,AD131,IF(AE131&gt;0,AE131,IF(AF131&gt;0,AF131,"Next"))))))))</f>
        <v>Next</v>
      </c>
      <c r="AH160" s="433">
        <f>IF(AG131&gt;0,AG131,IF(AH131&gt;0,AH131,IF(AI131&gt;0,AI131,IF(AJ131&gt;0,AJ131,IF(AK131&gt;0,AK131,IF(AL131&gt;0,AL131,IF(AM131&gt;0,AM131,IF(AN131&gt;0,AN131,AO131))))))))</f>
        <v>0</v>
      </c>
    </row>
    <row r="161" spans="24:34" ht="12.75" hidden="1" customHeight="1">
      <c r="X161" s="260">
        <f>X160</f>
        <v>9</v>
      </c>
      <c r="Y161" s="341">
        <f>IF(AD161="Next",AE161,AD161)</f>
        <v>0</v>
      </c>
      <c r="Z161" s="341">
        <f>AP65-Y161</f>
        <v>0</v>
      </c>
      <c r="AA161" s="341">
        <f t="shared" si="43"/>
        <v>0</v>
      </c>
      <c r="AB161" s="341">
        <f>AP132-AA161</f>
        <v>0</v>
      </c>
      <c r="AD161" s="433" t="str">
        <f>IF(Y65&gt;0,Y65,IF(Z65&gt;0,Z65,IF(AA65&gt;0,AA65,IF(AB65&gt;0,AB65,IF(AC65&gt;0,AC65,IF(AD65&gt;0,AD65,IF(AE65&gt;0,AE65,IF(AF65&gt;0,AF65,"Next"))))))))</f>
        <v>Next</v>
      </c>
      <c r="AE161" s="433">
        <f>IF(AG65&gt;0,AG65,IF(AH65&gt;0,AH65,IF(AI65&gt;0,AI65,IF(AJ65&gt;0,AJ65,IF(AK65&gt;0,AK65,IF(AL65&gt;0,AL65,IF(AM65&gt;0,AM65,IF(AN65&gt;0,AN65,AO65))))))))</f>
        <v>0</v>
      </c>
      <c r="AG161" s="433" t="str">
        <f>IF(Y132&gt;0,Y132,IF(Z132&gt;0,Z132,IF(AA132&gt;0,AA132,IF(AB132&gt;0,AB132,IF(AC132&gt;0,AC132,IF(AD132&gt;0,AD132,IF(AE132&gt;0,AE132,IF(AF132&gt;0,AF132,"Next"))))))))</f>
        <v>Next</v>
      </c>
      <c r="AH161" s="433">
        <f>IF(AG132&gt;0,AG132,IF(AH132&gt;0,AH132,IF(AI132&gt;0,AI132,IF(AJ132&gt;0,AJ132,IF(AK132&gt;0,AK132,IF(AL132&gt;0,AL132,IF(AM132&gt;0,AM132,IF(AN132&gt;0,AN132,AO132))))))))</f>
        <v>0</v>
      </c>
    </row>
    <row r="162" spans="24:34" ht="12.75" hidden="1" customHeight="1">
      <c r="X162" s="260">
        <f>X160+1</f>
        <v>10</v>
      </c>
      <c r="Y162" s="341">
        <f>IF(AD162="Next",AE162,AD162)</f>
        <v>0</v>
      </c>
      <c r="Z162" s="341">
        <f>AP71-Y162</f>
        <v>0</v>
      </c>
      <c r="AA162" s="341">
        <f t="shared" si="43"/>
        <v>0</v>
      </c>
      <c r="AB162" s="341">
        <f>AP137-AA162</f>
        <v>0</v>
      </c>
      <c r="AD162" s="433" t="str">
        <f>IF(Y71&gt;0,Y71,IF(Z71&gt;0,Z71,IF(AA71&gt;0,AA71,IF(AB71&gt;0,AB71,IF(AC71&gt;0,AC71,IF(AD71&gt;0,AD71,IF(AE71&gt;0,AE71,IF(AF71&gt;0,AF71,"Next"))))))))</f>
        <v>Next</v>
      </c>
      <c r="AE162" s="433">
        <f>IF(AG71&gt;0,AG71,IF(AH71&gt;0,AH71,IF(AI71&gt;0,AI71,IF(AJ71&gt;0,AJ71,IF(AK71&gt;0,AK71,IF(AL71&gt;0,AL71,IF(AM71&gt;0,AM71,IF(AN71&gt;0,AN71,AO71))))))))</f>
        <v>0</v>
      </c>
      <c r="AG162" s="433" t="str">
        <f>IF(Y137&gt;0,Y137,IF(Z137&gt;0,Z137,IF(AA137&gt;0,AA137,IF(AB137&gt;0,AB137,IF(AC137&gt;0,AC137,IF(AD137&gt;0,AD137,IF(AE137&gt;0,AE137,IF(AF137&gt;0,AF137,"Next"))))))))</f>
        <v>Next</v>
      </c>
      <c r="AH162" s="433">
        <f>IF(AG137&gt;0,AG137,IF(AH137&gt;0,AH137,IF(AI137&gt;0,AI137,IF(AJ137&gt;0,AJ137,IF(AK137&gt;0,AK137,IF(AL137&gt;0,AL137,IF(AM137&gt;0,AM137,IF(AN137&gt;0,AN137,AO137))))))))</f>
        <v>0</v>
      </c>
    </row>
    <row r="163" spans="24:34" ht="12.75" hidden="1" customHeight="1">
      <c r="X163" s="260">
        <f>X162</f>
        <v>10</v>
      </c>
      <c r="Y163" s="341">
        <f>IF(AD163="Next",AE163,AD163)</f>
        <v>0</v>
      </c>
      <c r="Z163" s="341">
        <f>AP72-Y163</f>
        <v>0</v>
      </c>
      <c r="AA163" s="341">
        <f t="shared" si="43"/>
        <v>0</v>
      </c>
      <c r="AB163" s="341">
        <f>AP138-AA163</f>
        <v>0</v>
      </c>
      <c r="AD163" s="433" t="str">
        <f>IF(Y72&gt;0,Y72,IF(Z72&gt;0,Z72,IF(AA72&gt;0,AA72,IF(AB72&gt;0,AB72,IF(AC72&gt;0,AC72,IF(AD72&gt;0,AD72,IF(AE72&gt;0,AE72,IF(AF72&gt;0,AF72,"Next"))))))))</f>
        <v>Next</v>
      </c>
      <c r="AE163" s="433">
        <f>IF(AG72&gt;0,AG72,IF(AH72&gt;0,AH72,IF(AI72&gt;0,AI72,IF(AJ72&gt;0,AJ72,IF(AK72&gt;0,AK72,IF(AL72&gt;0,AL72,IF(AM72&gt;0,AM72,IF(AN72&gt;0,AN72,AO72))))))))</f>
        <v>0</v>
      </c>
      <c r="AG163" s="433" t="str">
        <f>IF(Y138&gt;0,Y138,IF(Z138&gt;0,Z138,IF(AA138&gt;0,AA138,IF(AB138&gt;0,AB138,IF(AC138&gt;0,AC138,IF(AD138&gt;0,AD138,IF(AE138&gt;0,AE138,IF(AF138&gt;0,AF138,"Next"))))))))</f>
        <v>Next</v>
      </c>
      <c r="AH163" s="433">
        <f>IF(AG138&gt;0,AG138,IF(AH138&gt;0,AH138,IF(AI138&gt;0,AI138,IF(AJ138&gt;0,AJ138,IF(AK138&gt;0,AK138,IF(AL138&gt;0,AL138,IF(AM138&gt;0,AM138,IF(AN138&gt;0,AN138,AO138))))))))</f>
        <v>0</v>
      </c>
    </row>
  </sheetData>
  <sheetProtection algorithmName="SHA-512" hashValue="HVzV5YzJpbdG+3vXE3AO9Q3R47HfDDYRQCt9ssGw5JOiVPRITwT5c7jCP2FqYEWOxGh7lBU2fgUK8m3+46TcEg==" saltValue="uoAYf3y9/INYBzsQX7WAug==" spinCount="100000" sheet="1" objects="1" scenarios="1" formatColumns="0" formatRows="0" deleteColumns="0" deleteRows="0"/>
  <mergeCells count="31">
    <mergeCell ref="R12:S12"/>
    <mergeCell ref="T11:U11"/>
    <mergeCell ref="T12:U12"/>
    <mergeCell ref="L11:M11"/>
    <mergeCell ref="L12:M12"/>
    <mergeCell ref="N11:O11"/>
    <mergeCell ref="N12:O12"/>
    <mergeCell ref="P11:Q11"/>
    <mergeCell ref="P12:Q12"/>
    <mergeCell ref="R11:S11"/>
    <mergeCell ref="L10:M10"/>
    <mergeCell ref="N10:O10"/>
    <mergeCell ref="P10:Q10"/>
    <mergeCell ref="R10:S10"/>
    <mergeCell ref="T10:U10"/>
    <mergeCell ref="J12:K12"/>
    <mergeCell ref="A36:A37"/>
    <mergeCell ref="B10:C10"/>
    <mergeCell ref="D10:E10"/>
    <mergeCell ref="F10:G10"/>
    <mergeCell ref="H10:I10"/>
    <mergeCell ref="B12:C12"/>
    <mergeCell ref="D12:E12"/>
    <mergeCell ref="F12:G12"/>
    <mergeCell ref="H12:I12"/>
    <mergeCell ref="J10:K10"/>
    <mergeCell ref="B11:C11"/>
    <mergeCell ref="D11:E11"/>
    <mergeCell ref="F11:G11"/>
    <mergeCell ref="H11:I11"/>
    <mergeCell ref="J11:K11"/>
  </mergeCells>
  <pageMargins left="0" right="0" top="0.75" bottom="0.75" header="0.3" footer="0.3"/>
  <pageSetup scale="3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X713"/>
  <sheetViews>
    <sheetView zoomScale="90" zoomScaleNormal="90" workbookViewId="0">
      <selection activeCell="G18" sqref="G18"/>
    </sheetView>
  </sheetViews>
  <sheetFormatPr baseColWidth="10" defaultColWidth="0" defaultRowHeight="15.75" customHeight="1"/>
  <cols>
    <col min="1" max="1" width="49.83203125" style="386" customWidth="1"/>
    <col min="2" max="11" width="12.6640625" style="395" customWidth="1"/>
    <col min="12" max="12" width="12.6640625" style="386" customWidth="1"/>
    <col min="13" max="13" width="8.6640625" style="353" customWidth="1"/>
    <col min="14" max="16" width="9.1640625" style="353" hidden="1" customWidth="1"/>
    <col min="17" max="17" width="12.1640625" style="353" hidden="1" customWidth="1"/>
    <col min="18" max="18" width="11.33203125" style="353" hidden="1" customWidth="1"/>
    <col min="19" max="19" width="12.1640625" style="353" hidden="1" customWidth="1"/>
    <col min="20" max="21" width="9.1640625" style="353" hidden="1" customWidth="1"/>
    <col min="22" max="26" width="11.33203125" style="353" hidden="1" customWidth="1"/>
    <col min="27" max="28" width="9.1640625" style="353" hidden="1" customWidth="1"/>
    <col min="29" max="29" width="11.33203125" style="353" hidden="1" customWidth="1"/>
    <col min="30" max="30" width="12.83203125" style="353" hidden="1" customWidth="1"/>
    <col min="31" max="32" width="11.83203125" style="353" hidden="1" customWidth="1"/>
    <col min="33" max="46" width="14" style="353" hidden="1" customWidth="1"/>
    <col min="47" max="50" width="0" style="353" hidden="1" customWidth="1"/>
    <col min="51" max="16384" width="9.1640625" style="353" hidden="1"/>
  </cols>
  <sheetData>
    <row r="1" spans="1:46" ht="16">
      <c r="A1" s="18"/>
      <c r="B1" s="352"/>
      <c r="C1" s="352"/>
      <c r="D1" s="352"/>
      <c r="E1" s="352"/>
      <c r="F1" s="352"/>
      <c r="G1" s="352"/>
      <c r="H1" s="352"/>
      <c r="I1" s="352"/>
      <c r="J1" s="352"/>
      <c r="K1" s="352"/>
      <c r="L1" s="18"/>
      <c r="M1" s="2" t="str">
        <f>+INSTRUCTIONS!$O$1</f>
        <v>FY22-10year-10/26/2021</v>
      </c>
    </row>
    <row r="2" spans="1:46" ht="16">
      <c r="A2" s="18"/>
      <c r="B2" s="352"/>
      <c r="C2" s="352"/>
      <c r="D2" s="352"/>
      <c r="E2" s="352"/>
      <c r="F2" s="352"/>
      <c r="G2" s="352"/>
      <c r="H2" s="352"/>
      <c r="I2" s="352"/>
      <c r="J2" s="352"/>
      <c r="K2" s="352"/>
      <c r="L2" s="18"/>
      <c r="AC2" s="354">
        <f>+Sheet1!$T$8</f>
        <v>44105</v>
      </c>
      <c r="AD2" s="354">
        <f>+Sheet1!$U$8</f>
        <v>44470</v>
      </c>
      <c r="AE2" s="354">
        <f>+Sheet1!$V$8</f>
        <v>44835</v>
      </c>
      <c r="AF2" s="354">
        <f>+Sheet1!$W$8</f>
        <v>45200</v>
      </c>
      <c r="AG2" s="354">
        <f>+Sheet1!$X$8</f>
        <v>45566</v>
      </c>
      <c r="AH2" s="354">
        <f>+Sheet1!$Y$8</f>
        <v>45931</v>
      </c>
      <c r="AI2" s="354">
        <f>+Sheet1!$Z$8</f>
        <v>46296</v>
      </c>
      <c r="AJ2" s="354">
        <f>+Sheet1!AA$8</f>
        <v>46661</v>
      </c>
      <c r="AK2" s="354">
        <f>+Sheet1!AB$8</f>
        <v>47027</v>
      </c>
      <c r="AL2" s="354">
        <f>+Sheet1!AC$8</f>
        <v>47392</v>
      </c>
      <c r="AM2" s="354">
        <f>+Sheet1!AD$8</f>
        <v>47757</v>
      </c>
      <c r="AN2" s="354">
        <f>+Sheet1!AE$8</f>
        <v>48122</v>
      </c>
      <c r="AO2" s="354">
        <f>+Sheet1!AF$8</f>
        <v>48488</v>
      </c>
      <c r="AP2" s="354">
        <f>+Sheet1!AG$8</f>
        <v>48853</v>
      </c>
      <c r="AQ2" s="354">
        <f>+Sheet1!AH$8</f>
        <v>49218</v>
      </c>
      <c r="AR2" s="354">
        <f>+Sheet1!AI$8</f>
        <v>49583</v>
      </c>
      <c r="AS2" s="354">
        <f>+Sheet1!AJ$8</f>
        <v>49949</v>
      </c>
      <c r="AT2" s="355"/>
    </row>
    <row r="3" spans="1:46" ht="16">
      <c r="A3" s="18"/>
      <c r="B3" s="352"/>
      <c r="C3" s="352"/>
      <c r="D3" s="352"/>
      <c r="E3" s="352"/>
      <c r="F3" s="352"/>
      <c r="G3" s="352"/>
      <c r="H3" s="352"/>
      <c r="I3" s="352"/>
      <c r="J3" s="352"/>
      <c r="K3" s="352"/>
      <c r="L3" s="18"/>
      <c r="AC3" s="354">
        <f>+Sheet1!$T$9</f>
        <v>44469</v>
      </c>
      <c r="AD3" s="354">
        <f>+Sheet1!$U$9</f>
        <v>44834</v>
      </c>
      <c r="AE3" s="354">
        <f>+Sheet1!$V$9</f>
        <v>45199</v>
      </c>
      <c r="AF3" s="354">
        <f>+Sheet1!$W$9</f>
        <v>45565</v>
      </c>
      <c r="AG3" s="354">
        <f>+Sheet1!$X$9</f>
        <v>45930</v>
      </c>
      <c r="AH3" s="354">
        <f>+Sheet1!$Y$9</f>
        <v>46295</v>
      </c>
      <c r="AI3" s="354">
        <f>+Sheet1!$Z$9</f>
        <v>46660</v>
      </c>
      <c r="AJ3" s="354">
        <f>+Sheet1!AA$9</f>
        <v>47026</v>
      </c>
      <c r="AK3" s="354">
        <f>+Sheet1!AB$9</f>
        <v>47391</v>
      </c>
      <c r="AL3" s="354">
        <f>+Sheet1!AC$9</f>
        <v>47756</v>
      </c>
      <c r="AM3" s="354">
        <f>+Sheet1!AD$9</f>
        <v>48121</v>
      </c>
      <c r="AN3" s="354">
        <f>+Sheet1!AE$9</f>
        <v>48487</v>
      </c>
      <c r="AO3" s="354">
        <f>+Sheet1!AF$9</f>
        <v>48852</v>
      </c>
      <c r="AP3" s="354">
        <f>+Sheet1!AG$9</f>
        <v>49217</v>
      </c>
      <c r="AQ3" s="354">
        <f>+Sheet1!AH$9</f>
        <v>49582</v>
      </c>
      <c r="AR3" s="354">
        <f>+Sheet1!AI$9</f>
        <v>49948</v>
      </c>
      <c r="AS3" s="354">
        <f>+Sheet1!AJ$9</f>
        <v>50313</v>
      </c>
      <c r="AT3" s="355"/>
    </row>
    <row r="4" spans="1:46" ht="16">
      <c r="A4" s="18"/>
      <c r="B4" s="352"/>
      <c r="C4" s="352"/>
      <c r="D4" s="352"/>
      <c r="E4" s="352"/>
      <c r="F4" s="352"/>
      <c r="G4" s="352"/>
      <c r="H4" s="352"/>
      <c r="I4" s="352"/>
      <c r="J4" s="352"/>
      <c r="K4" s="352"/>
      <c r="L4" s="18"/>
      <c r="AB4" s="353">
        <v>1</v>
      </c>
      <c r="AC4" s="355">
        <f>+'4. SUBAWARDS'!Q7</f>
        <v>1461</v>
      </c>
      <c r="AD4" s="355">
        <f>+'4. SUBAWARDS'!R7</f>
        <v>0</v>
      </c>
      <c r="AE4" s="355">
        <f>+'4. SUBAWARDS'!S7</f>
        <v>0</v>
      </c>
      <c r="AF4" s="355">
        <f>+'4. SUBAWARDS'!T7</f>
        <v>0</v>
      </c>
      <c r="AG4" s="355">
        <f>+'4. SUBAWARDS'!U7</f>
        <v>0</v>
      </c>
      <c r="AH4" s="355">
        <f>+'4. SUBAWARDS'!V7</f>
        <v>0</v>
      </c>
      <c r="AI4" s="355">
        <f>+'4. SUBAWARDS'!W7</f>
        <v>0</v>
      </c>
      <c r="AJ4" s="355">
        <f>+'4. SUBAWARDS'!X7</f>
        <v>0</v>
      </c>
      <c r="AK4" s="355">
        <f>+'4. SUBAWARDS'!Y7</f>
        <v>0</v>
      </c>
      <c r="AL4" s="355">
        <f>+'4. SUBAWARDS'!Z7</f>
        <v>0</v>
      </c>
      <c r="AM4" s="355">
        <f>+'4. SUBAWARDS'!AA7</f>
        <v>0</v>
      </c>
      <c r="AN4" s="355">
        <f>+'4. SUBAWARDS'!AB7</f>
        <v>0</v>
      </c>
      <c r="AO4" s="355">
        <f>+'4. SUBAWARDS'!AC7</f>
        <v>0</v>
      </c>
      <c r="AP4" s="355">
        <f>+'4. SUBAWARDS'!AD7</f>
        <v>0</v>
      </c>
      <c r="AQ4" s="355">
        <f>+'4. SUBAWARDS'!AE7</f>
        <v>0</v>
      </c>
      <c r="AR4" s="355">
        <f>+'4. SUBAWARDS'!AF7</f>
        <v>0</v>
      </c>
      <c r="AS4" s="355">
        <f>+'4. SUBAWARDS'!AG7</f>
        <v>0</v>
      </c>
      <c r="AT4" s="355">
        <f>SUM(AC4:AS4)</f>
        <v>1461</v>
      </c>
    </row>
    <row r="5" spans="1:46" s="356" customFormat="1" ht="14">
      <c r="AC5" s="357">
        <f>VLOOKUP('1. SUMMARY'!$C$20,rate,+Sheet1!T21,0)</f>
        <v>0.68</v>
      </c>
      <c r="AD5" s="357">
        <f>VLOOKUP('1. SUMMARY'!$C$20,rate,+Sheet1!U21,0)</f>
        <v>0.68</v>
      </c>
      <c r="AE5" s="357">
        <f>VLOOKUP('1. SUMMARY'!$C$20,rate,+Sheet1!V21,0)</f>
        <v>0.68</v>
      </c>
      <c r="AF5" s="357">
        <f>VLOOKUP('1. SUMMARY'!$C$20,rate,+Sheet1!W21,0)</f>
        <v>0.68</v>
      </c>
      <c r="AG5" s="357">
        <f>VLOOKUP('1. SUMMARY'!$C$20,rate,+Sheet1!X21,0)</f>
        <v>0.68</v>
      </c>
      <c r="AH5" s="357">
        <f>VLOOKUP('1. SUMMARY'!$C$20,rate,+Sheet1!Y21,0)</f>
        <v>0.68</v>
      </c>
      <c r="AI5" s="357">
        <f>VLOOKUP('1. SUMMARY'!$C$20,rate,+Sheet1!Z21,0)</f>
        <v>0.68</v>
      </c>
      <c r="AJ5" s="357">
        <f>VLOOKUP('1. SUMMARY'!$C$20,rate,+Sheet1!AA21,0)</f>
        <v>0.68</v>
      </c>
      <c r="AK5" s="357">
        <f>VLOOKUP('1. SUMMARY'!$C$20,rate,+Sheet1!AB21,0)</f>
        <v>0.68</v>
      </c>
      <c r="AL5" s="357">
        <f>VLOOKUP('1. SUMMARY'!$C$20,rate,+Sheet1!AC21,0)</f>
        <v>0.68</v>
      </c>
      <c r="AM5" s="357">
        <f>VLOOKUP('1. SUMMARY'!$C$20,rate,+Sheet1!AD21,0)</f>
        <v>0.68</v>
      </c>
      <c r="AN5" s="357">
        <f>VLOOKUP('1. SUMMARY'!$C$20,rate,+Sheet1!AE21,0)</f>
        <v>0.68</v>
      </c>
      <c r="AO5" s="357">
        <f>VLOOKUP('1. SUMMARY'!$C$20,rate,+Sheet1!AF21,0)</f>
        <v>0.68</v>
      </c>
      <c r="AP5" s="357">
        <f>VLOOKUP('1. SUMMARY'!$C$20,rate,+Sheet1!AG21,0)</f>
        <v>0.68</v>
      </c>
      <c r="AQ5" s="357">
        <f>VLOOKUP('1. SUMMARY'!$C$20,rate,+Sheet1!AH21,0)</f>
        <v>0.68</v>
      </c>
      <c r="AR5" s="357">
        <f>VLOOKUP('1. SUMMARY'!$C$20,rate,+Sheet1!AI21,0)</f>
        <v>0.68</v>
      </c>
      <c r="AS5" s="357">
        <f>VLOOKUP('1. SUMMARY'!$C$20,rate,+Sheet1!AJ21,0)</f>
        <v>0.68</v>
      </c>
      <c r="AT5" s="468"/>
    </row>
    <row r="6" spans="1:46" s="359" customFormat="1" ht="12.75" customHeight="1">
      <c r="A6" s="169" t="str">
        <f>"PI: "&amp;+'1. SUMMARY'!$C$13</f>
        <v xml:space="preserve">PI: </v>
      </c>
      <c r="AC6" s="360">
        <f>IF(AC$4=0,0,(($B$21/$AT$4)*AC4)*VLOOKUP('1. SUMMARY'!$C$20,rate,+Sheet1!T21,0))</f>
        <v>17000</v>
      </c>
      <c r="AD6" s="360">
        <f>IF(AD$4=0,0,(($B$21/$AT$4)*AD4)*VLOOKUP('1. SUMMARY'!$C$20,rate,+Sheet1!U21,0))</f>
        <v>0</v>
      </c>
      <c r="AE6" s="360">
        <f>IF(AE$4=0,0,(($B$21/$AT$4)*AE4)*VLOOKUP('1. SUMMARY'!$C$20,rate,+Sheet1!V21,0))</f>
        <v>0</v>
      </c>
      <c r="AF6" s="360">
        <f>IF(AF$4=0,0,(($B$21/$AT$4)*AF4)*VLOOKUP('1. SUMMARY'!$C$20,rate,+Sheet1!W21,0))</f>
        <v>0</v>
      </c>
      <c r="AG6" s="360">
        <f>IF(AG$4=0,0,(($B$21/$AT$4)*AG4)*VLOOKUP('1. SUMMARY'!$C$20,rate,+Sheet1!X21,0))</f>
        <v>0</v>
      </c>
      <c r="AH6" s="360">
        <f>IF(AH$4=0,0,(($B$21/$AT$4)*AH4)*VLOOKUP('1. SUMMARY'!$C$20,rate,+Sheet1!Y21,0))</f>
        <v>0</v>
      </c>
      <c r="AI6" s="360">
        <f>IF(AI$4=0,0,(($B$21/$AT$4)*AI4)*VLOOKUP('1. SUMMARY'!$C$20,rate,+Sheet1!Z21,0))</f>
        <v>0</v>
      </c>
      <c r="AJ6" s="360">
        <f>IF(AJ$4=0,0,(($B$21/$AT$4)*AJ4)*VLOOKUP('1. SUMMARY'!$C$20,rate,+Sheet1!AA21,0))</f>
        <v>0</v>
      </c>
      <c r="AK6" s="360">
        <f>IF(AK$4=0,0,(($B$21/$AT$4)*AK4)*VLOOKUP('1. SUMMARY'!$C$20,rate,+Sheet1!AB21,0))</f>
        <v>0</v>
      </c>
      <c r="AL6" s="360">
        <f>IF(AL$4=0,0,(($B$21/$AT$4)*AL4)*VLOOKUP('1. SUMMARY'!$C$20,rate,+Sheet1!AC21,0))</f>
        <v>0</v>
      </c>
      <c r="AM6" s="360">
        <f>IF(AM$4=0,0,(($B$21/$AT$4)*AM4)*VLOOKUP('1. SUMMARY'!$C$20,rate,+Sheet1!AD21,0))</f>
        <v>0</v>
      </c>
      <c r="AN6" s="360">
        <f>IF(AN$4=0,0,(($B$21/$AT$4)*AN4)*VLOOKUP('1. SUMMARY'!$C$20,rate,+Sheet1!AE21,0))</f>
        <v>0</v>
      </c>
      <c r="AO6" s="360">
        <f>IF(AO$4=0,0,(($B$21/$AT$4)*AO4)*VLOOKUP('1. SUMMARY'!$C$20,rate,+Sheet1!AF21,0))</f>
        <v>0</v>
      </c>
      <c r="AP6" s="360">
        <f>IF(AP$4=0,0,(($B$21/$AT$4)*AP4)*VLOOKUP('1. SUMMARY'!$C$20,rate,+Sheet1!AG21,0))</f>
        <v>0</v>
      </c>
      <c r="AQ6" s="360">
        <f>IF(AQ$4=0,0,(($B$21/$AT$4)*AQ4)*VLOOKUP('1. SUMMARY'!$C$20,rate,+Sheet1!AH21,0))</f>
        <v>0</v>
      </c>
      <c r="AR6" s="360">
        <f>IF(AR$4=0,0,(($B$21/$AT$4)*AR4)*VLOOKUP('1. SUMMARY'!$C$20,rate,+Sheet1!AI21,0))</f>
        <v>0</v>
      </c>
      <c r="AS6" s="360">
        <f>IF(AS$4=0,0,(($B$21/$AT$4)*AS4)*VLOOKUP('1. SUMMARY'!$C$20,rate,+Sheet1!AJ21,0))</f>
        <v>0</v>
      </c>
      <c r="AT6" s="467">
        <f>SUM(AC6:AS6)</f>
        <v>17000</v>
      </c>
    </row>
    <row r="7" spans="1:46" s="359" customFormat="1" ht="12.75" customHeight="1">
      <c r="A7" s="169" t="str">
        <f>"Sponsor: "&amp;'1. SUMMARY'!C19</f>
        <v xml:space="preserve">Sponsor: </v>
      </c>
      <c r="B7" s="356"/>
      <c r="C7" s="356"/>
      <c r="D7" s="356"/>
      <c r="E7" s="356"/>
      <c r="F7" s="362"/>
      <c r="G7" s="362"/>
      <c r="H7" s="362"/>
      <c r="I7" s="362"/>
      <c r="J7" s="362"/>
      <c r="K7" s="362"/>
      <c r="L7" s="362"/>
      <c r="AC7" s="148">
        <f>+($B$21/$AT$4)*AC4</f>
        <v>25000</v>
      </c>
      <c r="AD7" s="148">
        <f t="shared" ref="AD7:AS7" si="0">+($B$21/$AT$4)*AD4</f>
        <v>0</v>
      </c>
      <c r="AE7" s="148">
        <f t="shared" si="0"/>
        <v>0</v>
      </c>
      <c r="AF7" s="148">
        <f t="shared" si="0"/>
        <v>0</v>
      </c>
      <c r="AG7" s="148">
        <f t="shared" si="0"/>
        <v>0</v>
      </c>
      <c r="AH7" s="148">
        <f t="shared" si="0"/>
        <v>0</v>
      </c>
      <c r="AI7" s="148">
        <f t="shared" si="0"/>
        <v>0</v>
      </c>
      <c r="AJ7" s="148">
        <f t="shared" si="0"/>
        <v>0</v>
      </c>
      <c r="AK7" s="148">
        <f t="shared" si="0"/>
        <v>0</v>
      </c>
      <c r="AL7" s="148">
        <f t="shared" si="0"/>
        <v>0</v>
      </c>
      <c r="AM7" s="148">
        <f t="shared" si="0"/>
        <v>0</v>
      </c>
      <c r="AN7" s="148">
        <f t="shared" si="0"/>
        <v>0</v>
      </c>
      <c r="AO7" s="148">
        <f t="shared" si="0"/>
        <v>0</v>
      </c>
      <c r="AP7" s="148">
        <f t="shared" si="0"/>
        <v>0</v>
      </c>
      <c r="AQ7" s="148">
        <f t="shared" si="0"/>
        <v>0</v>
      </c>
      <c r="AR7" s="148">
        <f t="shared" si="0"/>
        <v>0</v>
      </c>
      <c r="AS7" s="148">
        <f t="shared" si="0"/>
        <v>0</v>
      </c>
      <c r="AT7" s="148"/>
    </row>
    <row r="8" spans="1:46" s="363" customFormat="1" ht="12.75" customHeight="1">
      <c r="A8" s="169" t="str">
        <f>"Title: "&amp;'1. SUMMARY'!C16</f>
        <v xml:space="preserve">Title: </v>
      </c>
      <c r="B8" s="359"/>
      <c r="C8" s="359"/>
      <c r="D8" s="359"/>
      <c r="E8" s="359"/>
      <c r="AC8" s="187"/>
      <c r="AD8" s="187"/>
      <c r="AE8" s="187"/>
      <c r="AF8" s="187"/>
      <c r="AG8" s="187"/>
      <c r="AH8" s="187"/>
      <c r="AI8" s="187"/>
      <c r="AJ8" s="187"/>
      <c r="AK8" s="187"/>
      <c r="AL8" s="187"/>
      <c r="AM8" s="187"/>
      <c r="AN8" s="187"/>
      <c r="AO8" s="187"/>
      <c r="AP8" s="187"/>
      <c r="AQ8" s="187"/>
      <c r="AR8" s="187"/>
      <c r="AS8" s="187"/>
      <c r="AT8" s="187"/>
    </row>
    <row r="9" spans="1:46" s="364" customFormat="1" ht="15">
      <c r="A9" s="592" t="s">
        <v>210</v>
      </c>
      <c r="B9" s="592"/>
      <c r="C9" s="592"/>
      <c r="D9" s="592"/>
      <c r="E9" s="592"/>
      <c r="F9" s="592"/>
      <c r="G9" s="592"/>
      <c r="H9" s="592"/>
      <c r="I9" s="592"/>
      <c r="J9" s="592"/>
      <c r="K9" s="592"/>
      <c r="L9" s="592"/>
      <c r="M9" s="363"/>
      <c r="AC9" s="354">
        <f>+Sheet1!$T$8</f>
        <v>44105</v>
      </c>
      <c r="AD9" s="354">
        <f>+Sheet1!$U$8</f>
        <v>44470</v>
      </c>
      <c r="AE9" s="354">
        <f>+Sheet1!$V$8</f>
        <v>44835</v>
      </c>
      <c r="AF9" s="354">
        <f>+Sheet1!$W$8</f>
        <v>45200</v>
      </c>
      <c r="AG9" s="354">
        <f>+Sheet1!$X$8</f>
        <v>45566</v>
      </c>
      <c r="AH9" s="354">
        <f>+Sheet1!$Y$8</f>
        <v>45931</v>
      </c>
      <c r="AI9" s="354">
        <f>+Sheet1!$Z$8</f>
        <v>46296</v>
      </c>
      <c r="AJ9" s="354">
        <f>+Sheet1!$AA$8</f>
        <v>46661</v>
      </c>
      <c r="AK9" s="354">
        <f>+Sheet1!AB$8</f>
        <v>47027</v>
      </c>
      <c r="AL9" s="354">
        <f>+Sheet1!AC$8</f>
        <v>47392</v>
      </c>
      <c r="AM9" s="354">
        <f>+Sheet1!AD$8</f>
        <v>47757</v>
      </c>
      <c r="AN9" s="354">
        <f>+Sheet1!AE$8</f>
        <v>48122</v>
      </c>
      <c r="AO9" s="354">
        <f>+Sheet1!AF$8</f>
        <v>48488</v>
      </c>
      <c r="AP9" s="354">
        <f>+Sheet1!AG$8</f>
        <v>48853</v>
      </c>
      <c r="AQ9" s="354">
        <f>+Sheet1!AH$8</f>
        <v>49218</v>
      </c>
      <c r="AR9" s="354">
        <f>+Sheet1!AI$8</f>
        <v>49583</v>
      </c>
      <c r="AS9" s="354">
        <f>+Sheet1!AJ$8</f>
        <v>49949</v>
      </c>
      <c r="AT9" s="355"/>
    </row>
    <row r="10" spans="1:46" s="364" customFormat="1" ht="14.25" customHeight="1">
      <c r="A10" s="592"/>
      <c r="B10" s="592"/>
      <c r="C10" s="592"/>
      <c r="D10" s="592"/>
      <c r="E10" s="592"/>
      <c r="F10" s="592"/>
      <c r="G10" s="592"/>
      <c r="H10" s="592"/>
      <c r="I10" s="592"/>
      <c r="J10" s="592"/>
      <c r="K10" s="592"/>
      <c r="L10" s="592"/>
      <c r="M10" s="363"/>
      <c r="AC10" s="354">
        <f>+Sheet1!$T$9</f>
        <v>44469</v>
      </c>
      <c r="AD10" s="354">
        <f>+Sheet1!$U$9</f>
        <v>44834</v>
      </c>
      <c r="AE10" s="354">
        <f>+Sheet1!$V$9</f>
        <v>45199</v>
      </c>
      <c r="AF10" s="354">
        <f>+Sheet1!$W$9</f>
        <v>45565</v>
      </c>
      <c r="AG10" s="354">
        <f>+Sheet1!$X$9</f>
        <v>45930</v>
      </c>
      <c r="AH10" s="354">
        <f>+Sheet1!$Y$9</f>
        <v>46295</v>
      </c>
      <c r="AI10" s="354">
        <f>+Sheet1!$Z$9</f>
        <v>46660</v>
      </c>
      <c r="AJ10" s="354">
        <f>+Sheet1!$AA$9</f>
        <v>47026</v>
      </c>
      <c r="AK10" s="354">
        <f>+Sheet1!AB$9</f>
        <v>47391</v>
      </c>
      <c r="AL10" s="354">
        <f>+Sheet1!AC$9</f>
        <v>47756</v>
      </c>
      <c r="AM10" s="354">
        <f>+Sheet1!AD$9</f>
        <v>48121</v>
      </c>
      <c r="AN10" s="354">
        <f>+Sheet1!AE$9</f>
        <v>48487</v>
      </c>
      <c r="AO10" s="354">
        <f>+Sheet1!AF$9</f>
        <v>48852</v>
      </c>
      <c r="AP10" s="354">
        <f>+Sheet1!AG$9</f>
        <v>49217</v>
      </c>
      <c r="AQ10" s="354">
        <f>+Sheet1!AH$9</f>
        <v>49582</v>
      </c>
      <c r="AR10" s="354">
        <f>+Sheet1!AI$9</f>
        <v>49948</v>
      </c>
      <c r="AS10" s="354">
        <f>+Sheet1!AJ$9</f>
        <v>50313</v>
      </c>
      <c r="AT10" s="355"/>
    </row>
    <row r="11" spans="1:46" s="77" customFormat="1" ht="13">
      <c r="A11" s="365"/>
      <c r="B11" s="366"/>
      <c r="C11" s="366"/>
      <c r="D11" s="366"/>
      <c r="E11" s="366"/>
      <c r="F11" s="366"/>
      <c r="G11" s="366"/>
      <c r="H11" s="366"/>
      <c r="I11" s="366"/>
      <c r="J11" s="366"/>
      <c r="K11" s="366"/>
      <c r="L11" s="365"/>
      <c r="AB11" s="77">
        <v>2</v>
      </c>
      <c r="AC11" s="355">
        <f>+'4. SUBAWARDS'!Q12</f>
        <v>0</v>
      </c>
      <c r="AD11" s="355">
        <f>+'4. SUBAWARDS'!R12</f>
        <v>0</v>
      </c>
      <c r="AE11" s="355">
        <f>+'4. SUBAWARDS'!S12</f>
        <v>0</v>
      </c>
      <c r="AF11" s="355">
        <f>+'4. SUBAWARDS'!T12</f>
        <v>0</v>
      </c>
      <c r="AG11" s="355">
        <f>+'4. SUBAWARDS'!U12</f>
        <v>0</v>
      </c>
      <c r="AH11" s="355">
        <f>+'4. SUBAWARDS'!V12</f>
        <v>0</v>
      </c>
      <c r="AI11" s="355">
        <f>+'4. SUBAWARDS'!W12</f>
        <v>0</v>
      </c>
      <c r="AJ11" s="355">
        <f>+'4. SUBAWARDS'!X12</f>
        <v>0</v>
      </c>
      <c r="AK11" s="355">
        <f>+'4. SUBAWARDS'!Y12</f>
        <v>0</v>
      </c>
      <c r="AL11" s="355">
        <f>+'4. SUBAWARDS'!Z12</f>
        <v>0</v>
      </c>
      <c r="AM11" s="355">
        <f>+'4. SUBAWARDS'!AA12</f>
        <v>0</v>
      </c>
      <c r="AN11" s="355">
        <f>+'4. SUBAWARDS'!AB12</f>
        <v>0</v>
      </c>
      <c r="AO11" s="355">
        <f>+'4. SUBAWARDS'!AC12</f>
        <v>0</v>
      </c>
      <c r="AP11" s="355">
        <f>+'4. SUBAWARDS'!AD12</f>
        <v>0</v>
      </c>
      <c r="AQ11" s="355">
        <f>+'4. SUBAWARDS'!AE12</f>
        <v>0</v>
      </c>
      <c r="AR11" s="355">
        <f>+'4. SUBAWARDS'!AF12</f>
        <v>0</v>
      </c>
      <c r="AS11" s="355">
        <f>+'4. SUBAWARDS'!AG12</f>
        <v>0</v>
      </c>
      <c r="AT11" s="355">
        <f>SUM(AC11:AS11)</f>
        <v>0</v>
      </c>
    </row>
    <row r="12" spans="1:46" s="86" customFormat="1" ht="15">
      <c r="A12" s="86" t="s">
        <v>211</v>
      </c>
      <c r="B12" s="80" t="s">
        <v>81</v>
      </c>
      <c r="C12" s="80" t="s">
        <v>82</v>
      </c>
      <c r="D12" s="80" t="s">
        <v>83</v>
      </c>
      <c r="E12" s="80" t="s">
        <v>84</v>
      </c>
      <c r="F12" s="80" t="s">
        <v>85</v>
      </c>
      <c r="G12" s="80" t="s">
        <v>86</v>
      </c>
      <c r="H12" s="80" t="s">
        <v>87</v>
      </c>
      <c r="I12" s="80" t="s">
        <v>224</v>
      </c>
      <c r="J12" s="80" t="s">
        <v>225</v>
      </c>
      <c r="K12" s="80" t="s">
        <v>226</v>
      </c>
      <c r="L12" s="80" t="s">
        <v>212</v>
      </c>
      <c r="AC12" s="367">
        <f>VLOOKUP('1. SUMMARY'!$C$20,rate,+Sheet1!T21,0)</f>
        <v>0.68</v>
      </c>
      <c r="AD12" s="367">
        <f>VLOOKUP('1. SUMMARY'!$C$20,rate,+Sheet1!U21,0)</f>
        <v>0.68</v>
      </c>
      <c r="AE12" s="367">
        <f>VLOOKUP('1. SUMMARY'!$C$20,rate,+Sheet1!V21,0)</f>
        <v>0.68</v>
      </c>
      <c r="AF12" s="367">
        <f>VLOOKUP('1. SUMMARY'!$C$20,rate,+Sheet1!W21,0)</f>
        <v>0.68</v>
      </c>
      <c r="AG12" s="367">
        <f>VLOOKUP('1. SUMMARY'!$C$20,rate,+Sheet1!X21,0)</f>
        <v>0.68</v>
      </c>
      <c r="AH12" s="367">
        <f>VLOOKUP('1. SUMMARY'!$C$20,rate,+Sheet1!Y21,0)</f>
        <v>0.68</v>
      </c>
      <c r="AI12" s="367">
        <f>VLOOKUP('1. SUMMARY'!$C$20,rate,+Sheet1!Z21,0)</f>
        <v>0.68</v>
      </c>
      <c r="AJ12" s="367">
        <f>VLOOKUP('1. SUMMARY'!$C$20,rate,+Sheet1!AA21,0)</f>
        <v>0.68</v>
      </c>
      <c r="AK12" s="367">
        <f>VLOOKUP('1. SUMMARY'!$C$20,rate,+Sheet1!AB21,0)</f>
        <v>0.68</v>
      </c>
      <c r="AL12" s="367">
        <f>VLOOKUP('1. SUMMARY'!$C$20,rate,+Sheet1!AC21,0)</f>
        <v>0.68</v>
      </c>
      <c r="AM12" s="367">
        <f>VLOOKUP('1. SUMMARY'!$C$20,rate,+Sheet1!AD21,0)</f>
        <v>0.68</v>
      </c>
      <c r="AN12" s="367">
        <f>VLOOKUP('1. SUMMARY'!$C$20,rate,+Sheet1!AE21,0)</f>
        <v>0.68</v>
      </c>
      <c r="AO12" s="367">
        <f>VLOOKUP('1. SUMMARY'!$C$20,rate,+Sheet1!AF21,0)</f>
        <v>0.68</v>
      </c>
      <c r="AP12" s="367">
        <f>VLOOKUP('1. SUMMARY'!$C$20,rate,+Sheet1!AG21,0)</f>
        <v>0.68</v>
      </c>
      <c r="AQ12" s="367">
        <f>VLOOKUP('1. SUMMARY'!$C$20,rate,+Sheet1!AH21,0)</f>
        <v>0.68</v>
      </c>
      <c r="AR12" s="367">
        <f>VLOOKUP('1. SUMMARY'!$C$20,rate,+Sheet1!AI21,0)</f>
        <v>0.68</v>
      </c>
      <c r="AS12" s="367">
        <f>VLOOKUP('1. SUMMARY'!$C$20,rate,+Sheet1!AJ21,0)</f>
        <v>0.68</v>
      </c>
      <c r="AT12" s="358"/>
    </row>
    <row r="13" spans="1:46" s="86" customFormat="1" ht="15">
      <c r="A13" s="172"/>
      <c r="B13" s="176">
        <f>+'1. SUMMARY'!C17</f>
        <v>0</v>
      </c>
      <c r="C13" s="176" t="str">
        <f>IF(+B14+1&gt;'1. SUMMARY'!$C$18,"No "&amp;C12,+B14+1)</f>
        <v>No Year 2</v>
      </c>
      <c r="D13" s="176" t="str">
        <f>IF(C13="No "&amp;C12,"No "&amp;D12,IF(+C14+1&gt;'1. SUMMARY'!$C$18,"No "&amp;D12,+C14+1))</f>
        <v>No Year 3</v>
      </c>
      <c r="E13" s="176" t="str">
        <f>IF(D13="No "&amp;D12,"No "&amp;E12,IF(+D14+1&gt;'1. SUMMARY'!$C$18,"No "&amp;E12,+D14+1))</f>
        <v>No Year 4</v>
      </c>
      <c r="F13" s="176" t="str">
        <f>IF(E13="No "&amp;E12,"No "&amp;F12,IF(+E14+1&gt;'1. SUMMARY'!$C$18,"No "&amp;F12,+E14+1))</f>
        <v>No Year 5</v>
      </c>
      <c r="G13" s="176" t="str">
        <f>'5. CUMULATIVE BUDGET'!L11</f>
        <v>No Year 6</v>
      </c>
      <c r="H13" s="176" t="str">
        <f>'5. CUMULATIVE BUDGET'!N11</f>
        <v>No Year 7</v>
      </c>
      <c r="I13" s="176" t="str">
        <f>'5. CUMULATIVE BUDGET'!P11</f>
        <v>No Year 8</v>
      </c>
      <c r="J13" s="176" t="str">
        <f>'5. CUMULATIVE BUDGET'!R11</f>
        <v>No Year 9</v>
      </c>
      <c r="K13" s="176" t="str">
        <f>'5. CUMULATIVE BUDGET'!T11</f>
        <v>No Year 10</v>
      </c>
      <c r="L13" s="177"/>
      <c r="M13" s="177"/>
      <c r="N13" s="177"/>
      <c r="O13" s="177"/>
      <c r="P13" s="177"/>
      <c r="Q13" s="177"/>
      <c r="AC13" s="360">
        <f>IF(AC11=0,0,(($C$21/$AT$11)*AC11)*VLOOKUP('1. SUMMARY'!$C$20,rate,+Sheet1!T21,0))</f>
        <v>0</v>
      </c>
      <c r="AD13" s="360">
        <f>IF(AD11=0,0,(($C$21/$AT$11)*AD11)*VLOOKUP('1. SUMMARY'!$C$20,rate,+Sheet1!U21,0))</f>
        <v>0</v>
      </c>
      <c r="AE13" s="360">
        <f>IF(AE11=0,0,(($C$21/$AT$11)*AE11)*VLOOKUP('1. SUMMARY'!$C$20,rate,+Sheet1!V21,0))</f>
        <v>0</v>
      </c>
      <c r="AF13" s="360">
        <f>IF(AF11=0,0,(($C$21/$AT$11)*AF11)*VLOOKUP('1. SUMMARY'!$C$20,rate,+Sheet1!W21,0))</f>
        <v>0</v>
      </c>
      <c r="AG13" s="360">
        <f>IF(AG11=0,0,(($C$21/$AT$11)*AG11)*VLOOKUP('1. SUMMARY'!$C$20,rate,+Sheet1!X21,0))</f>
        <v>0</v>
      </c>
      <c r="AH13" s="360">
        <f>IF(AH11=0,0,(($C$21/$AT$11)*AH11)*VLOOKUP('1. SUMMARY'!$C$20,rate,+Sheet1!Y21,0))</f>
        <v>0</v>
      </c>
      <c r="AI13" s="360">
        <f>IF(AI11=0,0,(($C$21/$AT$11)*AI11)*VLOOKUP('1. SUMMARY'!$C$20,rate,+Sheet1!Z21,0))</f>
        <v>0</v>
      </c>
      <c r="AJ13" s="360">
        <f>IF(AJ11=0,0,(($C$21/$AT$11)*AJ11)*VLOOKUP('1. SUMMARY'!$C$20,rate,+Sheet1!AA21,0))</f>
        <v>0</v>
      </c>
      <c r="AK13" s="360">
        <f>IF(AK11=0,0,(($C$21/$AT$11)*AK11)*VLOOKUP('1. SUMMARY'!$C$20,rate,+Sheet1!AB21,0))</f>
        <v>0</v>
      </c>
      <c r="AL13" s="360">
        <f>IF(AL11=0,0,(($C$21/$AT$11)*AL11)*VLOOKUP('1. SUMMARY'!$C$20,rate,+Sheet1!AC21,0))</f>
        <v>0</v>
      </c>
      <c r="AM13" s="360">
        <f>IF(AM11=0,0,(($C$21/$AT$11)*AM11)*VLOOKUP('1. SUMMARY'!$C$20,rate,+Sheet1!AD21,0))</f>
        <v>0</v>
      </c>
      <c r="AN13" s="360">
        <f>IF(AN11=0,0,(($C$21/$AT$11)*AN11)*VLOOKUP('1. SUMMARY'!$C$20,rate,+Sheet1!AE21,0))</f>
        <v>0</v>
      </c>
      <c r="AO13" s="360">
        <f>IF(AO11=0,0,(($C$21/$AT$11)*AO11)*VLOOKUP('1. SUMMARY'!$C$20,rate,+Sheet1!AF21,0))</f>
        <v>0</v>
      </c>
      <c r="AP13" s="360">
        <f>IF(AP11=0,0,(($C$21/$AT$11)*AP11)*VLOOKUP('1. SUMMARY'!$C$20,rate,+Sheet1!AG21,0))</f>
        <v>0</v>
      </c>
      <c r="AQ13" s="360">
        <f>IF(AQ11=0,0,(($C$21/$AT$11)*AQ11)*VLOOKUP('1. SUMMARY'!$C$20,rate,+Sheet1!AH21,0))</f>
        <v>0</v>
      </c>
      <c r="AR13" s="360">
        <f>IF(AR11=0,0,(($C$21/$AT$11)*AR11)*VLOOKUP('1. SUMMARY'!$C$20,rate,+Sheet1!AI21,0))</f>
        <v>0</v>
      </c>
      <c r="AS13" s="360">
        <f>IF(AS11=0,0,(($C$21/$AT$11)*AS11)*VLOOKUP('1. SUMMARY'!$C$20,rate,+Sheet1!AJ21,0))</f>
        <v>0</v>
      </c>
      <c r="AT13" s="361">
        <f>SUM(AC13:AS13)</f>
        <v>0</v>
      </c>
    </row>
    <row r="14" spans="1:46" s="86" customFormat="1" ht="16" thickBot="1">
      <c r="B14" s="178">
        <f>IF((DATE(YEAR(B13), MONTH(B13)+12, DAY(B13)-1))&lt;=('1. SUMMARY'!$C$18),DATE(YEAR(B13), MONTH(B13)+12, DAY(B13)-1),'1. SUMMARY'!$C$18)</f>
        <v>0</v>
      </c>
      <c r="C14" s="178" t="str">
        <f>IF(C13="No "&amp;C12,"No "&amp;C12,IF(B14='1. SUMMARY'!C21,"a",IF((DATE(YEAR(C13),MONTH(C13)+12,DAY(C13)-1))&lt;=('1. SUMMARY'!$C$18),DATE(YEAR(C13),MONTH(C13)+12,DAY(C13)-1),'1. SUMMARY'!$C$18)))</f>
        <v>No Year 2</v>
      </c>
      <c r="D14" s="178" t="str">
        <f>IF(D13="No "&amp;D12,"No "&amp;D12,IF(C14='1. SUMMARY'!E40,"a",IF((DATE(YEAR(D13),MONTH(D13)+12,DAY(D13)-1))&lt;=('1. SUMMARY'!$C$18),DATE(YEAR(D13),MONTH(D13)+12,DAY(D13)-1),'1. SUMMARY'!$C$18)))</f>
        <v>No Year 3</v>
      </c>
      <c r="E14" s="178" t="str">
        <f>IF(E13="No "&amp;E12,"No "&amp;E12,IF(D14='1. SUMMARY'!F40,"a",IF((DATE(YEAR(E13),MONTH(E13)+12,DAY(E13)-1))&lt;=('1. SUMMARY'!$C$18),DATE(YEAR(E13),MONTH(E13)+12,DAY(E13)-1),'1. SUMMARY'!$C$18)))</f>
        <v>No Year 4</v>
      </c>
      <c r="F14" s="178" t="str">
        <f>IF(F13="No "&amp;F12,"No "&amp;F12,IF(E14='1. SUMMARY'!G40,"a",IF((DATE(YEAR(F13),MONTH(F13)+12,DAY(F13)-1))&lt;=('1. SUMMARY'!$C$18),DATE(YEAR(F13),MONTH(F13)+12,DAY(F13)-1),'1. SUMMARY'!$C$18)))</f>
        <v>No Year 5</v>
      </c>
      <c r="G14" s="178" t="str">
        <f>'5. CUMULATIVE BUDGET'!L12</f>
        <v>No Year 6</v>
      </c>
      <c r="H14" s="178" t="str">
        <f>'5. CUMULATIVE BUDGET'!N12</f>
        <v>No Year 7</v>
      </c>
      <c r="I14" s="178" t="str">
        <f>'5. CUMULATIVE BUDGET'!P12</f>
        <v>No Year 8</v>
      </c>
      <c r="J14" s="178" t="str">
        <f>'5. CUMULATIVE BUDGET'!R12</f>
        <v>No Year 9</v>
      </c>
      <c r="K14" s="178" t="str">
        <f>'5. CUMULATIVE BUDGET'!T12</f>
        <v>No Year 10</v>
      </c>
      <c r="L14" s="177"/>
      <c r="M14" s="177"/>
      <c r="N14" s="177"/>
      <c r="O14" s="177"/>
      <c r="P14" s="177"/>
      <c r="Q14" s="177"/>
      <c r="V14" s="368"/>
      <c r="W14" s="368"/>
      <c r="X14" s="368"/>
      <c r="Y14" s="368"/>
      <c r="Z14" s="368"/>
      <c r="AC14" s="148" t="e">
        <f>+($C$21/$AT$11)*AC11</f>
        <v>#DIV/0!</v>
      </c>
      <c r="AD14" s="148" t="e">
        <f t="shared" ref="AD14:AS14" si="1">+($C$21/$AT$11)*AD11</f>
        <v>#DIV/0!</v>
      </c>
      <c r="AE14" s="148" t="e">
        <f t="shared" si="1"/>
        <v>#DIV/0!</v>
      </c>
      <c r="AF14" s="148" t="e">
        <f t="shared" si="1"/>
        <v>#DIV/0!</v>
      </c>
      <c r="AG14" s="148" t="e">
        <f t="shared" si="1"/>
        <v>#DIV/0!</v>
      </c>
      <c r="AH14" s="148" t="e">
        <f t="shared" si="1"/>
        <v>#DIV/0!</v>
      </c>
      <c r="AI14" s="148" t="e">
        <f t="shared" si="1"/>
        <v>#DIV/0!</v>
      </c>
      <c r="AJ14" s="148" t="e">
        <f t="shared" si="1"/>
        <v>#DIV/0!</v>
      </c>
      <c r="AK14" s="148" t="e">
        <f t="shared" si="1"/>
        <v>#DIV/0!</v>
      </c>
      <c r="AL14" s="148" t="e">
        <f t="shared" si="1"/>
        <v>#DIV/0!</v>
      </c>
      <c r="AM14" s="148" t="e">
        <f t="shared" si="1"/>
        <v>#DIV/0!</v>
      </c>
      <c r="AN14" s="148" t="e">
        <f t="shared" si="1"/>
        <v>#DIV/0!</v>
      </c>
      <c r="AO14" s="148" t="e">
        <f t="shared" si="1"/>
        <v>#DIV/0!</v>
      </c>
      <c r="AP14" s="148" t="e">
        <f t="shared" si="1"/>
        <v>#DIV/0!</v>
      </c>
      <c r="AQ14" s="148" t="e">
        <f t="shared" si="1"/>
        <v>#DIV/0!</v>
      </c>
      <c r="AR14" s="148" t="e">
        <f t="shared" si="1"/>
        <v>#DIV/0!</v>
      </c>
      <c r="AS14" s="148" t="e">
        <f t="shared" si="1"/>
        <v>#DIV/0!</v>
      </c>
      <c r="AT14" s="148"/>
    </row>
    <row r="15" spans="1:46" s="77" customFormat="1" ht="16" thickTop="1">
      <c r="A15" s="369" t="s">
        <v>213</v>
      </c>
      <c r="B15" s="442">
        <f>+'5. CUMULATIVE BUDGET'!B41-'6. Modular Budget'!B18</f>
        <v>0</v>
      </c>
      <c r="C15" s="443">
        <f>IF($C$13="No YEAR 2",0,'5. CUMULATIVE BUDGET'!D41-'6. Modular Budget'!C18)</f>
        <v>0</v>
      </c>
      <c r="D15" s="444">
        <f>IF($D$13="No YEAR 3",0,'5. CUMULATIVE BUDGET'!F41-'6. Modular Budget'!D18)</f>
        <v>0</v>
      </c>
      <c r="E15" s="443">
        <f>IF($E$13="No YEAR 4",0,'5. CUMULATIVE BUDGET'!H41-'6. Modular Budget'!E18)</f>
        <v>0</v>
      </c>
      <c r="F15" s="444">
        <f>IF($F$13="No YEAR 5",0,'5. CUMULATIVE BUDGET'!J41-'6. Modular Budget'!F18)</f>
        <v>0</v>
      </c>
      <c r="G15" s="443">
        <f>IF($G$13="No YEAR 6",0,'5. CUMULATIVE BUDGET'!L41-'6. Modular Budget'!G18)</f>
        <v>0</v>
      </c>
      <c r="H15" s="443">
        <f>IF(H$13="No YEAR 7",0,'5. CUMULATIVE BUDGET'!N41-'6. Modular Budget'!H18)</f>
        <v>0</v>
      </c>
      <c r="I15" s="443">
        <f>IF(I$13="No YEAR 8",0,'5. CUMULATIVE BUDGET'!P41-'6. Modular Budget'!I18)</f>
        <v>0</v>
      </c>
      <c r="J15" s="443">
        <f>IF(J$13="No YEAR 9",0,'5. CUMULATIVE BUDGET'!R41-'6. Modular Budget'!J18)</f>
        <v>0</v>
      </c>
      <c r="K15" s="443">
        <f>IF(K$13="No YEAR 10",0,'5. CUMULATIVE BUDGET'!T41-'6. Modular Budget'!K18)</f>
        <v>0</v>
      </c>
      <c r="L15" s="370">
        <f>SUM(B15:K15)</f>
        <v>0</v>
      </c>
      <c r="V15" s="371">
        <v>25000</v>
      </c>
      <c r="W15" s="371">
        <v>25000</v>
      </c>
      <c r="X15" s="371">
        <v>25000</v>
      </c>
      <c r="Y15" s="371">
        <v>25000</v>
      </c>
      <c r="Z15" s="371">
        <v>25000</v>
      </c>
      <c r="AC15" s="354">
        <f>Sheet1!$T$8</f>
        <v>44105</v>
      </c>
      <c r="AD15" s="354">
        <f>Sheet1!$U$8</f>
        <v>44470</v>
      </c>
      <c r="AE15" s="354">
        <f>Sheet1!$V$8</f>
        <v>44835</v>
      </c>
      <c r="AF15" s="354">
        <f>Sheet1!$W$8</f>
        <v>45200</v>
      </c>
      <c r="AG15" s="354">
        <f>Sheet1!$X$8</f>
        <v>45566</v>
      </c>
      <c r="AH15" s="354">
        <f>Sheet1!$Y$8</f>
        <v>45931</v>
      </c>
      <c r="AI15" s="354">
        <f>Sheet1!$Z$8</f>
        <v>46296</v>
      </c>
      <c r="AJ15" s="354">
        <f>Sheet1!$AA$8</f>
        <v>46661</v>
      </c>
      <c r="AK15" s="354">
        <f>+Sheet1!AB$8</f>
        <v>47027</v>
      </c>
      <c r="AL15" s="354">
        <f>+Sheet1!AC$8</f>
        <v>47392</v>
      </c>
      <c r="AM15" s="354">
        <f>+Sheet1!AD$8</f>
        <v>47757</v>
      </c>
      <c r="AN15" s="354">
        <f>+Sheet1!AE$8</f>
        <v>48122</v>
      </c>
      <c r="AO15" s="354">
        <f>+Sheet1!AF$8</f>
        <v>48488</v>
      </c>
      <c r="AP15" s="354">
        <f>+Sheet1!AG$8</f>
        <v>48853</v>
      </c>
      <c r="AQ15" s="354">
        <f>+Sheet1!AH$8</f>
        <v>49218</v>
      </c>
      <c r="AR15" s="354">
        <f>+Sheet1!AI$8</f>
        <v>49583</v>
      </c>
      <c r="AS15" s="354">
        <f>+Sheet1!AJ$8</f>
        <v>49949</v>
      </c>
      <c r="AT15" s="355"/>
    </row>
    <row r="16" spans="1:46" s="77" customFormat="1" ht="15">
      <c r="A16" s="372" t="s">
        <v>214</v>
      </c>
      <c r="B16" s="445"/>
      <c r="C16" s="446"/>
      <c r="D16" s="447"/>
      <c r="E16" s="446"/>
      <c r="F16" s="447"/>
      <c r="G16" s="446"/>
      <c r="H16" s="446"/>
      <c r="I16" s="446"/>
      <c r="J16" s="446"/>
      <c r="K16" s="446"/>
      <c r="L16" s="373"/>
      <c r="Q16" s="374">
        <v>25000</v>
      </c>
      <c r="R16" s="90">
        <f t="shared" ref="R16:R21" si="2">IF(S16&lt;+T16,S16,T16)</f>
        <v>25000</v>
      </c>
      <c r="S16" s="375">
        <f>+IF(B15&lt;=25000,25000,IF(B15&lt;=50000,50000,IF(B15&lt;=75000,75000,IF(B15&lt;=100000,100000,IF(B15&lt;=125000,125000,IF(B15&lt;=150000,150000,"r"))))))</f>
        <v>25000</v>
      </c>
      <c r="T16" s="90">
        <f>+IF(B15&lt;=175000,175000,IF(B15&lt;=200000,200000,IF(B15&lt;=225000,225000,IF(B15&lt;=250000,250000,250000))))</f>
        <v>175000</v>
      </c>
      <c r="V16" s="371">
        <v>50000</v>
      </c>
      <c r="W16" s="371">
        <v>50000</v>
      </c>
      <c r="X16" s="371">
        <v>50000</v>
      </c>
      <c r="Y16" s="371">
        <v>50000</v>
      </c>
      <c r="Z16" s="371">
        <v>50000</v>
      </c>
      <c r="AC16" s="354">
        <f>Sheet1!$T$9</f>
        <v>44469</v>
      </c>
      <c r="AD16" s="354">
        <f>Sheet1!$U$9</f>
        <v>44834</v>
      </c>
      <c r="AE16" s="354">
        <f>Sheet1!$V$9</f>
        <v>45199</v>
      </c>
      <c r="AF16" s="354">
        <f>Sheet1!$W$9</f>
        <v>45565</v>
      </c>
      <c r="AG16" s="354">
        <f>Sheet1!$X$9</f>
        <v>45930</v>
      </c>
      <c r="AH16" s="354">
        <f>Sheet1!$Y$9</f>
        <v>46295</v>
      </c>
      <c r="AI16" s="354">
        <f>Sheet1!$Z$9</f>
        <v>46660</v>
      </c>
      <c r="AJ16" s="354">
        <f>Sheet1!$AA$9</f>
        <v>47026</v>
      </c>
      <c r="AK16" s="354">
        <f>+Sheet1!AB$9</f>
        <v>47391</v>
      </c>
      <c r="AL16" s="354">
        <f>+Sheet1!AC$9</f>
        <v>47756</v>
      </c>
      <c r="AM16" s="354">
        <f>+Sheet1!AD$9</f>
        <v>48121</v>
      </c>
      <c r="AN16" s="354">
        <f>+Sheet1!AE$9</f>
        <v>48487</v>
      </c>
      <c r="AO16" s="354">
        <f>+Sheet1!AF$9</f>
        <v>48852</v>
      </c>
      <c r="AP16" s="354">
        <f>+Sheet1!AG$9</f>
        <v>49217</v>
      </c>
      <c r="AQ16" s="354">
        <f>+Sheet1!AH$9</f>
        <v>49582</v>
      </c>
      <c r="AR16" s="354">
        <f>+Sheet1!AI$9</f>
        <v>49948</v>
      </c>
      <c r="AS16" s="354">
        <f>+Sheet1!AJ$9</f>
        <v>50313</v>
      </c>
      <c r="AT16" s="355"/>
    </row>
    <row r="17" spans="1:46" s="77" customFormat="1" ht="15">
      <c r="A17" s="376" t="s">
        <v>215</v>
      </c>
      <c r="B17" s="448">
        <f>IF(B16=0,+R16,B16)</f>
        <v>25000</v>
      </c>
      <c r="C17" s="449">
        <f>IF($C$13="No YEAR 2",0,IF(C16=0,+R17,C16))</f>
        <v>0</v>
      </c>
      <c r="D17" s="450">
        <f>IF($D$13="No YEAR 3",0,IF(D16=0,+R18,D16))</f>
        <v>0</v>
      </c>
      <c r="E17" s="449">
        <f>IF($E$13="No YEAR 4",0,IF(E16=0,+R19,E16))</f>
        <v>0</v>
      </c>
      <c r="F17" s="450">
        <f>IF($F$13="No YEAR 5",0,IF(F16=0,+R20,F16))</f>
        <v>0</v>
      </c>
      <c r="G17" s="449">
        <f>IF($G$13="No YEAR 6",0,IF(G16=0,+R21,G16))</f>
        <v>0</v>
      </c>
      <c r="H17" s="449">
        <f>IF(H$13="No YEAR 7",0,IF(H16=0,+R22,H16))</f>
        <v>0</v>
      </c>
      <c r="I17" s="449">
        <f>IF(I$13="No YEAR 8",0,IF(I16=0,R23,I16))</f>
        <v>0</v>
      </c>
      <c r="J17" s="449">
        <f>IF(J$13="No YEAR 9",0,IF(J16=0,R24,J16))</f>
        <v>0</v>
      </c>
      <c r="K17" s="449">
        <f>IF(K$13="No YEAR 10",0,IF(K16=0,R25,K16))</f>
        <v>0</v>
      </c>
      <c r="L17" s="373">
        <f t="shared" ref="L17:L23" si="3">SUM(B17:K17)</f>
        <v>25000</v>
      </c>
      <c r="Q17" s="374">
        <v>50000</v>
      </c>
      <c r="R17" s="90">
        <f t="shared" si="2"/>
        <v>25000</v>
      </c>
      <c r="S17" s="375">
        <f>+IF(C15&lt;=25000,25000,IF(C15&lt;=50000,50000,IF(C15&lt;=75000,75000,IF(C15&lt;=100000,100000,IF(C15&lt;=125000,125000,IF(C15&lt;=150000,150000,"r"))))))</f>
        <v>25000</v>
      </c>
      <c r="T17" s="90">
        <f>+IF(C15&lt;=175000,175000,IF(C15&lt;=200000,200000,IF(C15&lt;=225000,225000,IF(C15&lt;=250000,250000,250000))))</f>
        <v>175000</v>
      </c>
      <c r="V17" s="371">
        <f t="shared" ref="V17:Z24" si="4">+V16+25000</f>
        <v>75000</v>
      </c>
      <c r="W17" s="371">
        <f t="shared" si="4"/>
        <v>75000</v>
      </c>
      <c r="X17" s="371">
        <f t="shared" si="4"/>
        <v>75000</v>
      </c>
      <c r="Y17" s="371">
        <f t="shared" si="4"/>
        <v>75000</v>
      </c>
      <c r="Z17" s="371">
        <f t="shared" si="4"/>
        <v>75000</v>
      </c>
      <c r="AC17" s="355">
        <f>+'4. SUBAWARDS'!Q17</f>
        <v>0</v>
      </c>
      <c r="AD17" s="355">
        <f>+'4. SUBAWARDS'!R17</f>
        <v>0</v>
      </c>
      <c r="AE17" s="355">
        <f>+'4. SUBAWARDS'!S17</f>
        <v>0</v>
      </c>
      <c r="AF17" s="355">
        <f>+'4. SUBAWARDS'!T17</f>
        <v>0</v>
      </c>
      <c r="AG17" s="355">
        <f>+'4. SUBAWARDS'!U17</f>
        <v>0</v>
      </c>
      <c r="AH17" s="355">
        <f>+'4. SUBAWARDS'!V17</f>
        <v>0</v>
      </c>
      <c r="AI17" s="355">
        <f>+'4. SUBAWARDS'!W17</f>
        <v>0</v>
      </c>
      <c r="AJ17" s="355">
        <f>+'4. SUBAWARDS'!X17</f>
        <v>0</v>
      </c>
      <c r="AK17" s="355">
        <f>+'4. SUBAWARDS'!Y17</f>
        <v>0</v>
      </c>
      <c r="AL17" s="355">
        <f>+'4. SUBAWARDS'!Z17</f>
        <v>0</v>
      </c>
      <c r="AM17" s="355">
        <f>+'4. SUBAWARDS'!AA17</f>
        <v>0</v>
      </c>
      <c r="AN17" s="355">
        <f>+'4. SUBAWARDS'!AB17</f>
        <v>0</v>
      </c>
      <c r="AO17" s="355">
        <f>+'4. SUBAWARDS'!AC17</f>
        <v>0</v>
      </c>
      <c r="AP17" s="355">
        <f>+'4. SUBAWARDS'!AD17</f>
        <v>0</v>
      </c>
      <c r="AQ17" s="355">
        <f>+'4. SUBAWARDS'!AE17</f>
        <v>0</v>
      </c>
      <c r="AR17" s="355">
        <f>+'4. SUBAWARDS'!AF17</f>
        <v>0</v>
      </c>
      <c r="AS17" s="355">
        <f>+'4. SUBAWARDS'!AG17</f>
        <v>0</v>
      </c>
      <c r="AT17" s="355">
        <f>SUM(AC17:AS17)</f>
        <v>0</v>
      </c>
    </row>
    <row r="18" spans="1:46" s="77" customFormat="1" ht="15">
      <c r="A18" s="377" t="s">
        <v>216</v>
      </c>
      <c r="B18" s="448">
        <f>'4. SUBAWARDS'!B269</f>
        <v>0</v>
      </c>
      <c r="C18" s="449">
        <f>IF($C$13="No YEAR 2",0,'4. SUBAWARDS'!C269)</f>
        <v>0</v>
      </c>
      <c r="D18" s="450">
        <f>IF($D$13="No YEAR 3",0,'4. SUBAWARDS'!D269)</f>
        <v>0</v>
      </c>
      <c r="E18" s="449">
        <f>IF($E$13="No YEAR 4",0,'4. SUBAWARDS'!E269)</f>
        <v>0</v>
      </c>
      <c r="F18" s="450">
        <f>IF($F$13="No YEAR 5",0,'4. SUBAWARDS'!F269)</f>
        <v>0</v>
      </c>
      <c r="G18" s="449">
        <f>IF(G$13="No YEAR 6",0,'4. SUBAWARDS'!G269)</f>
        <v>0</v>
      </c>
      <c r="H18" s="449">
        <f>IF(H$13="No YEAR 7",0,'4. SUBAWARDS'!H269)</f>
        <v>0</v>
      </c>
      <c r="I18" s="449">
        <f>IF(I$13="No YEAR 8",0,'4. SUBAWARDS'!I269)</f>
        <v>0</v>
      </c>
      <c r="J18" s="449">
        <f>IF(J$13="No YEAR 9",0,'4. SUBAWARDS'!J269)</f>
        <v>0</v>
      </c>
      <c r="K18" s="449">
        <f>IF(K$13="No YEAR 10",0,'4. SUBAWARDS'!K269)</f>
        <v>0</v>
      </c>
      <c r="L18" s="373">
        <f t="shared" si="3"/>
        <v>0</v>
      </c>
      <c r="Q18" s="374">
        <f t="shared" ref="Q18:Q25" si="5">+Q17+25000</f>
        <v>75000</v>
      </c>
      <c r="R18" s="90">
        <f t="shared" si="2"/>
        <v>25000</v>
      </c>
      <c r="S18" s="375">
        <f>+IF(D15&lt;=25000,25000,IF(D15&lt;=50000,50000,IF(D15&lt;=75000,75000,IF(D15&lt;=100000,100000,IF(D15&lt;=125000,125000,IF(D15&lt;=150000,150000,"r"))))))</f>
        <v>25000</v>
      </c>
      <c r="T18" s="90">
        <f>+IF(D15&lt;=175000,175000,IF(D15&lt;=200000,200000,IF(D15&lt;=225000,225000,IF(D15&lt;=250000,250000,250000))))</f>
        <v>175000</v>
      </c>
      <c r="V18" s="371">
        <f t="shared" si="4"/>
        <v>100000</v>
      </c>
      <c r="W18" s="371">
        <f t="shared" si="4"/>
        <v>100000</v>
      </c>
      <c r="X18" s="371">
        <f t="shared" si="4"/>
        <v>100000</v>
      </c>
      <c r="Y18" s="371">
        <f t="shared" si="4"/>
        <v>100000</v>
      </c>
      <c r="Z18" s="371">
        <f t="shared" si="4"/>
        <v>100000</v>
      </c>
      <c r="AB18" s="77">
        <v>3</v>
      </c>
      <c r="AC18" s="367">
        <f>VLOOKUP('1. SUMMARY'!$C$20,rate,Sheet1!T21,0)</f>
        <v>0.68</v>
      </c>
      <c r="AD18" s="367">
        <f>VLOOKUP('1. SUMMARY'!$C$20,rate,Sheet1!U21,0)</f>
        <v>0.68</v>
      </c>
      <c r="AE18" s="367">
        <f>VLOOKUP('1. SUMMARY'!$C$20,rate,Sheet1!V21,0)</f>
        <v>0.68</v>
      </c>
      <c r="AF18" s="367">
        <f>VLOOKUP('1. SUMMARY'!$C$20,rate,Sheet1!W21,0)</f>
        <v>0.68</v>
      </c>
      <c r="AG18" s="367">
        <f>VLOOKUP('1. SUMMARY'!$C$20,rate,Sheet1!X21,0)</f>
        <v>0.68</v>
      </c>
      <c r="AH18" s="367">
        <f>VLOOKUP('1. SUMMARY'!$C$20,rate,Sheet1!Y21,0)</f>
        <v>0.68</v>
      </c>
      <c r="AI18" s="367">
        <f>VLOOKUP('1. SUMMARY'!$C$20,rate,Sheet1!Z21,0)</f>
        <v>0.68</v>
      </c>
      <c r="AJ18" s="367">
        <f>VLOOKUP('1. SUMMARY'!$C$20,rate,Sheet1!AA21,0)</f>
        <v>0.68</v>
      </c>
      <c r="AK18" s="367">
        <f>VLOOKUP('1. SUMMARY'!$C$20,rate,Sheet1!AB21,0)</f>
        <v>0.68</v>
      </c>
      <c r="AL18" s="367">
        <f>VLOOKUP('1. SUMMARY'!$C$20,rate,Sheet1!AC21,0)</f>
        <v>0.68</v>
      </c>
      <c r="AM18" s="367">
        <f>VLOOKUP('1. SUMMARY'!$C$20,rate,Sheet1!AD21,0)</f>
        <v>0.68</v>
      </c>
      <c r="AN18" s="367">
        <f>VLOOKUP('1. SUMMARY'!$C$20,rate,Sheet1!AE21,0)</f>
        <v>0.68</v>
      </c>
      <c r="AO18" s="367">
        <f>VLOOKUP('1. SUMMARY'!$C$20,rate,Sheet1!AF21,0)</f>
        <v>0.68</v>
      </c>
      <c r="AP18" s="367">
        <f>VLOOKUP('1. SUMMARY'!$C$20,rate,Sheet1!AG21,0)</f>
        <v>0.68</v>
      </c>
      <c r="AQ18" s="367">
        <f>VLOOKUP('1. SUMMARY'!$C$20,rate,Sheet1!AH21,0)</f>
        <v>0.68</v>
      </c>
      <c r="AR18" s="367">
        <f>VLOOKUP('1. SUMMARY'!$C$20,rate,Sheet1!AI21,0)</f>
        <v>0.68</v>
      </c>
      <c r="AS18" s="367">
        <f>VLOOKUP('1. SUMMARY'!$C$20,rate,Sheet1!AJ21,0)</f>
        <v>0.68</v>
      </c>
      <c r="AT18" s="358"/>
    </row>
    <row r="19" spans="1:46" s="40" customFormat="1" ht="15">
      <c r="A19" s="378" t="s">
        <v>217</v>
      </c>
      <c r="B19" s="448">
        <f>+B17+B18</f>
        <v>25000</v>
      </c>
      <c r="C19" s="449">
        <f>IF($C$13="No YEAR 2",0,+C17+C18)</f>
        <v>0</v>
      </c>
      <c r="D19" s="450">
        <f>IF($D$13="No YEAR 3",0,+D17+D18)</f>
        <v>0</v>
      </c>
      <c r="E19" s="449">
        <f>IF($E$13="No YEAR 4",0,+E17+E18)</f>
        <v>0</v>
      </c>
      <c r="F19" s="450">
        <f>IF($F$13="No YEAR 5",0,+F17+F18)</f>
        <v>0</v>
      </c>
      <c r="G19" s="449">
        <f>IF(G$13="No YEAR 6",0,+G17+G18)</f>
        <v>0</v>
      </c>
      <c r="H19" s="449">
        <f>IF(H$13="No YEAR 7",0,+H17+H18)</f>
        <v>0</v>
      </c>
      <c r="I19" s="449">
        <f>IF(I$13="No YEAR 8",0,+I17+I18)</f>
        <v>0</v>
      </c>
      <c r="J19" s="449">
        <f>IF(J$13="No YEAR 9",0,+J17+J18)</f>
        <v>0</v>
      </c>
      <c r="K19" s="449">
        <f>IF(K$13="No YEAR 10",0,+K17+K18)</f>
        <v>0</v>
      </c>
      <c r="L19" s="373">
        <f t="shared" si="3"/>
        <v>25000</v>
      </c>
      <c r="Q19" s="374">
        <f t="shared" si="5"/>
        <v>100000</v>
      </c>
      <c r="R19" s="90">
        <f t="shared" si="2"/>
        <v>25000</v>
      </c>
      <c r="S19" s="375">
        <f>+IF(E15&lt;=25000,25000,IF(E15&lt;=50000,50000,IF(E15&lt;=75000,75000,IF(E15&lt;=100000,100000,IF(E15&lt;=125000,125000,IF(E15&lt;=150000,150000,"r"))))))</f>
        <v>25000</v>
      </c>
      <c r="T19" s="90">
        <f>+IF(E15&lt;=175000,175000,IF(E15&lt;=200000,200000,IF(E15&lt;=225000,225000,IF(E15&lt;=250000,250000,250000))))</f>
        <v>175000</v>
      </c>
      <c r="V19" s="371">
        <f t="shared" si="4"/>
        <v>125000</v>
      </c>
      <c r="W19" s="371">
        <f t="shared" si="4"/>
        <v>125000</v>
      </c>
      <c r="X19" s="371">
        <f t="shared" si="4"/>
        <v>125000</v>
      </c>
      <c r="Y19" s="371">
        <f t="shared" si="4"/>
        <v>125000</v>
      </c>
      <c r="Z19" s="371">
        <f t="shared" si="4"/>
        <v>125000</v>
      </c>
      <c r="AC19" s="360">
        <f>IF(AC17=0,0,(($D$21/$AT$17)*AC17)*VLOOKUP('1. SUMMARY'!$C$20,rate,Sheet1!T21,0))</f>
        <v>0</v>
      </c>
      <c r="AD19" s="360">
        <f>IF(AD17=0,0,(($D$21/$AT$17)*AD17)*VLOOKUP('1. SUMMARY'!$C$20,rate,Sheet1!U21,0))</f>
        <v>0</v>
      </c>
      <c r="AE19" s="360">
        <f>IF(AE17=0,0,(($D$21/$AT$17)*AE17)*VLOOKUP('1. SUMMARY'!$C$20,rate,Sheet1!V21,0))</f>
        <v>0</v>
      </c>
      <c r="AF19" s="360">
        <f>IF(AF17=0,0,(($D$21/$AT$17)*AF17)*VLOOKUP('1. SUMMARY'!$C$20,rate,Sheet1!W21,0))</f>
        <v>0</v>
      </c>
      <c r="AG19" s="360">
        <f>IF(AG17=0,0,(($D$21/$AT$17)*AG17)*VLOOKUP('1. SUMMARY'!$C$20,rate,Sheet1!X21,0))</f>
        <v>0</v>
      </c>
      <c r="AH19" s="360">
        <f>IF(AH17=0,0,(($D$21/$AT$17)*AH17)*VLOOKUP('1. SUMMARY'!$C$20,rate,Sheet1!Y21,0))</f>
        <v>0</v>
      </c>
      <c r="AI19" s="360">
        <f>IF(AI17=0,0,(($D$21/$AT$17)*AI17)*VLOOKUP('1. SUMMARY'!$C$20,rate,Sheet1!Z21,0))</f>
        <v>0</v>
      </c>
      <c r="AJ19" s="360">
        <f>IF(AJ17=0,0,(($D$21/$AT$17)*AJ17)*VLOOKUP('1. SUMMARY'!$C$20,rate,Sheet1!AA21,0))</f>
        <v>0</v>
      </c>
      <c r="AK19" s="360">
        <f>IF(AK17=0,0,(($D$21/$AT$17)*AK17)*VLOOKUP('1. SUMMARY'!$C$20,rate,Sheet1!AB21,0))</f>
        <v>0</v>
      </c>
      <c r="AL19" s="360">
        <f>IF(AL17=0,0,(($D$21/$AT$17)*AL17)*VLOOKUP('1. SUMMARY'!$C$20,rate,Sheet1!AC21,0))</f>
        <v>0</v>
      </c>
      <c r="AM19" s="360">
        <f>IF(AM17=0,0,(($D$21/$AT$17)*AM17)*VLOOKUP('1. SUMMARY'!$C$20,rate,Sheet1!AD21,0))</f>
        <v>0</v>
      </c>
      <c r="AN19" s="360">
        <f>IF(AN17=0,0,(($D$21/$AT$17)*AN17)*VLOOKUP('1. SUMMARY'!$C$20,rate,Sheet1!AE21,0))</f>
        <v>0</v>
      </c>
      <c r="AO19" s="360">
        <f>IF(AO17=0,0,(($D$21/$AT$17)*AO17)*VLOOKUP('1. SUMMARY'!$C$20,rate,Sheet1!AF21,0))</f>
        <v>0</v>
      </c>
      <c r="AP19" s="360">
        <f>IF(AP17=0,0,(($D$21/$AT$17)*AP17)*VLOOKUP('1. SUMMARY'!$C$20,rate,Sheet1!AG21,0))</f>
        <v>0</v>
      </c>
      <c r="AQ19" s="360">
        <f>IF(AQ17=0,0,(($D$21/$AT$17)*AQ17)*VLOOKUP('1. SUMMARY'!$C$20,rate,Sheet1!AH21,0))</f>
        <v>0</v>
      </c>
      <c r="AR19" s="360">
        <f>IF(AR17=0,0,(($D$21/$AT$17)*AR17)*VLOOKUP('1. SUMMARY'!$C$20,rate,Sheet1!AI21,0))</f>
        <v>0</v>
      </c>
      <c r="AS19" s="360">
        <f>IF(AS17=0,0,(($D$21/$AT$17)*AS17)*VLOOKUP('1. SUMMARY'!$C$20,rate,Sheet1!AJ21,0))</f>
        <v>0</v>
      </c>
      <c r="AT19" s="361">
        <f>SUM(AC19:AS19)</f>
        <v>0</v>
      </c>
    </row>
    <row r="20" spans="1:46" s="40" customFormat="1" ht="15">
      <c r="A20" s="378" t="s">
        <v>218</v>
      </c>
      <c r="B20" s="451">
        <f>'5. CUMULATIVE BUDGET'!B41-'5. CUMULATIVE BUDGET'!B43</f>
        <v>0</v>
      </c>
      <c r="C20" s="452">
        <f>IF($C$13="No YEAR 2",0,'5. CUMULATIVE BUDGET'!D41-'5. CUMULATIVE BUDGET'!D43)</f>
        <v>0</v>
      </c>
      <c r="D20" s="453">
        <f>IF($D$13="No YEAR 3",0,'5. CUMULATIVE BUDGET'!F41-'5. CUMULATIVE BUDGET'!F43)</f>
        <v>0</v>
      </c>
      <c r="E20" s="452">
        <f>IF($E$13="No YEAR 4",0,'5. CUMULATIVE BUDGET'!H41-'5. CUMULATIVE BUDGET'!H43)</f>
        <v>0</v>
      </c>
      <c r="F20" s="453">
        <f>IF($F$13="No YEAR 5",0,'5. CUMULATIVE BUDGET'!J41-'5. CUMULATIVE BUDGET'!J43)</f>
        <v>0</v>
      </c>
      <c r="G20" s="452">
        <f>IF(G$13="No YEAR 6",0,'5. CUMULATIVE BUDGET'!L41-'5. CUMULATIVE BUDGET'!L43)</f>
        <v>0</v>
      </c>
      <c r="H20" s="452">
        <f>IF(H$13="No YEAR 7",0,'5. CUMULATIVE BUDGET'!N41-'5. CUMULATIVE BUDGET'!N43)</f>
        <v>0</v>
      </c>
      <c r="I20" s="452">
        <f>IF(I$13="No YEAR 8",0,'5. CUMULATIVE BUDGET'!P41-'5. CUMULATIVE BUDGET'!P43)</f>
        <v>0</v>
      </c>
      <c r="J20" s="452">
        <f>IF(J$13="No YEAR 9",0,'5. CUMULATIVE BUDGET'!R41-'5. CUMULATIVE BUDGET'!R43)</f>
        <v>0</v>
      </c>
      <c r="K20" s="452">
        <f>IF(K$13="No YEAR 10",0,'5. CUMULATIVE BUDGET'!T41-'5. CUMULATIVE BUDGET'!T43)</f>
        <v>0</v>
      </c>
      <c r="L20" s="379">
        <f t="shared" si="3"/>
        <v>0</v>
      </c>
      <c r="Q20" s="374">
        <f t="shared" si="5"/>
        <v>125000</v>
      </c>
      <c r="R20" s="90">
        <f t="shared" si="2"/>
        <v>25000</v>
      </c>
      <c r="S20" s="375">
        <f>+IF(F15&lt;=25000,25000,IF(F15&lt;=50000,50000,IF(F15&lt;=75000,75000,IF(F15&lt;=100000,100000,IF(F15&lt;=125000,125000,IF(F15&lt;=150000,150000,"r"))))))</f>
        <v>25000</v>
      </c>
      <c r="T20" s="90">
        <f>+IF(F15&lt;=175000,175000,IF(F15&lt;=200000,200000,IF(F15&lt;=225000,225000,IF(F15&lt;=250000,250000,250000))))</f>
        <v>175000</v>
      </c>
      <c r="V20" s="371">
        <f t="shared" si="4"/>
        <v>150000</v>
      </c>
      <c r="W20" s="371">
        <f t="shared" si="4"/>
        <v>150000</v>
      </c>
      <c r="X20" s="371">
        <f t="shared" si="4"/>
        <v>150000</v>
      </c>
      <c r="Y20" s="371">
        <f t="shared" si="4"/>
        <v>150000</v>
      </c>
      <c r="Z20" s="371">
        <f t="shared" si="4"/>
        <v>150000</v>
      </c>
      <c r="AC20" s="148" t="e">
        <f>+($D$21/$AT$17)*AC17</f>
        <v>#DIV/0!</v>
      </c>
      <c r="AD20" s="148" t="e">
        <f t="shared" ref="AD20:AS20" si="6">+($D$21/$AT$17)*AD17</f>
        <v>#DIV/0!</v>
      </c>
      <c r="AE20" s="148" t="e">
        <f t="shared" si="6"/>
        <v>#DIV/0!</v>
      </c>
      <c r="AF20" s="148" t="e">
        <f t="shared" si="6"/>
        <v>#DIV/0!</v>
      </c>
      <c r="AG20" s="148" t="e">
        <f t="shared" si="6"/>
        <v>#DIV/0!</v>
      </c>
      <c r="AH20" s="148" t="e">
        <f t="shared" si="6"/>
        <v>#DIV/0!</v>
      </c>
      <c r="AI20" s="148" t="e">
        <f t="shared" si="6"/>
        <v>#DIV/0!</v>
      </c>
      <c r="AJ20" s="148" t="e">
        <f t="shared" si="6"/>
        <v>#DIV/0!</v>
      </c>
      <c r="AK20" s="148" t="e">
        <f t="shared" si="6"/>
        <v>#DIV/0!</v>
      </c>
      <c r="AL20" s="148" t="e">
        <f t="shared" si="6"/>
        <v>#DIV/0!</v>
      </c>
      <c r="AM20" s="148" t="e">
        <f t="shared" si="6"/>
        <v>#DIV/0!</v>
      </c>
      <c r="AN20" s="148" t="e">
        <f t="shared" si="6"/>
        <v>#DIV/0!</v>
      </c>
      <c r="AO20" s="148" t="e">
        <f t="shared" si="6"/>
        <v>#DIV/0!</v>
      </c>
      <c r="AP20" s="148" t="e">
        <f t="shared" si="6"/>
        <v>#DIV/0!</v>
      </c>
      <c r="AQ20" s="148" t="e">
        <f t="shared" si="6"/>
        <v>#DIV/0!</v>
      </c>
      <c r="AR20" s="148" t="e">
        <f t="shared" si="6"/>
        <v>#DIV/0!</v>
      </c>
      <c r="AS20" s="148" t="e">
        <f t="shared" si="6"/>
        <v>#DIV/0!</v>
      </c>
      <c r="AT20" s="187"/>
    </row>
    <row r="21" spans="1:46" s="40" customFormat="1" ht="16">
      <c r="A21" s="380" t="s">
        <v>219</v>
      </c>
      <c r="B21" s="448">
        <f>+B19-B20</f>
        <v>25000</v>
      </c>
      <c r="C21" s="449">
        <f>IF($C$13="No YEAR 2",0,+C19-C20)</f>
        <v>0</v>
      </c>
      <c r="D21" s="450">
        <f>IF($D$13="No YEAR 3",0,+D19-D20)</f>
        <v>0</v>
      </c>
      <c r="E21" s="449">
        <f>IF($E$13="No YEAR 4",0,+E19-E20)</f>
        <v>0</v>
      </c>
      <c r="F21" s="450">
        <f>IF($F$13="No YEAR 5",0,+F19-F20)</f>
        <v>0</v>
      </c>
      <c r="G21" s="449">
        <f>IF(G$13="No YEAR 6",0,+G19-G20)</f>
        <v>0</v>
      </c>
      <c r="H21" s="449">
        <f>IF(H$13="No YEAR 7",0,+H19-H20)</f>
        <v>0</v>
      </c>
      <c r="I21" s="449">
        <f>IF(I$13="No YEAR 8",0,+I19-I20)</f>
        <v>0</v>
      </c>
      <c r="J21" s="449">
        <f>IF(J$13="No YEAR 9",0,+J19-J20)</f>
        <v>0</v>
      </c>
      <c r="K21" s="449">
        <f>IF(K$13="No YEAR 10",0,+K19-K20)</f>
        <v>0</v>
      </c>
      <c r="L21" s="373">
        <f t="shared" si="3"/>
        <v>25000</v>
      </c>
      <c r="Q21" s="374">
        <f t="shared" si="5"/>
        <v>150000</v>
      </c>
      <c r="R21" s="90">
        <f t="shared" si="2"/>
        <v>25000</v>
      </c>
      <c r="S21" s="375">
        <f>+IF(G15&lt;=25000,25000,IF(G15&lt;=50000,50000,IF(G15&lt;=75000,75000,IF(G15&lt;=100000,100000,IF(G15&lt;=125000,125000,IF(G15&lt;=150000,150000,"r"))))))</f>
        <v>25000</v>
      </c>
      <c r="T21" s="90">
        <f>+IF(G15&lt;=175000,175000,IF(G15&lt;=200000,200000,IF(G15&lt;=225000,225000,IF(G15&lt;=250000,250000,250000))))</f>
        <v>175000</v>
      </c>
      <c r="V21" s="371">
        <f t="shared" si="4"/>
        <v>175000</v>
      </c>
      <c r="W21" s="371">
        <f t="shared" si="4"/>
        <v>175000</v>
      </c>
      <c r="X21" s="371">
        <f t="shared" si="4"/>
        <v>175000</v>
      </c>
      <c r="Y21" s="371">
        <f t="shared" si="4"/>
        <v>175000</v>
      </c>
      <c r="Z21" s="371">
        <f t="shared" si="4"/>
        <v>175000</v>
      </c>
      <c r="AC21" s="354">
        <f>Sheet1!$T$8</f>
        <v>44105</v>
      </c>
      <c r="AD21" s="354">
        <f>Sheet1!$U$8</f>
        <v>44470</v>
      </c>
      <c r="AE21" s="354">
        <f>Sheet1!$V$8</f>
        <v>44835</v>
      </c>
      <c r="AF21" s="354">
        <f>Sheet1!$W$8</f>
        <v>45200</v>
      </c>
      <c r="AG21" s="354">
        <f>Sheet1!$X$8</f>
        <v>45566</v>
      </c>
      <c r="AH21" s="354">
        <f>Sheet1!$Y$8</f>
        <v>45931</v>
      </c>
      <c r="AI21" s="354">
        <f>Sheet1!$Z$8</f>
        <v>46296</v>
      </c>
      <c r="AJ21" s="354">
        <f>Sheet1!$AA$8</f>
        <v>46661</v>
      </c>
      <c r="AK21" s="354">
        <f>+Sheet1!AB$8</f>
        <v>47027</v>
      </c>
      <c r="AL21" s="354">
        <f>+Sheet1!AC$8</f>
        <v>47392</v>
      </c>
      <c r="AM21" s="354">
        <f>+Sheet1!AD$8</f>
        <v>47757</v>
      </c>
      <c r="AN21" s="354">
        <f>+Sheet1!AE$8</f>
        <v>48122</v>
      </c>
      <c r="AO21" s="354">
        <f>+Sheet1!AF$8</f>
        <v>48488</v>
      </c>
      <c r="AP21" s="354">
        <f>+Sheet1!AG$8</f>
        <v>48853</v>
      </c>
      <c r="AQ21" s="354">
        <f>+Sheet1!AH$8</f>
        <v>49218</v>
      </c>
      <c r="AR21" s="354">
        <f>+Sheet1!AI$8</f>
        <v>49583</v>
      </c>
      <c r="AS21" s="354">
        <f>+Sheet1!AJ$8</f>
        <v>49949</v>
      </c>
      <c r="AT21" s="355"/>
    </row>
    <row r="22" spans="1:46" s="382" customFormat="1" ht="15">
      <c r="A22" s="381" t="str">
        <f>"F&amp;A @ "&amp;TEXT('1. SUMMARY'!C20,"00.0%")</f>
        <v>F&amp;A @ OnSite</v>
      </c>
      <c r="B22" s="448">
        <f>+AT6</f>
        <v>17000</v>
      </c>
      <c r="C22" s="449">
        <f>IF($C$13="No YEAR 2",0,+AT13)</f>
        <v>0</v>
      </c>
      <c r="D22" s="450">
        <f>IF($D$13="No YEAR 3",0,+AT19)</f>
        <v>0</v>
      </c>
      <c r="E22" s="449">
        <f>IF($E$13="No YEAR 4",0,+AT25)</f>
        <v>0</v>
      </c>
      <c r="F22" s="450">
        <f>IF($F$13="No YEAR 5",0,+AT31)</f>
        <v>0</v>
      </c>
      <c r="G22" s="449">
        <f>IF(G$13="No YEAR 6",0,AT38)</f>
        <v>0</v>
      </c>
      <c r="H22" s="449">
        <f>IF(H$13="No YEAR 7",0,AT45)</f>
        <v>0</v>
      </c>
      <c r="I22" s="449">
        <f>IF(I$13="No YEAR 8",0,AT51)</f>
        <v>0</v>
      </c>
      <c r="J22" s="449">
        <f>IF(J$13="No YEAR 9",0,AT57)</f>
        <v>0</v>
      </c>
      <c r="K22" s="449">
        <f>IF(K$13="No YEAR 10",0,AT63)</f>
        <v>0</v>
      </c>
      <c r="L22" s="373">
        <f t="shared" si="3"/>
        <v>17000</v>
      </c>
      <c r="Q22" s="374">
        <f t="shared" si="5"/>
        <v>175000</v>
      </c>
      <c r="R22" s="90">
        <f>IF(S22&lt;+T22,S22,T22)</f>
        <v>25000</v>
      </c>
      <c r="S22" s="375">
        <f>+IF(H15&lt;=25000,25000,IF(H15&lt;=50000,50000,IF(H15&lt;=75000,75000,IF(H15&lt;=100000,100000,IF(H15&lt;=125000,125000,IF(H15&lt;=150000,150000,"r"))))))</f>
        <v>25000</v>
      </c>
      <c r="T22" s="90">
        <f>+IF(H15&lt;=175000,175000,IF(H15&lt;=200000,200000,IF(H15&lt;=225000,225000,IF(H15&lt;=250000,250000,250000))))</f>
        <v>175000</v>
      </c>
      <c r="V22" s="371">
        <f t="shared" si="4"/>
        <v>200000</v>
      </c>
      <c r="W22" s="371">
        <f t="shared" si="4"/>
        <v>200000</v>
      </c>
      <c r="X22" s="371">
        <f t="shared" si="4"/>
        <v>200000</v>
      </c>
      <c r="Y22" s="371">
        <f t="shared" si="4"/>
        <v>200000</v>
      </c>
      <c r="Z22" s="371">
        <f t="shared" si="4"/>
        <v>200000</v>
      </c>
      <c r="AC22" s="354">
        <f>Sheet1!$T$9</f>
        <v>44469</v>
      </c>
      <c r="AD22" s="354">
        <f>Sheet1!$U$9</f>
        <v>44834</v>
      </c>
      <c r="AE22" s="354">
        <f>Sheet1!$V$9</f>
        <v>45199</v>
      </c>
      <c r="AF22" s="354">
        <f>Sheet1!$W$9</f>
        <v>45565</v>
      </c>
      <c r="AG22" s="354">
        <f>Sheet1!$X$9</f>
        <v>45930</v>
      </c>
      <c r="AH22" s="354">
        <f>Sheet1!$Y$9</f>
        <v>46295</v>
      </c>
      <c r="AI22" s="354">
        <f>Sheet1!$Z$9</f>
        <v>46660</v>
      </c>
      <c r="AJ22" s="354">
        <f>Sheet1!$AA$9</f>
        <v>47026</v>
      </c>
      <c r="AK22" s="354">
        <f>+Sheet1!AB$9</f>
        <v>47391</v>
      </c>
      <c r="AL22" s="354">
        <f>+Sheet1!AC$9</f>
        <v>47756</v>
      </c>
      <c r="AM22" s="354">
        <f>+Sheet1!AD$9</f>
        <v>48121</v>
      </c>
      <c r="AN22" s="354">
        <f>+Sheet1!AE$9</f>
        <v>48487</v>
      </c>
      <c r="AO22" s="354">
        <f>+Sheet1!AF$9</f>
        <v>48852</v>
      </c>
      <c r="AP22" s="354">
        <f>+Sheet1!AG$9</f>
        <v>49217</v>
      </c>
      <c r="AQ22" s="354">
        <f>+Sheet1!AH$9</f>
        <v>49582</v>
      </c>
      <c r="AR22" s="354">
        <f>+Sheet1!AI$9</f>
        <v>49948</v>
      </c>
      <c r="AS22" s="354">
        <f>+Sheet1!AJ$9</f>
        <v>50313</v>
      </c>
      <c r="AT22" s="355"/>
    </row>
    <row r="23" spans="1:46" s="40" customFormat="1" ht="16" thickBot="1">
      <c r="A23" s="383" t="s">
        <v>220</v>
      </c>
      <c r="B23" s="454">
        <f>B19+B22</f>
        <v>42000</v>
      </c>
      <c r="C23" s="455">
        <f>IF($C$13="No YEAR 2",0,C19+C22)</f>
        <v>0</v>
      </c>
      <c r="D23" s="456">
        <f>IF($D$13="No YEAR 3",0,D19+D22)</f>
        <v>0</v>
      </c>
      <c r="E23" s="455">
        <f>IF($E$13="No YEAR 4",0,E19+E22)</f>
        <v>0</v>
      </c>
      <c r="F23" s="456">
        <f>IF($F$13="No YEAR 5",0,F19+F22)</f>
        <v>0</v>
      </c>
      <c r="G23" s="455">
        <f>IF(G$13="No YEAR 6",0,G19+G22)</f>
        <v>0</v>
      </c>
      <c r="H23" s="455">
        <f>IF(H$13="No YEAR 7",0,H19+H22)</f>
        <v>0</v>
      </c>
      <c r="I23" s="455">
        <f>IF(I$13="No YEAR 8",0,I19+I22)</f>
        <v>0</v>
      </c>
      <c r="J23" s="455">
        <f>IF(J$13="No YEAR 9",0,J19+J22)</f>
        <v>0</v>
      </c>
      <c r="K23" s="455">
        <f>IF(K$13="No YEAR 10",0,K19+K22)</f>
        <v>0</v>
      </c>
      <c r="L23" s="384">
        <f t="shared" si="3"/>
        <v>42000</v>
      </c>
      <c r="Q23" s="374">
        <f t="shared" si="5"/>
        <v>200000</v>
      </c>
      <c r="R23" s="90">
        <f>IF(S23&lt;+T23,S23,T23)</f>
        <v>25000</v>
      </c>
      <c r="S23" s="375">
        <f>+IF(I15&lt;=25000,25000,IF(I15&lt;=50000,50000,IF(I15&lt;=75000,75000,IF(I15&lt;=100000,100000,IF(I15&lt;=125000,125000,IF(I15&lt;=150000,150000,"r"))))))</f>
        <v>25000</v>
      </c>
      <c r="T23" s="90">
        <f>+IF(I15&lt;=175000,175000,IF(I15&lt;=200000,200000,IF(I15&lt;=225000,225000,IF(I15&lt;=250000,250000,250000))))</f>
        <v>175000</v>
      </c>
      <c r="V23" s="371">
        <f t="shared" si="4"/>
        <v>225000</v>
      </c>
      <c r="W23" s="371">
        <f t="shared" si="4"/>
        <v>225000</v>
      </c>
      <c r="X23" s="371">
        <f t="shared" si="4"/>
        <v>225000</v>
      </c>
      <c r="Y23" s="371">
        <f t="shared" si="4"/>
        <v>225000</v>
      </c>
      <c r="Z23" s="371">
        <f t="shared" si="4"/>
        <v>225000</v>
      </c>
      <c r="AB23" s="40">
        <v>4</v>
      </c>
      <c r="AC23" s="355">
        <f>+'4. SUBAWARDS'!Q22</f>
        <v>0</v>
      </c>
      <c r="AD23" s="355">
        <f>+'4. SUBAWARDS'!R22</f>
        <v>0</v>
      </c>
      <c r="AE23" s="355">
        <f>+'4. SUBAWARDS'!S22</f>
        <v>0</v>
      </c>
      <c r="AF23" s="355">
        <f>+'4. SUBAWARDS'!T22</f>
        <v>0</v>
      </c>
      <c r="AG23" s="355">
        <f>+'4. SUBAWARDS'!U22</f>
        <v>0</v>
      </c>
      <c r="AH23" s="355">
        <f>+'4. SUBAWARDS'!V22</f>
        <v>0</v>
      </c>
      <c r="AI23" s="355">
        <f>+'4. SUBAWARDS'!W22</f>
        <v>0</v>
      </c>
      <c r="AJ23" s="355">
        <f>+'4. SUBAWARDS'!X22</f>
        <v>0</v>
      </c>
      <c r="AK23" s="355">
        <f>+'4. SUBAWARDS'!Y22</f>
        <v>0</v>
      </c>
      <c r="AL23" s="355">
        <f>+'4. SUBAWARDS'!Z22</f>
        <v>0</v>
      </c>
      <c r="AM23" s="355">
        <f>+'4. SUBAWARDS'!AA22</f>
        <v>0</v>
      </c>
      <c r="AN23" s="355">
        <f>+'4. SUBAWARDS'!AB22</f>
        <v>0</v>
      </c>
      <c r="AO23" s="355">
        <f>+'4. SUBAWARDS'!AC22</f>
        <v>0</v>
      </c>
      <c r="AP23" s="355">
        <f>+'4. SUBAWARDS'!AD22</f>
        <v>0</v>
      </c>
      <c r="AQ23" s="355">
        <f>+'4. SUBAWARDS'!AE22</f>
        <v>0</v>
      </c>
      <c r="AR23" s="355">
        <f>+'4. SUBAWARDS'!AF22</f>
        <v>0</v>
      </c>
      <c r="AS23" s="355">
        <f>+'4. SUBAWARDS'!AG22</f>
        <v>0</v>
      </c>
      <c r="AT23" s="355">
        <f>SUM(AC23:AS23)</f>
        <v>0</v>
      </c>
    </row>
    <row r="24" spans="1:46" ht="17" thickTop="1">
      <c r="A24" s="40"/>
      <c r="B24" s="457"/>
      <c r="C24" s="458"/>
      <c r="D24" s="458"/>
      <c r="E24" s="458"/>
      <c r="F24" s="458"/>
      <c r="G24" s="458"/>
      <c r="H24" s="356"/>
      <c r="I24" s="356"/>
      <c r="J24" s="356"/>
      <c r="K24" s="356"/>
      <c r="L24" s="40"/>
      <c r="Q24" s="374">
        <f t="shared" si="5"/>
        <v>225000</v>
      </c>
      <c r="R24" s="90">
        <f>IF(S24&lt;+T24,S24,T24)</f>
        <v>25000</v>
      </c>
      <c r="S24" s="375">
        <f>+IF(J15&lt;=25000,25000,IF(J15&lt;=50000,50000,IF(J15&lt;=75000,75000,IF(J15&lt;=100000,100000,IF(J15&lt;=125000,125000,IF(J15&lt;=150000,150000,"r"))))))</f>
        <v>25000</v>
      </c>
      <c r="T24" s="90">
        <f>+IF(J15&lt;=175000,175000,IF(J15&lt;=200000,200000,IF(J15&lt;=225000,225000,IF(J15&lt;=250000,250000,250000))))</f>
        <v>175000</v>
      </c>
      <c r="V24" s="371">
        <f t="shared" si="4"/>
        <v>250000</v>
      </c>
      <c r="W24" s="371">
        <f t="shared" si="4"/>
        <v>250000</v>
      </c>
      <c r="X24" s="371">
        <f t="shared" si="4"/>
        <v>250000</v>
      </c>
      <c r="Y24" s="371">
        <f t="shared" si="4"/>
        <v>250000</v>
      </c>
      <c r="Z24" s="371">
        <f t="shared" si="4"/>
        <v>250000</v>
      </c>
      <c r="AC24" s="367">
        <f>VLOOKUP('1. SUMMARY'!$C$20,rate,Sheet1!T21,0)</f>
        <v>0.68</v>
      </c>
      <c r="AD24" s="367">
        <f>VLOOKUP('1. SUMMARY'!$C$20,rate,Sheet1!U21,0)</f>
        <v>0.68</v>
      </c>
      <c r="AE24" s="367">
        <f>VLOOKUP('1. SUMMARY'!$C$20,rate,Sheet1!V21,0)</f>
        <v>0.68</v>
      </c>
      <c r="AF24" s="367">
        <f>VLOOKUP('1. SUMMARY'!$C$20,rate,Sheet1!W21,0)</f>
        <v>0.68</v>
      </c>
      <c r="AG24" s="367">
        <f>VLOOKUP('1. SUMMARY'!$C$20,rate,Sheet1!X21,0)</f>
        <v>0.68</v>
      </c>
      <c r="AH24" s="367">
        <f>VLOOKUP('1. SUMMARY'!$C$20,rate,Sheet1!Y21,0)</f>
        <v>0.68</v>
      </c>
      <c r="AI24" s="367">
        <f>VLOOKUP('1. SUMMARY'!$C$20,rate,Sheet1!Z21,0)</f>
        <v>0.68</v>
      </c>
      <c r="AJ24" s="367">
        <f>VLOOKUP('1. SUMMARY'!$C$20,rate,Sheet1!AA21,0)</f>
        <v>0.68</v>
      </c>
      <c r="AK24" s="367">
        <f>VLOOKUP('1. SUMMARY'!$C$20,rate,Sheet1!AB21,0)</f>
        <v>0.68</v>
      </c>
      <c r="AL24" s="367">
        <f>VLOOKUP('1. SUMMARY'!$C$20,rate,Sheet1!AC21,0)</f>
        <v>0.68</v>
      </c>
      <c r="AM24" s="367">
        <f>VLOOKUP('1. SUMMARY'!$C$20,rate,Sheet1!AD21,0)</f>
        <v>0.68</v>
      </c>
      <c r="AN24" s="367">
        <f>VLOOKUP('1. SUMMARY'!$C$20,rate,Sheet1!AE21,0)</f>
        <v>0.68</v>
      </c>
      <c r="AO24" s="367">
        <f>VLOOKUP('1. SUMMARY'!$C$20,rate,Sheet1!AF21,0)</f>
        <v>0.68</v>
      </c>
      <c r="AP24" s="367">
        <f>VLOOKUP('1. SUMMARY'!$C$20,rate,Sheet1!AG21,0)</f>
        <v>0.68</v>
      </c>
      <c r="AQ24" s="367">
        <f>VLOOKUP('1. SUMMARY'!$C$20,rate,Sheet1!AH21,0)</f>
        <v>0.68</v>
      </c>
      <c r="AR24" s="367">
        <f>VLOOKUP('1. SUMMARY'!$C$20,rate,Sheet1!AI21,0)</f>
        <v>0.68</v>
      </c>
      <c r="AS24" s="367">
        <f>VLOOKUP('1. SUMMARY'!$C$20,rate,Sheet1!AJ21,0)</f>
        <v>0.68</v>
      </c>
      <c r="AT24" s="358"/>
    </row>
    <row r="25" spans="1:46" ht="17" thickBot="1">
      <c r="A25" s="306" t="s">
        <v>221</v>
      </c>
      <c r="B25" s="459"/>
      <c r="C25" s="458"/>
      <c r="D25" s="458"/>
      <c r="E25" s="458"/>
      <c r="F25" s="458"/>
      <c r="G25" s="458"/>
      <c r="H25" s="352"/>
      <c r="I25" s="352"/>
      <c r="J25" s="352"/>
      <c r="K25" s="352"/>
      <c r="L25" s="18"/>
      <c r="Q25" s="374">
        <f t="shared" si="5"/>
        <v>250000</v>
      </c>
      <c r="R25" s="90">
        <f>IF(S25&lt;+T25,S25,T25)</f>
        <v>25000</v>
      </c>
      <c r="S25" s="375">
        <f>+IF(K15&lt;=25000,25000,IF(K15&lt;=50000,50000,IF(K15&lt;=75000,75000,IF(K15&lt;=100000,100000,IF(K15&lt;=125000,125000,IF(K15&lt;=150000,150000,"r"))))))</f>
        <v>25000</v>
      </c>
      <c r="T25" s="90">
        <f>+IF(K15&lt;=175000,175000,IF(K15&lt;=200000,200000,IF(K15&lt;=225000,225000,IF(K15&lt;=250000,250000,250000))))</f>
        <v>175000</v>
      </c>
      <c r="AC25" s="360">
        <f>IF(AC23=0,0,(($E$21/$AT$23)*AC23)*VLOOKUP('1. SUMMARY'!$C$20,rate,Sheet1!T21,0))</f>
        <v>0</v>
      </c>
      <c r="AD25" s="360">
        <f>IF(AD23=0,0,(($E$21/$AT$23)*AD23)*VLOOKUP('1. SUMMARY'!$C$20,rate,Sheet1!U21,0))</f>
        <v>0</v>
      </c>
      <c r="AE25" s="360">
        <f>IF(AE23=0,0,(($E$21/$AT$23)*AE23)*VLOOKUP('1. SUMMARY'!$C$20,rate,Sheet1!V21,0))</f>
        <v>0</v>
      </c>
      <c r="AF25" s="360">
        <f>IF(AF23=0,0,(($E$21/$AT$23)*AF23)*VLOOKUP('1. SUMMARY'!$C$20,rate,Sheet1!W21,0))</f>
        <v>0</v>
      </c>
      <c r="AG25" s="360">
        <f>IF(AG23=0,0,(($E$21/$AT$23)*AG23)*VLOOKUP('1. SUMMARY'!$C$20,rate,Sheet1!X21,0))</f>
        <v>0</v>
      </c>
      <c r="AH25" s="360">
        <f>IF(AH23=0,0,(($E$21/$AT$23)*AH23)*VLOOKUP('1. SUMMARY'!$C$20,rate,Sheet1!Y21,0))</f>
        <v>0</v>
      </c>
      <c r="AI25" s="360">
        <f>IF(AI23=0,0,(($E$21/$AT$23)*AI23)*VLOOKUP('1. SUMMARY'!$C$20,rate,Sheet1!Z21,0))</f>
        <v>0</v>
      </c>
      <c r="AJ25" s="360">
        <f>IF(AJ23=0,0,(($E$21/$AT$23)*AJ23)*VLOOKUP('1. SUMMARY'!$C$20,rate,Sheet1!AA21,0))</f>
        <v>0</v>
      </c>
      <c r="AK25" s="360">
        <f>IF(AK23=0,0,(($E$21/$AT$23)*AK23)*VLOOKUP('1. SUMMARY'!$C$20,rate,Sheet1!AB21,0))</f>
        <v>0</v>
      </c>
      <c r="AL25" s="360">
        <f>IF(AL23=0,0,(($E$21/$AT$23)*AL23)*VLOOKUP('1. SUMMARY'!$C$20,rate,Sheet1!AC21,0))</f>
        <v>0</v>
      </c>
      <c r="AM25" s="360">
        <f>IF(AM23=0,0,(($E$21/$AT$23)*AM23)*VLOOKUP('1. SUMMARY'!$C$20,rate,Sheet1!AD21,0))</f>
        <v>0</v>
      </c>
      <c r="AN25" s="360">
        <f>IF(AN23=0,0,(($E$21/$AT$23)*AN23)*VLOOKUP('1. SUMMARY'!$C$20,rate,Sheet1!AE21,0))</f>
        <v>0</v>
      </c>
      <c r="AO25" s="360">
        <f>IF(AO23=0,0,(($E$21/$AT$23)*AO23)*VLOOKUP('1. SUMMARY'!$C$20,rate,Sheet1!AF21,0))</f>
        <v>0</v>
      </c>
      <c r="AP25" s="360">
        <f>IF(AP23=0,0,(($E$21/$AT$23)*AP23)*VLOOKUP('1. SUMMARY'!$C$20,rate,Sheet1!AG21,0))</f>
        <v>0</v>
      </c>
      <c r="AQ25" s="360">
        <f>IF(AQ23=0,0,(($E$21/$AT$23)*AQ23)*VLOOKUP('1. SUMMARY'!$C$20,rate,Sheet1!AH21,0))</f>
        <v>0</v>
      </c>
      <c r="AR25" s="360">
        <f>IF(AR23=0,0,(($E$21/$AT$23)*AR23)*VLOOKUP('1. SUMMARY'!$C$20,rate,Sheet1!AI21,0))</f>
        <v>0</v>
      </c>
      <c r="AS25" s="360">
        <f>IF(AS23=0,0,(($E$21/$AT$23)*AS23)*VLOOKUP('1. SUMMARY'!$C$20,rate,Sheet1!AJ21,0))</f>
        <v>0</v>
      </c>
      <c r="AT25" s="361">
        <f>SUM(AC25:AS25)</f>
        <v>0</v>
      </c>
    </row>
    <row r="26" spans="1:46" ht="17" thickTop="1">
      <c r="A26" s="315" t="str">
        <f>"MTDC Months = "&amp;AC66</f>
        <v>MTDC Months = 1461</v>
      </c>
      <c r="B26" s="448">
        <f t="shared" ref="B26:G27" si="7">+B30/B34</f>
        <v>25000</v>
      </c>
      <c r="C26" s="449">
        <f t="shared" si="7"/>
        <v>0</v>
      </c>
      <c r="D26" s="450">
        <f t="shared" si="7"/>
        <v>0</v>
      </c>
      <c r="E26" s="450">
        <f t="shared" si="7"/>
        <v>0</v>
      </c>
      <c r="F26" s="450">
        <f t="shared" ref="F26:K26" si="8">+F30/F34</f>
        <v>0</v>
      </c>
      <c r="G26" s="450">
        <f>+G30/G34</f>
        <v>0</v>
      </c>
      <c r="H26" s="450">
        <f t="shared" si="8"/>
        <v>0</v>
      </c>
      <c r="I26" s="450">
        <f t="shared" si="8"/>
        <v>0</v>
      </c>
      <c r="J26" s="450">
        <f t="shared" si="8"/>
        <v>0</v>
      </c>
      <c r="K26" s="450">
        <f t="shared" si="8"/>
        <v>0</v>
      </c>
      <c r="L26" s="370">
        <f>SUM(B26:K26)</f>
        <v>25000</v>
      </c>
      <c r="AC26" s="148" t="e">
        <f>+($E$21/$AT$23)*AC23</f>
        <v>#DIV/0!</v>
      </c>
      <c r="AD26" s="148" t="e">
        <f t="shared" ref="AD26:AR26" si="9">+($E$21/$AT$23)*AD23</f>
        <v>#DIV/0!</v>
      </c>
      <c r="AE26" s="148" t="e">
        <f t="shared" si="9"/>
        <v>#DIV/0!</v>
      </c>
      <c r="AF26" s="148" t="e">
        <f t="shared" si="9"/>
        <v>#DIV/0!</v>
      </c>
      <c r="AG26" s="148" t="e">
        <f t="shared" si="9"/>
        <v>#DIV/0!</v>
      </c>
      <c r="AH26" s="148" t="e">
        <f t="shared" si="9"/>
        <v>#DIV/0!</v>
      </c>
      <c r="AI26" s="148" t="e">
        <f t="shared" si="9"/>
        <v>#DIV/0!</v>
      </c>
      <c r="AJ26" s="148" t="e">
        <f t="shared" si="9"/>
        <v>#DIV/0!</v>
      </c>
      <c r="AK26" s="148" t="e">
        <f t="shared" si="9"/>
        <v>#DIV/0!</v>
      </c>
      <c r="AL26" s="148" t="e">
        <f t="shared" si="9"/>
        <v>#DIV/0!</v>
      </c>
      <c r="AM26" s="148" t="e">
        <f t="shared" si="9"/>
        <v>#DIV/0!</v>
      </c>
      <c r="AN26" s="148" t="e">
        <f t="shared" si="9"/>
        <v>#DIV/0!</v>
      </c>
      <c r="AO26" s="148" t="e">
        <f t="shared" si="9"/>
        <v>#DIV/0!</v>
      </c>
      <c r="AP26" s="148" t="e">
        <f t="shared" si="9"/>
        <v>#DIV/0!</v>
      </c>
      <c r="AQ26" s="148" t="e">
        <f t="shared" si="9"/>
        <v>#DIV/0!</v>
      </c>
      <c r="AR26" s="148" t="e">
        <f t="shared" si="9"/>
        <v>#DIV/0!</v>
      </c>
      <c r="AS26" s="148" t="e">
        <f>+($E$21/$AT$23)*AS23</f>
        <v>#DIV/0!</v>
      </c>
      <c r="AT26" s="187"/>
    </row>
    <row r="27" spans="1:46" ht="16">
      <c r="A27" s="315" t="str">
        <f>"MTDC Months = "&amp;AD66</f>
        <v>MTDC Months = 0</v>
      </c>
      <c r="B27" s="460">
        <f t="shared" si="7"/>
        <v>0</v>
      </c>
      <c r="C27" s="461">
        <f t="shared" si="7"/>
        <v>0</v>
      </c>
      <c r="D27" s="462">
        <f t="shared" si="7"/>
        <v>0</v>
      </c>
      <c r="E27" s="462">
        <f t="shared" si="7"/>
        <v>0</v>
      </c>
      <c r="F27" s="462">
        <f t="shared" si="7"/>
        <v>0</v>
      </c>
      <c r="G27" s="462">
        <f t="shared" si="7"/>
        <v>0</v>
      </c>
      <c r="H27" s="462">
        <f>+H31/H35</f>
        <v>0</v>
      </c>
      <c r="I27" s="462">
        <f>+I31/I35</f>
        <v>0</v>
      </c>
      <c r="J27" s="462">
        <f>+J31/J35</f>
        <v>0</v>
      </c>
      <c r="K27" s="462">
        <f>+K31/K35</f>
        <v>0</v>
      </c>
      <c r="L27" s="373">
        <f>SUM(B27:K27)</f>
        <v>0</v>
      </c>
      <c r="AC27" s="354">
        <f>Sheet1!$T$8</f>
        <v>44105</v>
      </c>
      <c r="AD27" s="354">
        <f>Sheet1!$U$8</f>
        <v>44470</v>
      </c>
      <c r="AE27" s="354">
        <f>Sheet1!$V$8</f>
        <v>44835</v>
      </c>
      <c r="AF27" s="354">
        <f>Sheet1!$W$8</f>
        <v>45200</v>
      </c>
      <c r="AG27" s="354">
        <f>Sheet1!$X$8</f>
        <v>45566</v>
      </c>
      <c r="AH27" s="354">
        <f>Sheet1!$Y$8</f>
        <v>45931</v>
      </c>
      <c r="AI27" s="354">
        <f>Sheet1!$Z$8</f>
        <v>46296</v>
      </c>
      <c r="AJ27" s="354">
        <f>Sheet1!$AA$8</f>
        <v>46661</v>
      </c>
      <c r="AK27" s="354">
        <f>+Sheet1!AB$8</f>
        <v>47027</v>
      </c>
      <c r="AL27" s="354">
        <f>+Sheet1!AC$8</f>
        <v>47392</v>
      </c>
      <c r="AM27" s="354">
        <f>+Sheet1!AD$8</f>
        <v>47757</v>
      </c>
      <c r="AN27" s="354">
        <f>+Sheet1!AE$8</f>
        <v>48122</v>
      </c>
      <c r="AO27" s="354">
        <f>+Sheet1!AF$8</f>
        <v>48488</v>
      </c>
      <c r="AP27" s="354">
        <f>+Sheet1!AG$8</f>
        <v>48853</v>
      </c>
      <c r="AQ27" s="354">
        <f>+Sheet1!AH$8</f>
        <v>49218</v>
      </c>
      <c r="AR27" s="354">
        <f>+Sheet1!AI$8</f>
        <v>49583</v>
      </c>
      <c r="AS27" s="354">
        <f>+Sheet1!AJ$8</f>
        <v>49949</v>
      </c>
      <c r="AT27" s="355"/>
    </row>
    <row r="28" spans="1:46" ht="17" thickBot="1">
      <c r="A28" s="181"/>
      <c r="B28" s="448">
        <f t="shared" ref="B28:G28" si="10">SUM(B26:B27)</f>
        <v>25000</v>
      </c>
      <c r="C28" s="449">
        <f t="shared" si="10"/>
        <v>0</v>
      </c>
      <c r="D28" s="450">
        <f t="shared" si="10"/>
        <v>0</v>
      </c>
      <c r="E28" s="450">
        <f t="shared" si="10"/>
        <v>0</v>
      </c>
      <c r="F28" s="450">
        <f t="shared" si="10"/>
        <v>0</v>
      </c>
      <c r="G28" s="450">
        <f t="shared" si="10"/>
        <v>0</v>
      </c>
      <c r="H28" s="450">
        <f>SUM(H26:H27)</f>
        <v>0</v>
      </c>
      <c r="I28" s="450">
        <f>SUM(I26:I27)</f>
        <v>0</v>
      </c>
      <c r="J28" s="450">
        <f>SUM(J26:J27)</f>
        <v>0</v>
      </c>
      <c r="K28" s="450">
        <f>SUM(K26:K27)</f>
        <v>0</v>
      </c>
      <c r="L28" s="385">
        <f>SUM(L26:L27)</f>
        <v>25000</v>
      </c>
      <c r="AC28" s="354">
        <f>Sheet1!$T$9</f>
        <v>44469</v>
      </c>
      <c r="AD28" s="354">
        <f>Sheet1!$U$9</f>
        <v>44834</v>
      </c>
      <c r="AE28" s="354">
        <f>Sheet1!$V$9</f>
        <v>45199</v>
      </c>
      <c r="AF28" s="354">
        <f>Sheet1!$W$9</f>
        <v>45565</v>
      </c>
      <c r="AG28" s="354">
        <f>Sheet1!$X$9</f>
        <v>45930</v>
      </c>
      <c r="AH28" s="354">
        <f>Sheet1!$Y$9</f>
        <v>46295</v>
      </c>
      <c r="AI28" s="354">
        <f>Sheet1!$Z$9</f>
        <v>46660</v>
      </c>
      <c r="AJ28" s="354">
        <f>Sheet1!$AA$9</f>
        <v>47026</v>
      </c>
      <c r="AK28" s="354">
        <f>+Sheet1!AB$9</f>
        <v>47391</v>
      </c>
      <c r="AL28" s="354">
        <f>+Sheet1!AC$9</f>
        <v>47756</v>
      </c>
      <c r="AM28" s="354">
        <f>+Sheet1!AD$9</f>
        <v>48121</v>
      </c>
      <c r="AN28" s="354">
        <f>+Sheet1!AE$9</f>
        <v>48487</v>
      </c>
      <c r="AO28" s="354">
        <f>+Sheet1!AF$9</f>
        <v>48852</v>
      </c>
      <c r="AP28" s="354">
        <f>+Sheet1!AG$9</f>
        <v>49217</v>
      </c>
      <c r="AQ28" s="354">
        <f>+Sheet1!AH$9</f>
        <v>49582</v>
      </c>
      <c r="AR28" s="354">
        <f>+Sheet1!AI$9</f>
        <v>49948</v>
      </c>
      <c r="AS28" s="354">
        <f>+Sheet1!AJ$9</f>
        <v>50313</v>
      </c>
      <c r="AT28" s="355"/>
    </row>
    <row r="29" spans="1:46" ht="18" thickTop="1" thickBot="1">
      <c r="A29" s="306" t="s">
        <v>222</v>
      </c>
      <c r="B29" s="463"/>
      <c r="C29" s="464"/>
      <c r="D29" s="458"/>
      <c r="E29" s="458"/>
      <c r="F29" s="458"/>
      <c r="G29" s="458"/>
      <c r="H29" s="458"/>
      <c r="I29" s="458"/>
      <c r="J29" s="458"/>
      <c r="K29" s="458"/>
      <c r="L29" s="18"/>
      <c r="AB29" s="353">
        <v>5</v>
      </c>
      <c r="AC29" s="355">
        <f>+'4. SUBAWARDS'!Q27</f>
        <v>0</v>
      </c>
      <c r="AD29" s="355">
        <f>+'4. SUBAWARDS'!R27</f>
        <v>0</v>
      </c>
      <c r="AE29" s="355">
        <f>+'4. SUBAWARDS'!S27</f>
        <v>0</v>
      </c>
      <c r="AF29" s="355">
        <f>+'4. SUBAWARDS'!T27</f>
        <v>0</v>
      </c>
      <c r="AG29" s="355">
        <f>+'4. SUBAWARDS'!U27</f>
        <v>0</v>
      </c>
      <c r="AH29" s="355">
        <f>+'4. SUBAWARDS'!V27</f>
        <v>0</v>
      </c>
      <c r="AI29" s="355">
        <f>+'4. SUBAWARDS'!W27</f>
        <v>0</v>
      </c>
      <c r="AJ29" s="355">
        <f>+'4. SUBAWARDS'!X27</f>
        <v>0</v>
      </c>
      <c r="AK29" s="355">
        <f>+'4. SUBAWARDS'!Y27</f>
        <v>0</v>
      </c>
      <c r="AL29" s="355">
        <f>+'4. SUBAWARDS'!Z27</f>
        <v>0</v>
      </c>
      <c r="AM29" s="355">
        <f>+'4. SUBAWARDS'!AA27</f>
        <v>0</v>
      </c>
      <c r="AN29" s="355">
        <f>+'4. SUBAWARDS'!AB27</f>
        <v>0</v>
      </c>
      <c r="AO29" s="355">
        <f>+'4. SUBAWARDS'!AC27</f>
        <v>0</v>
      </c>
      <c r="AP29" s="355">
        <f>+'4. SUBAWARDS'!AD27</f>
        <v>0</v>
      </c>
      <c r="AQ29" s="355">
        <f>+'4. SUBAWARDS'!AE27</f>
        <v>0</v>
      </c>
      <c r="AR29" s="355">
        <f>+'4. SUBAWARDS'!AF27</f>
        <v>0</v>
      </c>
      <c r="AS29" s="355">
        <f>+'4. SUBAWARDS'!AG27</f>
        <v>0</v>
      </c>
      <c r="AT29" s="355">
        <f>SUM(AC29:AS29)</f>
        <v>0</v>
      </c>
    </row>
    <row r="30" spans="1:46" ht="17" thickTop="1">
      <c r="A30" s="315" t="str">
        <f>"IDC Months = "&amp;+AC66</f>
        <v>IDC Months = 1461</v>
      </c>
      <c r="B30" s="448">
        <f>+AC67</f>
        <v>17000</v>
      </c>
      <c r="C30" s="449">
        <f>+AC68</f>
        <v>0</v>
      </c>
      <c r="D30" s="450">
        <f>+AC69</f>
        <v>0</v>
      </c>
      <c r="E30" s="449">
        <f>+AC70</f>
        <v>0</v>
      </c>
      <c r="F30" s="450">
        <f>+AC71</f>
        <v>0</v>
      </c>
      <c r="G30" s="449">
        <f>+$AC72</f>
        <v>0</v>
      </c>
      <c r="H30" s="449">
        <f>+AC73</f>
        <v>0</v>
      </c>
      <c r="I30" s="449">
        <f>+AC74</f>
        <v>0</v>
      </c>
      <c r="J30" s="449">
        <f>+AC75</f>
        <v>0</v>
      </c>
      <c r="K30" s="449">
        <f>+AC76</f>
        <v>0</v>
      </c>
      <c r="L30" s="370">
        <f>SUM(B30:K30)</f>
        <v>17000</v>
      </c>
      <c r="AC30" s="367">
        <f>VLOOKUP('1. SUMMARY'!$C$20,rate,Sheet1!T21,0)</f>
        <v>0.68</v>
      </c>
      <c r="AD30" s="367">
        <f>VLOOKUP('1. SUMMARY'!$C$20,rate,Sheet1!U21,0)</f>
        <v>0.68</v>
      </c>
      <c r="AE30" s="367">
        <f>VLOOKUP('1. SUMMARY'!$C$20,rate,Sheet1!V21,0)</f>
        <v>0.68</v>
      </c>
      <c r="AF30" s="367">
        <f>VLOOKUP('1. SUMMARY'!$C$20,rate,Sheet1!W21,0)</f>
        <v>0.68</v>
      </c>
      <c r="AG30" s="367">
        <f>VLOOKUP('1. SUMMARY'!$C$20,rate,Sheet1!X21,0)</f>
        <v>0.68</v>
      </c>
      <c r="AH30" s="367">
        <f>VLOOKUP('1. SUMMARY'!$C$20,rate,Sheet1!Y21,0)</f>
        <v>0.68</v>
      </c>
      <c r="AI30" s="367">
        <f>VLOOKUP('1. SUMMARY'!$C$20,rate,Sheet1!Z21,0)</f>
        <v>0.68</v>
      </c>
      <c r="AJ30" s="367">
        <f>VLOOKUP('1. SUMMARY'!$C$20,rate,Sheet1!AA21,0)</f>
        <v>0.68</v>
      </c>
      <c r="AK30" s="367">
        <f>VLOOKUP('1. SUMMARY'!$C$20,rate,Sheet1!AB21,0)</f>
        <v>0.68</v>
      </c>
      <c r="AL30" s="367">
        <f>VLOOKUP('1. SUMMARY'!$C$20,rate,Sheet1!AC21,0)</f>
        <v>0.68</v>
      </c>
      <c r="AM30" s="367">
        <f>VLOOKUP('1. SUMMARY'!$C$20,rate,Sheet1!AD21,0)</f>
        <v>0.68</v>
      </c>
      <c r="AN30" s="367">
        <f>VLOOKUP('1. SUMMARY'!$C$20,rate,Sheet1!AE21,0)</f>
        <v>0.68</v>
      </c>
      <c r="AO30" s="367">
        <f>VLOOKUP('1. SUMMARY'!$C$20,rate,Sheet1!AF21,0)</f>
        <v>0.68</v>
      </c>
      <c r="AP30" s="367">
        <f>VLOOKUP('1. SUMMARY'!$C$20,rate,Sheet1!AG21,0)</f>
        <v>0.68</v>
      </c>
      <c r="AQ30" s="367">
        <f>VLOOKUP('1. SUMMARY'!$C$20,rate,Sheet1!AH21,0)</f>
        <v>0.68</v>
      </c>
      <c r="AR30" s="367">
        <f>VLOOKUP('1. SUMMARY'!$C$20,rate,Sheet1!AI21,0)</f>
        <v>0.68</v>
      </c>
      <c r="AS30" s="367">
        <f>VLOOKUP('1. SUMMARY'!$C$20,rate,Sheet1!AJ21,0)</f>
        <v>0.68</v>
      </c>
      <c r="AT30" s="358"/>
    </row>
    <row r="31" spans="1:46" ht="16">
      <c r="A31" s="315" t="str">
        <f>"IDC Months = "&amp;+AD66</f>
        <v>IDC Months = 0</v>
      </c>
      <c r="B31" s="460">
        <f>+AD67</f>
        <v>0</v>
      </c>
      <c r="C31" s="461">
        <f>+AD68</f>
        <v>0</v>
      </c>
      <c r="D31" s="462">
        <f>+AD69</f>
        <v>0</v>
      </c>
      <c r="E31" s="461">
        <f>+AD70</f>
        <v>0</v>
      </c>
      <c r="F31" s="462">
        <f>+AD71</f>
        <v>0</v>
      </c>
      <c r="G31" s="461">
        <f>+$AD72</f>
        <v>0</v>
      </c>
      <c r="H31" s="461">
        <f>+$AD73</f>
        <v>0</v>
      </c>
      <c r="I31" s="461">
        <f>+$AD74</f>
        <v>0</v>
      </c>
      <c r="J31" s="461">
        <f>+$AD75</f>
        <v>0</v>
      </c>
      <c r="K31" s="461">
        <f>+$AD76</f>
        <v>0</v>
      </c>
      <c r="L31" s="373">
        <f>SUM(B31:K31)</f>
        <v>0</v>
      </c>
      <c r="AC31" s="360">
        <f>IF(AC29=0,0,(($F$21/$AT$29)*AC29)*VLOOKUP('1. SUMMARY'!$C$20,rate,Sheet1!T21,0))</f>
        <v>0</v>
      </c>
      <c r="AD31" s="360">
        <f>IF(AD29=0,0,(($F$21/$AT$29)*AD29)*VLOOKUP('1. SUMMARY'!$C$20,rate,Sheet1!U21,0))</f>
        <v>0</v>
      </c>
      <c r="AE31" s="360">
        <f>IF(AE29=0,0,(($F$21/$AT$29)*AE29)*VLOOKUP('1. SUMMARY'!$C$20,rate,Sheet1!V21,0))</f>
        <v>0</v>
      </c>
      <c r="AF31" s="360">
        <f>IF(AF29=0,0,(($F$21/$AT$29)*AF29)*VLOOKUP('1. SUMMARY'!$C$20,rate,Sheet1!W21,0))</f>
        <v>0</v>
      </c>
      <c r="AG31" s="360">
        <f>IF(AG29=0,0,(($F$21/$AT$29)*AG29)*VLOOKUP('1. SUMMARY'!$C$20,rate,Sheet1!X21,0))</f>
        <v>0</v>
      </c>
      <c r="AH31" s="360">
        <f>IF(AH29=0,0,(($F$21/$AT$29)*AH29)*VLOOKUP('1. SUMMARY'!$C$20,rate,Sheet1!Y21,0))</f>
        <v>0</v>
      </c>
      <c r="AI31" s="360">
        <f>IF(AI29=0,0,(($F$21/$AT$29)*AI29)*VLOOKUP('1. SUMMARY'!$C$20,rate,Sheet1!Z21,0))</f>
        <v>0</v>
      </c>
      <c r="AJ31" s="360">
        <f>IF(AJ29=0,0,(($F$21/$AT$29)*AJ29)*VLOOKUP('1. SUMMARY'!$C$20,rate,Sheet1!AA21,0))</f>
        <v>0</v>
      </c>
      <c r="AK31" s="360">
        <f>IF(AK29=0,0,(($F$21/$AT$29)*AK29)*VLOOKUP('1. SUMMARY'!$C$20,rate,Sheet1!AB21,0))</f>
        <v>0</v>
      </c>
      <c r="AL31" s="360">
        <f>IF(AL29=0,0,(($F$21/$AT$29)*AL29)*VLOOKUP('1. SUMMARY'!$C$20,rate,Sheet1!AC21,0))</f>
        <v>0</v>
      </c>
      <c r="AM31" s="360">
        <f>IF(AM29=0,0,(($F$21/$AT$29)*AM29)*VLOOKUP('1. SUMMARY'!$C$20,rate,Sheet1!AD21,0))</f>
        <v>0</v>
      </c>
      <c r="AN31" s="360">
        <f>IF(AN29=0,0,(($F$21/$AT$29)*AN29)*VLOOKUP('1. SUMMARY'!$C$20,rate,Sheet1!AE21,0))</f>
        <v>0</v>
      </c>
      <c r="AO31" s="360">
        <f>IF(AO29=0,0,(($F$21/$AT$29)*AO29)*VLOOKUP('1. SUMMARY'!$C$20,rate,Sheet1!AF21,0))</f>
        <v>0</v>
      </c>
      <c r="AP31" s="360">
        <f>IF(AP29=0,0,(($F$21/$AT$29)*AP29)*VLOOKUP('1. SUMMARY'!$C$20,rate,Sheet1!AG21,0))</f>
        <v>0</v>
      </c>
      <c r="AQ31" s="360">
        <f>IF(AQ29=0,0,(($F$21/$AT$29)*AQ29)*VLOOKUP('1. SUMMARY'!$C$20,rate,Sheet1!AH21,0))</f>
        <v>0</v>
      </c>
      <c r="AR31" s="360">
        <f>IF(AR29=0,0,(($F$21/$AT$29)*AR29)*VLOOKUP('1. SUMMARY'!$C$20,rate,Sheet1!AI21,0))</f>
        <v>0</v>
      </c>
      <c r="AS31" s="360">
        <f>IF(AS29=0,0,(($F$21/$AT$29)*AS29)*VLOOKUP('1. SUMMARY'!$C$20,rate,Sheet1!AJ21,0))</f>
        <v>0</v>
      </c>
      <c r="AT31" s="361">
        <f>SUM(AC31:AS31)</f>
        <v>0</v>
      </c>
    </row>
    <row r="32" spans="1:46" ht="17" thickBot="1">
      <c r="B32" s="448">
        <f t="shared" ref="B32:G32" si="11">SUM(B30:B31)</f>
        <v>17000</v>
      </c>
      <c r="C32" s="449">
        <f t="shared" si="11"/>
        <v>0</v>
      </c>
      <c r="D32" s="449">
        <f t="shared" si="11"/>
        <v>0</v>
      </c>
      <c r="E32" s="449">
        <f t="shared" si="11"/>
        <v>0</v>
      </c>
      <c r="F32" s="449">
        <f t="shared" si="11"/>
        <v>0</v>
      </c>
      <c r="G32" s="449">
        <f t="shared" si="11"/>
        <v>0</v>
      </c>
      <c r="H32" s="449">
        <f>SUM(H30:H31)</f>
        <v>0</v>
      </c>
      <c r="I32" s="449">
        <f>SUM(I30:I31)</f>
        <v>0</v>
      </c>
      <c r="J32" s="449">
        <f>SUM(J30:J31)</f>
        <v>0</v>
      </c>
      <c r="K32" s="449">
        <f>SUM(K30:K31)</f>
        <v>0</v>
      </c>
      <c r="L32" s="385">
        <f>SUM(L30:L31)</f>
        <v>17000</v>
      </c>
      <c r="AC32" s="148" t="e">
        <f>+($F$21/$AT$29)*AC29</f>
        <v>#DIV/0!</v>
      </c>
      <c r="AD32" s="148" t="e">
        <f t="shared" ref="AD32:AS32" si="12">+($F$21/$AT$29)*AD29</f>
        <v>#DIV/0!</v>
      </c>
      <c r="AE32" s="148" t="e">
        <f t="shared" si="12"/>
        <v>#DIV/0!</v>
      </c>
      <c r="AF32" s="148" t="e">
        <f t="shared" si="12"/>
        <v>#DIV/0!</v>
      </c>
      <c r="AG32" s="148" t="e">
        <f t="shared" si="12"/>
        <v>#DIV/0!</v>
      </c>
      <c r="AH32" s="148" t="e">
        <f t="shared" si="12"/>
        <v>#DIV/0!</v>
      </c>
      <c r="AI32" s="148" t="e">
        <f t="shared" si="12"/>
        <v>#DIV/0!</v>
      </c>
      <c r="AJ32" s="148" t="e">
        <f t="shared" si="12"/>
        <v>#DIV/0!</v>
      </c>
      <c r="AK32" s="148" t="e">
        <f t="shared" si="12"/>
        <v>#DIV/0!</v>
      </c>
      <c r="AL32" s="148" t="e">
        <f t="shared" si="12"/>
        <v>#DIV/0!</v>
      </c>
      <c r="AM32" s="148" t="e">
        <f t="shared" si="12"/>
        <v>#DIV/0!</v>
      </c>
      <c r="AN32" s="148" t="e">
        <f t="shared" si="12"/>
        <v>#DIV/0!</v>
      </c>
      <c r="AO32" s="148" t="e">
        <f t="shared" si="12"/>
        <v>#DIV/0!</v>
      </c>
      <c r="AP32" s="148" t="e">
        <f t="shared" si="12"/>
        <v>#DIV/0!</v>
      </c>
      <c r="AQ32" s="148" t="e">
        <f t="shared" si="12"/>
        <v>#DIV/0!</v>
      </c>
      <c r="AR32" s="148" t="e">
        <f t="shared" si="12"/>
        <v>#DIV/0!</v>
      </c>
      <c r="AS32" s="148" t="e">
        <f t="shared" si="12"/>
        <v>#DIV/0!</v>
      </c>
      <c r="AT32" s="387"/>
    </row>
    <row r="33" spans="1:50" ht="17" thickTop="1">
      <c r="A33" s="306" t="s">
        <v>223</v>
      </c>
      <c r="B33" s="465"/>
      <c r="C33" s="458"/>
      <c r="D33" s="458"/>
      <c r="E33" s="458"/>
      <c r="F33" s="458"/>
      <c r="G33" s="458"/>
      <c r="H33" s="458"/>
      <c r="I33" s="458"/>
      <c r="J33" s="458"/>
      <c r="K33" s="458"/>
      <c r="L33" s="18"/>
    </row>
    <row r="34" spans="1:50" ht="16">
      <c r="A34" s="315" t="str">
        <f>"IDC Months = "&amp;+AC66</f>
        <v>IDC Months = 1461</v>
      </c>
      <c r="B34" s="435">
        <f>+AF67</f>
        <v>0.68</v>
      </c>
      <c r="C34" s="436">
        <f>+AF68</f>
        <v>0.68</v>
      </c>
      <c r="D34" s="437">
        <f>+AF69</f>
        <v>0.68</v>
      </c>
      <c r="E34" s="436">
        <f>+AF70</f>
        <v>0.68</v>
      </c>
      <c r="F34" s="437">
        <f>+AF71</f>
        <v>0.68</v>
      </c>
      <c r="G34" s="436">
        <f>+$AF72</f>
        <v>0.68</v>
      </c>
      <c r="H34" s="436">
        <f>+$AF73</f>
        <v>0.68</v>
      </c>
      <c r="I34" s="436">
        <f>+$AF73</f>
        <v>0.68</v>
      </c>
      <c r="J34" s="436">
        <f>+$AF73</f>
        <v>0.68</v>
      </c>
      <c r="K34" s="436">
        <f>+$AF73</f>
        <v>0.68</v>
      </c>
      <c r="L34" s="438"/>
      <c r="AC34" s="354">
        <f>+Sheet1!$T$8</f>
        <v>44105</v>
      </c>
      <c r="AD34" s="354">
        <f>+Sheet1!$U$8</f>
        <v>44470</v>
      </c>
      <c r="AE34" s="354">
        <f>+Sheet1!$V$8</f>
        <v>44835</v>
      </c>
      <c r="AF34" s="354">
        <f>+Sheet1!$W$8</f>
        <v>45200</v>
      </c>
      <c r="AG34" s="354">
        <f>+Sheet1!$X$8</f>
        <v>45566</v>
      </c>
      <c r="AH34" s="354">
        <f>+Sheet1!$Y$8</f>
        <v>45931</v>
      </c>
      <c r="AI34" s="354">
        <f>+Sheet1!$Z$8</f>
        <v>46296</v>
      </c>
      <c r="AJ34" s="354">
        <f>+Sheet1!AA$8</f>
        <v>46661</v>
      </c>
      <c r="AK34" s="354">
        <f>+Sheet1!AB$8</f>
        <v>47027</v>
      </c>
      <c r="AL34" s="354">
        <f>+Sheet1!AC$8</f>
        <v>47392</v>
      </c>
      <c r="AM34" s="354">
        <f>+Sheet1!AD$8</f>
        <v>47757</v>
      </c>
      <c r="AN34" s="354">
        <f>+Sheet1!AE$8</f>
        <v>48122</v>
      </c>
      <c r="AO34" s="354">
        <f>+Sheet1!AF$8</f>
        <v>48488</v>
      </c>
      <c r="AP34" s="354">
        <f>+Sheet1!AG$8</f>
        <v>48853</v>
      </c>
      <c r="AQ34" s="354">
        <f>+Sheet1!AH$8</f>
        <v>49218</v>
      </c>
      <c r="AR34" s="354">
        <f>+Sheet1!AI$8</f>
        <v>49583</v>
      </c>
      <c r="AS34" s="354">
        <f>+Sheet1!AJ$8</f>
        <v>49949</v>
      </c>
      <c r="AT34" s="355"/>
      <c r="AU34" s="389"/>
    </row>
    <row r="35" spans="1:50" ht="16">
      <c r="A35" s="315" t="str">
        <f>"IDC Months = "&amp;+AD66</f>
        <v>IDC Months = 0</v>
      </c>
      <c r="B35" s="439">
        <f>+AG67</f>
        <v>0.68</v>
      </c>
      <c r="C35" s="440">
        <f>+AG68</f>
        <v>0.68</v>
      </c>
      <c r="D35" s="441">
        <f>+AG69</f>
        <v>0.68</v>
      </c>
      <c r="E35" s="440">
        <f>+AG70</f>
        <v>0.68</v>
      </c>
      <c r="F35" s="441">
        <f>+$AG71</f>
        <v>0.68</v>
      </c>
      <c r="G35" s="440">
        <f>+$AG72</f>
        <v>0.68</v>
      </c>
      <c r="H35" s="440">
        <f>+$AG73</f>
        <v>0.68</v>
      </c>
      <c r="I35" s="440">
        <f>+$AG73</f>
        <v>0.68</v>
      </c>
      <c r="J35" s="440">
        <f>+$AG73</f>
        <v>0.68</v>
      </c>
      <c r="K35" s="440">
        <f>+$AG73</f>
        <v>0.68</v>
      </c>
      <c r="L35" s="438"/>
      <c r="AC35" s="354">
        <f>+Sheet1!$T$9</f>
        <v>44469</v>
      </c>
      <c r="AD35" s="354">
        <f>+Sheet1!$U$9</f>
        <v>44834</v>
      </c>
      <c r="AE35" s="354">
        <f>+Sheet1!$V$9</f>
        <v>45199</v>
      </c>
      <c r="AF35" s="354">
        <f>+Sheet1!$W$9</f>
        <v>45565</v>
      </c>
      <c r="AG35" s="354">
        <f>+Sheet1!$X$9</f>
        <v>45930</v>
      </c>
      <c r="AH35" s="354">
        <f>+Sheet1!$Y$9</f>
        <v>46295</v>
      </c>
      <c r="AI35" s="354">
        <f>+Sheet1!$Z$9</f>
        <v>46660</v>
      </c>
      <c r="AJ35" s="354">
        <f>+Sheet1!AA$9</f>
        <v>47026</v>
      </c>
      <c r="AK35" s="354">
        <f>+Sheet1!AB$9</f>
        <v>47391</v>
      </c>
      <c r="AL35" s="354">
        <f>+Sheet1!AC$9</f>
        <v>47756</v>
      </c>
      <c r="AM35" s="354">
        <f>+Sheet1!AD$9</f>
        <v>48121</v>
      </c>
      <c r="AN35" s="354">
        <f>+Sheet1!AE$9</f>
        <v>48487</v>
      </c>
      <c r="AO35" s="354">
        <f>+Sheet1!AF$9</f>
        <v>48852</v>
      </c>
      <c r="AP35" s="354">
        <f>+Sheet1!AG$9</f>
        <v>49217</v>
      </c>
      <c r="AQ35" s="354">
        <f>+Sheet1!AH$9</f>
        <v>49582</v>
      </c>
      <c r="AR35" s="354">
        <f>+Sheet1!AI$9</f>
        <v>49948</v>
      </c>
      <c r="AS35" s="354">
        <f>+Sheet1!AJ$9</f>
        <v>50313</v>
      </c>
      <c r="AT35" s="355"/>
      <c r="AU35" s="389"/>
    </row>
    <row r="36" spans="1:50" ht="16">
      <c r="A36" s="18"/>
      <c r="B36" s="352"/>
      <c r="C36" s="352"/>
      <c r="D36" s="352"/>
      <c r="E36" s="352"/>
      <c r="F36" s="352"/>
      <c r="G36" s="352"/>
      <c r="H36" s="352"/>
      <c r="I36" s="352"/>
      <c r="J36" s="352"/>
      <c r="K36" s="352"/>
      <c r="L36" s="392"/>
      <c r="AB36" s="353">
        <v>6</v>
      </c>
      <c r="AC36" s="355">
        <f>+'4. SUBAWARDS'!Q32</f>
        <v>0</v>
      </c>
      <c r="AD36" s="355">
        <f>+'4. SUBAWARDS'!R32</f>
        <v>0</v>
      </c>
      <c r="AE36" s="355">
        <f>+'4. SUBAWARDS'!S32</f>
        <v>0</v>
      </c>
      <c r="AF36" s="355">
        <f>+'4. SUBAWARDS'!T32</f>
        <v>0</v>
      </c>
      <c r="AG36" s="355">
        <f>+'4. SUBAWARDS'!U32</f>
        <v>0</v>
      </c>
      <c r="AH36" s="355">
        <f>+'4. SUBAWARDS'!V32</f>
        <v>0</v>
      </c>
      <c r="AI36" s="355">
        <f>+'4. SUBAWARDS'!W32</f>
        <v>0</v>
      </c>
      <c r="AJ36" s="355">
        <f>+'4. SUBAWARDS'!X32</f>
        <v>0</v>
      </c>
      <c r="AK36" s="355">
        <f>+'4. SUBAWARDS'!Y32</f>
        <v>0</v>
      </c>
      <c r="AL36" s="355">
        <f>+'4. SUBAWARDS'!Z32</f>
        <v>0</v>
      </c>
      <c r="AM36" s="355">
        <f>+'4. SUBAWARDS'!AA32</f>
        <v>0</v>
      </c>
      <c r="AN36" s="355">
        <f>+'4. SUBAWARDS'!AB32</f>
        <v>0</v>
      </c>
      <c r="AO36" s="355">
        <f>+'4. SUBAWARDS'!AC32</f>
        <v>0</v>
      </c>
      <c r="AP36" s="355">
        <f>+'4. SUBAWARDS'!AD32</f>
        <v>0</v>
      </c>
      <c r="AQ36" s="355">
        <f>+'4. SUBAWARDS'!AE32</f>
        <v>0</v>
      </c>
      <c r="AR36" s="355">
        <f>+'4. SUBAWARDS'!AF32</f>
        <v>0</v>
      </c>
      <c r="AS36" s="355">
        <f>+'4. SUBAWARDS'!AG32</f>
        <v>0</v>
      </c>
      <c r="AT36" s="355">
        <f>SUM(AC36:AS36)</f>
        <v>0</v>
      </c>
      <c r="AU36" s="77"/>
      <c r="AV36" s="77"/>
      <c r="AW36" s="77"/>
      <c r="AX36" s="77"/>
    </row>
    <row r="37" spans="1:50" ht="16">
      <c r="A37" s="18"/>
      <c r="B37" s="352"/>
      <c r="C37" s="352"/>
      <c r="D37" s="352"/>
      <c r="E37" s="352"/>
      <c r="F37" s="352"/>
      <c r="G37" s="352"/>
      <c r="H37" s="352"/>
      <c r="I37" s="352"/>
      <c r="J37" s="352"/>
      <c r="K37" s="352"/>
      <c r="L37" s="18"/>
      <c r="AC37" s="367">
        <f>VLOOKUP('1. SUMMARY'!$C$20,rate,Sheet1!T$21,0)</f>
        <v>0.68</v>
      </c>
      <c r="AD37" s="367">
        <f>VLOOKUP('1. SUMMARY'!$C$20,rate,Sheet1!U21,0)</f>
        <v>0.68</v>
      </c>
      <c r="AE37" s="367">
        <f>VLOOKUP('1. SUMMARY'!$C$20,rate,Sheet1!V21,0)</f>
        <v>0.68</v>
      </c>
      <c r="AF37" s="367">
        <f>VLOOKUP('1. SUMMARY'!$C$20,rate,Sheet1!W21,0)</f>
        <v>0.68</v>
      </c>
      <c r="AG37" s="367">
        <f>VLOOKUP('1. SUMMARY'!$C$20,rate,Sheet1!X21,0)</f>
        <v>0.68</v>
      </c>
      <c r="AH37" s="367">
        <f>VLOOKUP('1. SUMMARY'!$C$20,rate,Sheet1!Y21,0)</f>
        <v>0.68</v>
      </c>
      <c r="AI37" s="367">
        <f>VLOOKUP('1. SUMMARY'!$C$20,rate,Sheet1!Z21,0)</f>
        <v>0.68</v>
      </c>
      <c r="AJ37" s="367">
        <f>VLOOKUP('1. SUMMARY'!$C$20,rate,Sheet1!AA21,0)</f>
        <v>0.68</v>
      </c>
      <c r="AK37" s="367">
        <f>VLOOKUP('1. SUMMARY'!$C$20,rate,Sheet1!AB21,0)</f>
        <v>0.68</v>
      </c>
      <c r="AL37" s="367">
        <f>VLOOKUP('1. SUMMARY'!$C$20,rate,Sheet1!AC21,0)</f>
        <v>0.68</v>
      </c>
      <c r="AM37" s="367">
        <f>VLOOKUP('1. SUMMARY'!$C$20,rate,Sheet1!AD21,0)</f>
        <v>0.68</v>
      </c>
      <c r="AN37" s="367">
        <f>VLOOKUP('1. SUMMARY'!$C$20,rate,Sheet1!AE21,0)</f>
        <v>0.68</v>
      </c>
      <c r="AO37" s="367">
        <f>VLOOKUP('1. SUMMARY'!$C$20,rate,Sheet1!AF21,0)</f>
        <v>0.68</v>
      </c>
      <c r="AP37" s="367">
        <f>VLOOKUP('1. SUMMARY'!$C$20,rate,Sheet1!AG21,0)</f>
        <v>0.68</v>
      </c>
      <c r="AQ37" s="367">
        <f>VLOOKUP('1. SUMMARY'!$C$20,rate,Sheet1!AH21,0)</f>
        <v>0.68</v>
      </c>
      <c r="AR37" s="367">
        <f>VLOOKUP('1. SUMMARY'!$C$20,rate,Sheet1!AI21,0)</f>
        <v>0.68</v>
      </c>
      <c r="AS37" s="367">
        <f>VLOOKUP('1. SUMMARY'!$C$20,rate,Sheet1!AJ21,0)</f>
        <v>0.68</v>
      </c>
      <c r="AT37" s="358"/>
      <c r="AU37" s="393"/>
      <c r="AV37" s="393"/>
      <c r="AW37" s="393"/>
      <c r="AX37" s="393"/>
    </row>
    <row r="38" spans="1:50" ht="16">
      <c r="A38" s="18"/>
      <c r="B38" s="352"/>
      <c r="C38" s="352"/>
      <c r="D38" s="352"/>
      <c r="E38" s="352"/>
      <c r="F38" s="352"/>
      <c r="G38" s="352"/>
      <c r="H38" s="352"/>
      <c r="I38" s="352"/>
      <c r="J38" s="352"/>
      <c r="K38" s="352"/>
      <c r="L38" s="18"/>
      <c r="AC38" s="360">
        <f>IF(AC36=0,0,(($G$21/$AT$36)*AC36)*VLOOKUP('1. SUMMARY'!$C$20,rate,Sheet1!T$21,0))</f>
        <v>0</v>
      </c>
      <c r="AD38" s="360">
        <f>IF(AD36=0,0,(($G$21/$AT$36)*AD36)*VLOOKUP('1. SUMMARY'!$C$20,rate,Sheet1!U$21,0))</f>
        <v>0</v>
      </c>
      <c r="AE38" s="360">
        <f>IF(AE36=0,0,(($G$21/$AT$36)*AE36)*VLOOKUP('1. SUMMARY'!$C$20,rate,Sheet1!V$21,0))</f>
        <v>0</v>
      </c>
      <c r="AF38" s="360">
        <f>IF(AF36=0,0,(($G$21/$AT$36)*AF36)*VLOOKUP('1. SUMMARY'!$C$20,rate,Sheet1!W$21,0))</f>
        <v>0</v>
      </c>
      <c r="AG38" s="360">
        <f>IF(AG36=0,0,(($G$21/$AT$36)*AG36)*VLOOKUP('1. SUMMARY'!$C$20,rate,Sheet1!X$21,0))</f>
        <v>0</v>
      </c>
      <c r="AH38" s="360">
        <f>IF(AH36=0,0,(($G$21/$AT$36)*AH36)*VLOOKUP('1. SUMMARY'!$C$20,rate,Sheet1!Y$21,0))</f>
        <v>0</v>
      </c>
      <c r="AI38" s="360">
        <f>IF(AI36=0,0,(($G$21/$AT$36)*AI36)*VLOOKUP('1. SUMMARY'!$C$20,rate,Sheet1!Z$21,0))</f>
        <v>0</v>
      </c>
      <c r="AJ38" s="360">
        <f>IF(AJ36=0,0,(($G$21/$AT$36)*AJ36)*VLOOKUP('1. SUMMARY'!$C$20,rate,Sheet1!AA$21,0))</f>
        <v>0</v>
      </c>
      <c r="AK38" s="360">
        <f>IF(AK36=0,0,(($G$21/$AT$36)*AK36)*VLOOKUP('1. SUMMARY'!$C$20,rate,Sheet1!AB$21,0))</f>
        <v>0</v>
      </c>
      <c r="AL38" s="360">
        <f>IF(AL36=0,0,(($G$21/$AT$36)*AL36)*VLOOKUP('1. SUMMARY'!$C$20,rate,Sheet1!AC$21,0))</f>
        <v>0</v>
      </c>
      <c r="AM38" s="360">
        <f>IF(AM36=0,0,(($G$21/$AT$36)*AM36)*VLOOKUP('1. SUMMARY'!$C$20,rate,Sheet1!AD$21,0))</f>
        <v>0</v>
      </c>
      <c r="AN38" s="360">
        <f>IF(AN36=0,0,(($G$21/$AT$36)*AN36)*VLOOKUP('1. SUMMARY'!$C$20,rate,Sheet1!AE$21,0))</f>
        <v>0</v>
      </c>
      <c r="AO38" s="360">
        <f>IF(AO36=0,0,(($G$21/$AT$36)*AO36)*VLOOKUP('1. SUMMARY'!$C$20,rate,Sheet1!AF$21,0))</f>
        <v>0</v>
      </c>
      <c r="AP38" s="360">
        <f>IF(AP36=0,0,(($G$21/$AT$36)*AP36)*VLOOKUP('1. SUMMARY'!$C$20,rate,Sheet1!AG$21,0))</f>
        <v>0</v>
      </c>
      <c r="AQ38" s="360">
        <f>IF(AQ36=0,0,(($G$21/$AT$36)*AQ36)*VLOOKUP('1. SUMMARY'!$C$20,rate,Sheet1!AH$21,0))</f>
        <v>0</v>
      </c>
      <c r="AR38" s="360">
        <f>IF(AR36=0,0,(($G$21/$AT$36)*AR36)*VLOOKUP('1. SUMMARY'!$C$20,rate,Sheet1!AI$21,0))</f>
        <v>0</v>
      </c>
      <c r="AS38" s="360">
        <f>IF(AS36=0,0,(($G$21/$AT$36)*AS36)*VLOOKUP('1. SUMMARY'!$C$20,rate,Sheet1!AJ$21,0))</f>
        <v>0</v>
      </c>
      <c r="AT38" s="361">
        <f>SUM(AC38:AS38)</f>
        <v>0</v>
      </c>
      <c r="AU38" s="393"/>
      <c r="AV38" s="393"/>
      <c r="AW38" s="393"/>
      <c r="AX38" s="393"/>
    </row>
    <row r="39" spans="1:50" ht="16">
      <c r="A39" s="18"/>
      <c r="B39" s="352"/>
      <c r="C39" s="352"/>
      <c r="D39" s="352"/>
      <c r="E39" s="352"/>
      <c r="F39" s="352"/>
      <c r="G39" s="352"/>
      <c r="H39" s="352"/>
      <c r="I39" s="352"/>
      <c r="J39" s="352"/>
      <c r="K39" s="352"/>
      <c r="L39" s="18"/>
      <c r="AC39" s="148" t="e">
        <f>+($G$21/$AT$36)*AC36</f>
        <v>#DIV/0!</v>
      </c>
      <c r="AD39" s="148" t="e">
        <f t="shared" ref="AD39:AS39" si="13">+($G$21/$AT$36)*AD36</f>
        <v>#DIV/0!</v>
      </c>
      <c r="AE39" s="148" t="e">
        <f t="shared" si="13"/>
        <v>#DIV/0!</v>
      </c>
      <c r="AF39" s="148" t="e">
        <f>+($G$21/$AT$36)*AF36</f>
        <v>#DIV/0!</v>
      </c>
      <c r="AG39" s="148" t="e">
        <f t="shared" si="13"/>
        <v>#DIV/0!</v>
      </c>
      <c r="AH39" s="148" t="e">
        <f t="shared" si="13"/>
        <v>#DIV/0!</v>
      </c>
      <c r="AI39" s="148" t="e">
        <f t="shared" si="13"/>
        <v>#DIV/0!</v>
      </c>
      <c r="AJ39" s="148" t="e">
        <f t="shared" si="13"/>
        <v>#DIV/0!</v>
      </c>
      <c r="AK39" s="148" t="e">
        <f t="shared" si="13"/>
        <v>#DIV/0!</v>
      </c>
      <c r="AL39" s="148" t="e">
        <f t="shared" si="13"/>
        <v>#DIV/0!</v>
      </c>
      <c r="AM39" s="148" t="e">
        <f t="shared" si="13"/>
        <v>#DIV/0!</v>
      </c>
      <c r="AN39" s="148" t="e">
        <f t="shared" si="13"/>
        <v>#DIV/0!</v>
      </c>
      <c r="AO39" s="148" t="e">
        <f t="shared" si="13"/>
        <v>#DIV/0!</v>
      </c>
      <c r="AP39" s="148" t="e">
        <f t="shared" si="13"/>
        <v>#DIV/0!</v>
      </c>
      <c r="AQ39" s="148" t="e">
        <f t="shared" si="13"/>
        <v>#DIV/0!</v>
      </c>
      <c r="AR39" s="148" t="e">
        <f t="shared" si="13"/>
        <v>#DIV/0!</v>
      </c>
      <c r="AS39" s="148" t="e">
        <f t="shared" si="13"/>
        <v>#DIV/0!</v>
      </c>
      <c r="AT39" s="148"/>
      <c r="AU39" s="394"/>
      <c r="AV39" s="394"/>
      <c r="AW39" s="394"/>
      <c r="AX39" s="394"/>
    </row>
    <row r="40" spans="1:50" ht="16">
      <c r="A40" s="18"/>
      <c r="B40" s="352"/>
      <c r="C40" s="352"/>
      <c r="D40" s="352"/>
      <c r="E40" s="352"/>
      <c r="F40" s="352"/>
      <c r="G40" s="352"/>
      <c r="H40" s="352"/>
      <c r="I40" s="352"/>
      <c r="J40" s="352"/>
      <c r="K40" s="352"/>
      <c r="L40" s="18"/>
      <c r="AC40" s="187"/>
      <c r="AD40" s="187"/>
      <c r="AE40" s="187"/>
      <c r="AF40" s="187"/>
      <c r="AG40" s="187"/>
      <c r="AH40" s="187"/>
      <c r="AI40" s="187"/>
      <c r="AJ40" s="187"/>
      <c r="AK40" s="187"/>
      <c r="AL40" s="187"/>
      <c r="AM40" s="187"/>
      <c r="AN40" s="187"/>
      <c r="AO40" s="187"/>
      <c r="AP40" s="187"/>
      <c r="AQ40" s="187"/>
      <c r="AR40" s="187"/>
      <c r="AS40" s="187"/>
      <c r="AT40" s="187"/>
      <c r="AU40" s="394"/>
      <c r="AV40" s="394"/>
      <c r="AW40" s="394"/>
      <c r="AX40" s="394"/>
    </row>
    <row r="41" spans="1:50" ht="16">
      <c r="A41" s="18"/>
      <c r="B41" s="352"/>
      <c r="C41" s="352"/>
      <c r="D41" s="352"/>
      <c r="E41" s="352"/>
      <c r="F41" s="352"/>
      <c r="G41" s="352"/>
      <c r="H41" s="352"/>
      <c r="I41" s="352"/>
      <c r="J41" s="352"/>
      <c r="K41" s="352"/>
      <c r="L41" s="18"/>
      <c r="AC41" s="354">
        <f>+Sheet1!$T$8</f>
        <v>44105</v>
      </c>
      <c r="AD41" s="354">
        <f>+Sheet1!$U$8</f>
        <v>44470</v>
      </c>
      <c r="AE41" s="354">
        <f>+Sheet1!$V$8</f>
        <v>44835</v>
      </c>
      <c r="AF41" s="354">
        <f>+Sheet1!$W$8</f>
        <v>45200</v>
      </c>
      <c r="AG41" s="354">
        <f>+Sheet1!$X$8</f>
        <v>45566</v>
      </c>
      <c r="AH41" s="354">
        <f>+Sheet1!$Y$8</f>
        <v>45931</v>
      </c>
      <c r="AI41" s="354">
        <f>+Sheet1!$Z$8</f>
        <v>46296</v>
      </c>
      <c r="AJ41" s="354">
        <f>+Sheet1!AA$8</f>
        <v>46661</v>
      </c>
      <c r="AK41" s="354">
        <f>+Sheet1!AB$8</f>
        <v>47027</v>
      </c>
      <c r="AL41" s="354">
        <f>+Sheet1!AC$8</f>
        <v>47392</v>
      </c>
      <c r="AM41" s="354">
        <f>+Sheet1!AD$8</f>
        <v>47757</v>
      </c>
      <c r="AN41" s="354">
        <f>+Sheet1!AE$8</f>
        <v>48122</v>
      </c>
      <c r="AO41" s="354">
        <f>+Sheet1!AF$8</f>
        <v>48488</v>
      </c>
      <c r="AP41" s="354">
        <f>+Sheet1!AG$8</f>
        <v>48853</v>
      </c>
      <c r="AQ41" s="354">
        <f>+Sheet1!AH$8</f>
        <v>49218</v>
      </c>
      <c r="AR41" s="354">
        <f>+Sheet1!AI$8</f>
        <v>49583</v>
      </c>
      <c r="AS41" s="354">
        <f>+Sheet1!AJ$8</f>
        <v>49949</v>
      </c>
      <c r="AT41" s="355"/>
      <c r="AU41" s="77"/>
      <c r="AV41" s="77"/>
      <c r="AW41" s="77"/>
      <c r="AX41" s="77"/>
    </row>
    <row r="42" spans="1:50" ht="16">
      <c r="A42" s="18"/>
      <c r="B42" s="352"/>
      <c r="C42" s="352"/>
      <c r="D42" s="352"/>
      <c r="E42" s="352"/>
      <c r="F42" s="352"/>
      <c r="G42" s="352"/>
      <c r="H42" s="352"/>
      <c r="I42" s="352"/>
      <c r="J42" s="352"/>
      <c r="K42" s="352"/>
      <c r="L42" s="18"/>
      <c r="AC42" s="354">
        <f>+Sheet1!$T$9</f>
        <v>44469</v>
      </c>
      <c r="AD42" s="354">
        <f>+Sheet1!$U$9</f>
        <v>44834</v>
      </c>
      <c r="AE42" s="354">
        <f>+Sheet1!$V$9</f>
        <v>45199</v>
      </c>
      <c r="AF42" s="354">
        <f>+Sheet1!$W$9</f>
        <v>45565</v>
      </c>
      <c r="AG42" s="354">
        <f>+Sheet1!$X$9</f>
        <v>45930</v>
      </c>
      <c r="AH42" s="354">
        <f>+Sheet1!$Y$9</f>
        <v>46295</v>
      </c>
      <c r="AI42" s="354">
        <f>+Sheet1!$Z$9</f>
        <v>46660</v>
      </c>
      <c r="AJ42" s="354">
        <f>+Sheet1!AA$9</f>
        <v>47026</v>
      </c>
      <c r="AK42" s="354">
        <f>+Sheet1!AB$9</f>
        <v>47391</v>
      </c>
      <c r="AL42" s="354">
        <f>+Sheet1!AC$9</f>
        <v>47756</v>
      </c>
      <c r="AM42" s="354">
        <f>+Sheet1!AD$9</f>
        <v>48121</v>
      </c>
      <c r="AN42" s="354">
        <f>+Sheet1!AE$9</f>
        <v>48487</v>
      </c>
      <c r="AO42" s="354">
        <f>+Sheet1!AF$9</f>
        <v>48852</v>
      </c>
      <c r="AP42" s="354">
        <f>+Sheet1!AG$9</f>
        <v>49217</v>
      </c>
      <c r="AQ42" s="354">
        <f>+Sheet1!AH$9</f>
        <v>49582</v>
      </c>
      <c r="AR42" s="354">
        <f>+Sheet1!AI$9</f>
        <v>49948</v>
      </c>
      <c r="AS42" s="354">
        <f>+Sheet1!AJ$9</f>
        <v>50313</v>
      </c>
      <c r="AT42" s="355"/>
    </row>
    <row r="43" spans="1:50" ht="16">
      <c r="A43" s="18"/>
      <c r="B43" s="352"/>
      <c r="C43" s="352"/>
      <c r="D43" s="352"/>
      <c r="E43" s="352"/>
      <c r="F43" s="352"/>
      <c r="G43" s="352"/>
      <c r="H43" s="352"/>
      <c r="I43" s="352"/>
      <c r="J43" s="352"/>
      <c r="K43" s="352"/>
      <c r="L43" s="18"/>
      <c r="AB43" s="353">
        <v>7</v>
      </c>
      <c r="AC43" s="466">
        <f>+'4. SUBAWARDS'!Q37</f>
        <v>0</v>
      </c>
      <c r="AD43" s="466">
        <f>+'4. SUBAWARDS'!R37</f>
        <v>0</v>
      </c>
      <c r="AE43" s="466">
        <f>+'4. SUBAWARDS'!S37</f>
        <v>0</v>
      </c>
      <c r="AF43" s="466">
        <f>+'4. SUBAWARDS'!T37</f>
        <v>0</v>
      </c>
      <c r="AG43" s="466">
        <f>+'4. SUBAWARDS'!U37</f>
        <v>0</v>
      </c>
      <c r="AH43" s="466">
        <f>+'4. SUBAWARDS'!V37</f>
        <v>0</v>
      </c>
      <c r="AI43" s="466">
        <f>+'4. SUBAWARDS'!W37</f>
        <v>0</v>
      </c>
      <c r="AJ43" s="466">
        <f>+'4. SUBAWARDS'!X37</f>
        <v>0</v>
      </c>
      <c r="AK43" s="466">
        <f>+'4. SUBAWARDS'!Y37</f>
        <v>0</v>
      </c>
      <c r="AL43" s="466">
        <f>+'4. SUBAWARDS'!Z37</f>
        <v>0</v>
      </c>
      <c r="AM43" s="466">
        <f>+'4. SUBAWARDS'!AA37</f>
        <v>0</v>
      </c>
      <c r="AN43" s="466">
        <f>+'4. SUBAWARDS'!AB37</f>
        <v>0</v>
      </c>
      <c r="AO43" s="466">
        <f>+'4. SUBAWARDS'!AC37</f>
        <v>0</v>
      </c>
      <c r="AP43" s="466">
        <f>+'4. SUBAWARDS'!AD37</f>
        <v>0</v>
      </c>
      <c r="AQ43" s="466">
        <f>+'4. SUBAWARDS'!AE37</f>
        <v>0</v>
      </c>
      <c r="AR43" s="466">
        <f>+'4. SUBAWARDS'!AF37</f>
        <v>0</v>
      </c>
      <c r="AS43" s="466">
        <f>+'4. SUBAWARDS'!AG37</f>
        <v>0</v>
      </c>
      <c r="AT43" s="355">
        <f>SUM(AC43:AS43)</f>
        <v>0</v>
      </c>
    </row>
    <row r="44" spans="1:50" ht="16">
      <c r="A44" s="18"/>
      <c r="B44" s="352"/>
      <c r="C44" s="352"/>
      <c r="D44" s="352"/>
      <c r="E44" s="352"/>
      <c r="F44" s="352"/>
      <c r="G44" s="352"/>
      <c r="H44" s="352"/>
      <c r="I44" s="352"/>
      <c r="J44" s="352"/>
      <c r="K44" s="352"/>
      <c r="L44" s="18"/>
      <c r="AC44" s="367">
        <f>VLOOKUP('1. SUMMARY'!$C$20,rate,Sheet1!T$21,0)</f>
        <v>0.68</v>
      </c>
      <c r="AD44" s="367">
        <f>VLOOKUP('1. SUMMARY'!$C$20,rate,Sheet1!U$21,0)</f>
        <v>0.68</v>
      </c>
      <c r="AE44" s="367">
        <f>VLOOKUP('1. SUMMARY'!$C$20,rate,Sheet1!V$21,0)</f>
        <v>0.68</v>
      </c>
      <c r="AF44" s="367">
        <f>VLOOKUP('1. SUMMARY'!$C$20,rate,Sheet1!W$21,0)</f>
        <v>0.68</v>
      </c>
      <c r="AG44" s="367">
        <f>VLOOKUP('1. SUMMARY'!$C$20,rate,Sheet1!X$21,0)</f>
        <v>0.68</v>
      </c>
      <c r="AH44" s="367">
        <f>VLOOKUP('1. SUMMARY'!$C$20,rate,Sheet1!Y$21,0)</f>
        <v>0.68</v>
      </c>
      <c r="AI44" s="367">
        <f>VLOOKUP('1. SUMMARY'!$C$20,rate,Sheet1!Z$21,0)</f>
        <v>0.68</v>
      </c>
      <c r="AJ44" s="367">
        <f>VLOOKUP('1. SUMMARY'!$C$20,rate,Sheet1!AA$21,0)</f>
        <v>0.68</v>
      </c>
      <c r="AK44" s="367">
        <f>VLOOKUP('1. SUMMARY'!$C$20,rate,Sheet1!AB$21,0)</f>
        <v>0.68</v>
      </c>
      <c r="AL44" s="367">
        <f>VLOOKUP('1. SUMMARY'!$C$20,rate,Sheet1!AC$21,0)</f>
        <v>0.68</v>
      </c>
      <c r="AM44" s="367">
        <f>VLOOKUP('1. SUMMARY'!$C$20,rate,Sheet1!AD$21,0)</f>
        <v>0.68</v>
      </c>
      <c r="AN44" s="367">
        <f>VLOOKUP('1. SUMMARY'!$C$20,rate,Sheet1!AE$21,0)</f>
        <v>0.68</v>
      </c>
      <c r="AO44" s="367">
        <f>VLOOKUP('1. SUMMARY'!$C$20,rate,Sheet1!AF$21,0)</f>
        <v>0.68</v>
      </c>
      <c r="AP44" s="367">
        <f>VLOOKUP('1. SUMMARY'!$C$20,rate,Sheet1!AG$21,0)</f>
        <v>0.68</v>
      </c>
      <c r="AQ44" s="367">
        <f>VLOOKUP('1. SUMMARY'!$C$20,rate,Sheet1!AH$21,0)</f>
        <v>0.68</v>
      </c>
      <c r="AR44" s="367">
        <f>VLOOKUP('1. SUMMARY'!$C$20,rate,Sheet1!AI$21,0)</f>
        <v>0.68</v>
      </c>
      <c r="AS44" s="367">
        <f>VLOOKUP('1. SUMMARY'!$C$20,rate,Sheet1!AJ$21,0)</f>
        <v>0.68</v>
      </c>
      <c r="AT44" s="358"/>
    </row>
    <row r="45" spans="1:50" ht="16">
      <c r="A45" s="18"/>
      <c r="B45" s="352"/>
      <c r="C45" s="352"/>
      <c r="D45" s="352"/>
      <c r="E45" s="352"/>
      <c r="F45" s="352"/>
      <c r="G45" s="352"/>
      <c r="H45" s="352"/>
      <c r="I45" s="352"/>
      <c r="J45" s="352"/>
      <c r="K45" s="352"/>
      <c r="L45" s="18"/>
      <c r="AC45" s="360">
        <f>IF(AC43=0,0,(($H$21/$AT$43)*AC43)*VLOOKUP('1. SUMMARY'!$C$20,rate,Sheet1!T$21,0))</f>
        <v>0</v>
      </c>
      <c r="AD45" s="360">
        <f>IF(AD43=0,0,(($H$21/$AT$43)*AD43)*VLOOKUP('1. SUMMARY'!$C$20,rate,Sheet1!U$21,0))</f>
        <v>0</v>
      </c>
      <c r="AE45" s="360">
        <f>IF(AE43=0,0,(($H$21/$AT$43)*AE43)*VLOOKUP('1. SUMMARY'!$C$20,rate,Sheet1!V$21,0))</f>
        <v>0</v>
      </c>
      <c r="AF45" s="360">
        <f>IF(AF43=0,0,(($H$21/$AT$43)*AF43)*VLOOKUP('1. SUMMARY'!$C$20,rate,Sheet1!W$21,0))</f>
        <v>0</v>
      </c>
      <c r="AG45" s="360">
        <f>IF(AG43=0,0,(($H$21/$AT$43)*AG43)*VLOOKUP('1. SUMMARY'!$C$20,rate,Sheet1!X$21,0))</f>
        <v>0</v>
      </c>
      <c r="AH45" s="360">
        <f>IF(AH43=0,0,(($H$21/$AT$43)*AH43)*VLOOKUP('1. SUMMARY'!$C$20,rate,Sheet1!Y$21,0))</f>
        <v>0</v>
      </c>
      <c r="AI45" s="360">
        <f>IF(AI43=0,0,(($H$21/$AT$43)*AI43)*VLOOKUP('1. SUMMARY'!$C$20,rate,Sheet1!Z$21,0))</f>
        <v>0</v>
      </c>
      <c r="AJ45" s="360">
        <f>IF(AJ43=0,0,(($H$21/$AT$43)*AJ43)*VLOOKUP('1. SUMMARY'!$C$20,rate,Sheet1!AA$21,0))</f>
        <v>0</v>
      </c>
      <c r="AK45" s="360">
        <f>IF(AK43=0,0,(($H$21/$AT$43)*AK43)*VLOOKUP('1. SUMMARY'!$C$20,rate,Sheet1!AB$21,0))</f>
        <v>0</v>
      </c>
      <c r="AL45" s="360">
        <f>IF(AL43=0,0,(($H$21/$AT$43)*AL43)*VLOOKUP('1. SUMMARY'!$C$20,rate,Sheet1!AC$21,0))</f>
        <v>0</v>
      </c>
      <c r="AM45" s="360">
        <f>IF(AM43=0,0,(($H$21/$AT$43)*AM43)*VLOOKUP('1. SUMMARY'!$C$20,rate,Sheet1!AD$21,0))</f>
        <v>0</v>
      </c>
      <c r="AN45" s="360">
        <f>IF(AN43=0,0,(($H$21/$AT$43)*AN43)*VLOOKUP('1. SUMMARY'!$C$20,rate,Sheet1!AE$21,0))</f>
        <v>0</v>
      </c>
      <c r="AO45" s="360">
        <f>IF(AO43=0,0,(($H$21/$AT$43)*AO43)*VLOOKUP('1. SUMMARY'!$C$20,rate,Sheet1!AF$21,0))</f>
        <v>0</v>
      </c>
      <c r="AP45" s="360">
        <f>IF(AP43=0,0,(($H$21/$AT$43)*AP43)*VLOOKUP('1. SUMMARY'!$C$20,rate,Sheet1!AG$21,0))</f>
        <v>0</v>
      </c>
      <c r="AQ45" s="360">
        <f>IF(AQ43=0,0,(($H$21/$AT$43)*AQ43)*VLOOKUP('1. SUMMARY'!$C$20,rate,Sheet1!AH$21,0))</f>
        <v>0</v>
      </c>
      <c r="AR45" s="360">
        <f>IF(AR43=0,0,(($H$21/$AT$43)*AR43)*VLOOKUP('1. SUMMARY'!$C$20,rate,Sheet1!AI$21,0))</f>
        <v>0</v>
      </c>
      <c r="AS45" s="360">
        <f>IF(AS43=0,0,(($H$21/$AT$43)*AS43)*VLOOKUP('1. SUMMARY'!$C$20,rate,Sheet1!AJ$21,0))</f>
        <v>0</v>
      </c>
      <c r="AT45" s="361">
        <f>SUM(AC45:AS45)</f>
        <v>0</v>
      </c>
    </row>
    <row r="46" spans="1:50" ht="16">
      <c r="A46" s="18"/>
      <c r="B46" s="352"/>
      <c r="C46" s="352"/>
      <c r="D46" s="352"/>
      <c r="E46" s="352"/>
      <c r="F46" s="352"/>
      <c r="G46" s="352"/>
      <c r="H46" s="352"/>
      <c r="I46" s="352"/>
      <c r="J46" s="352"/>
      <c r="K46" s="352"/>
      <c r="L46" s="18"/>
      <c r="AC46" s="148" t="e">
        <f>+($H$21/$AT$36)*AC43</f>
        <v>#DIV/0!</v>
      </c>
      <c r="AD46" s="148" t="e">
        <f t="shared" ref="AD46:AS46" si="14">+($H$21/$AT$36)*AD43</f>
        <v>#DIV/0!</v>
      </c>
      <c r="AE46" s="148" t="e">
        <f t="shared" si="14"/>
        <v>#DIV/0!</v>
      </c>
      <c r="AF46" s="148" t="e">
        <f t="shared" si="14"/>
        <v>#DIV/0!</v>
      </c>
      <c r="AG46" s="148" t="e">
        <f t="shared" si="14"/>
        <v>#DIV/0!</v>
      </c>
      <c r="AH46" s="148" t="e">
        <f t="shared" si="14"/>
        <v>#DIV/0!</v>
      </c>
      <c r="AI46" s="148" t="e">
        <f t="shared" si="14"/>
        <v>#DIV/0!</v>
      </c>
      <c r="AJ46" s="148" t="e">
        <f t="shared" si="14"/>
        <v>#DIV/0!</v>
      </c>
      <c r="AK46" s="148" t="e">
        <f t="shared" si="14"/>
        <v>#DIV/0!</v>
      </c>
      <c r="AL46" s="148" t="e">
        <f t="shared" si="14"/>
        <v>#DIV/0!</v>
      </c>
      <c r="AM46" s="148" t="e">
        <f t="shared" si="14"/>
        <v>#DIV/0!</v>
      </c>
      <c r="AN46" s="148" t="e">
        <f t="shared" si="14"/>
        <v>#DIV/0!</v>
      </c>
      <c r="AO46" s="148" t="e">
        <f t="shared" si="14"/>
        <v>#DIV/0!</v>
      </c>
      <c r="AP46" s="148" t="e">
        <f t="shared" si="14"/>
        <v>#DIV/0!</v>
      </c>
      <c r="AQ46" s="148" t="e">
        <f t="shared" si="14"/>
        <v>#DIV/0!</v>
      </c>
      <c r="AR46" s="148" t="e">
        <f t="shared" si="14"/>
        <v>#DIV/0!</v>
      </c>
      <c r="AS46" s="148" t="e">
        <f t="shared" si="14"/>
        <v>#DIV/0!</v>
      </c>
      <c r="AT46" s="148"/>
    </row>
    <row r="47" spans="1:50" ht="16">
      <c r="A47" s="18"/>
      <c r="B47" s="352"/>
      <c r="C47" s="352"/>
      <c r="D47" s="352"/>
      <c r="E47" s="352"/>
      <c r="F47" s="352"/>
      <c r="G47" s="352"/>
      <c r="H47" s="352"/>
      <c r="I47" s="352"/>
      <c r="J47" s="352"/>
      <c r="K47" s="352"/>
      <c r="L47" s="18"/>
      <c r="AC47" s="354">
        <f>+Sheet1!$T$8</f>
        <v>44105</v>
      </c>
      <c r="AD47" s="354">
        <f>+Sheet1!$U$8</f>
        <v>44470</v>
      </c>
      <c r="AE47" s="354">
        <f>+Sheet1!$V$8</f>
        <v>44835</v>
      </c>
      <c r="AF47" s="354">
        <f>+Sheet1!$W$8</f>
        <v>45200</v>
      </c>
      <c r="AG47" s="354">
        <f>+Sheet1!$X$8</f>
        <v>45566</v>
      </c>
      <c r="AH47" s="354">
        <f>+Sheet1!$Y$8</f>
        <v>45931</v>
      </c>
      <c r="AI47" s="354">
        <f>+Sheet1!$Z$8</f>
        <v>46296</v>
      </c>
      <c r="AJ47" s="354">
        <f>+Sheet1!AA$8</f>
        <v>46661</v>
      </c>
      <c r="AK47" s="354">
        <f>+Sheet1!AB$8</f>
        <v>47027</v>
      </c>
      <c r="AL47" s="354">
        <f>+Sheet1!AC$8</f>
        <v>47392</v>
      </c>
      <c r="AM47" s="354">
        <f>+Sheet1!AD$8</f>
        <v>47757</v>
      </c>
      <c r="AN47" s="354">
        <f>+Sheet1!AE$8</f>
        <v>48122</v>
      </c>
      <c r="AO47" s="354">
        <f>+Sheet1!AF$8</f>
        <v>48488</v>
      </c>
      <c r="AP47" s="354">
        <f>+Sheet1!AG$8</f>
        <v>48853</v>
      </c>
      <c r="AQ47" s="354">
        <f>+Sheet1!AH$8</f>
        <v>49218</v>
      </c>
      <c r="AR47" s="354">
        <f>+Sheet1!AI$8</f>
        <v>49583</v>
      </c>
      <c r="AS47" s="354">
        <f>+Sheet1!AJ$8</f>
        <v>49949</v>
      </c>
      <c r="AT47" s="355"/>
    </row>
    <row r="48" spans="1:50" ht="16">
      <c r="A48" s="18"/>
      <c r="B48" s="352"/>
      <c r="C48" s="352"/>
      <c r="D48" s="352"/>
      <c r="E48" s="352"/>
      <c r="F48" s="352"/>
      <c r="G48" s="352"/>
      <c r="H48" s="352"/>
      <c r="I48" s="352"/>
      <c r="J48" s="352"/>
      <c r="K48" s="352"/>
      <c r="L48" s="18"/>
      <c r="AC48" s="354">
        <f>+Sheet1!$T$9</f>
        <v>44469</v>
      </c>
      <c r="AD48" s="354">
        <f>+Sheet1!$U$9</f>
        <v>44834</v>
      </c>
      <c r="AE48" s="354">
        <f>+Sheet1!$V$9</f>
        <v>45199</v>
      </c>
      <c r="AF48" s="354">
        <f>+Sheet1!$W$9</f>
        <v>45565</v>
      </c>
      <c r="AG48" s="354">
        <f>+Sheet1!$X$9</f>
        <v>45930</v>
      </c>
      <c r="AH48" s="354">
        <f>+Sheet1!$Y$9</f>
        <v>46295</v>
      </c>
      <c r="AI48" s="354">
        <f>+Sheet1!$Z$9</f>
        <v>46660</v>
      </c>
      <c r="AJ48" s="354">
        <f>+Sheet1!AA$9</f>
        <v>47026</v>
      </c>
      <c r="AK48" s="354">
        <f>+Sheet1!AB$9</f>
        <v>47391</v>
      </c>
      <c r="AL48" s="354">
        <f>+Sheet1!AC$9</f>
        <v>47756</v>
      </c>
      <c r="AM48" s="354">
        <f>+Sheet1!AD$9</f>
        <v>48121</v>
      </c>
      <c r="AN48" s="354">
        <f>+Sheet1!AE$9</f>
        <v>48487</v>
      </c>
      <c r="AO48" s="354">
        <f>+Sheet1!AF$9</f>
        <v>48852</v>
      </c>
      <c r="AP48" s="354">
        <f>+Sheet1!AG$9</f>
        <v>49217</v>
      </c>
      <c r="AQ48" s="354">
        <f>+Sheet1!AH$9</f>
        <v>49582</v>
      </c>
      <c r="AR48" s="354">
        <f>+Sheet1!AI$9</f>
        <v>49948</v>
      </c>
      <c r="AS48" s="354">
        <f>+Sheet1!AJ$9</f>
        <v>50313</v>
      </c>
      <c r="AT48" s="355"/>
    </row>
    <row r="49" spans="1:46" ht="16">
      <c r="A49" s="18"/>
      <c r="B49" s="352"/>
      <c r="C49" s="352"/>
      <c r="D49" s="352"/>
      <c r="E49" s="352"/>
      <c r="F49" s="352"/>
      <c r="G49" s="352"/>
      <c r="H49" s="352"/>
      <c r="I49" s="352"/>
      <c r="J49" s="352"/>
      <c r="K49" s="352"/>
      <c r="L49" s="18"/>
      <c r="AB49" s="353">
        <v>8</v>
      </c>
      <c r="AC49" s="466">
        <f>+'4. SUBAWARDS'!Q42</f>
        <v>0</v>
      </c>
      <c r="AD49" s="466">
        <f>+'4. SUBAWARDS'!R42</f>
        <v>0</v>
      </c>
      <c r="AE49" s="466">
        <f>+'4. SUBAWARDS'!S42</f>
        <v>0</v>
      </c>
      <c r="AF49" s="466">
        <f>+'4. SUBAWARDS'!T42</f>
        <v>0</v>
      </c>
      <c r="AG49" s="466">
        <f>+'4. SUBAWARDS'!U42</f>
        <v>0</v>
      </c>
      <c r="AH49" s="466">
        <f>+'4. SUBAWARDS'!V42</f>
        <v>0</v>
      </c>
      <c r="AI49" s="466">
        <f>+'4. SUBAWARDS'!W42</f>
        <v>0</v>
      </c>
      <c r="AJ49" s="466">
        <f>+'4. SUBAWARDS'!X42</f>
        <v>0</v>
      </c>
      <c r="AK49" s="466">
        <f>+'4. SUBAWARDS'!Y42</f>
        <v>0</v>
      </c>
      <c r="AL49" s="466">
        <f>+'4. SUBAWARDS'!Z42</f>
        <v>0</v>
      </c>
      <c r="AM49" s="466">
        <f>+'4. SUBAWARDS'!AA42</f>
        <v>0</v>
      </c>
      <c r="AN49" s="466">
        <f>+'4. SUBAWARDS'!AB42</f>
        <v>0</v>
      </c>
      <c r="AO49" s="466">
        <f>+'4. SUBAWARDS'!AC42</f>
        <v>0</v>
      </c>
      <c r="AP49" s="466">
        <f>+'4. SUBAWARDS'!AD42</f>
        <v>0</v>
      </c>
      <c r="AQ49" s="466">
        <f>+'4. SUBAWARDS'!AE42</f>
        <v>0</v>
      </c>
      <c r="AR49" s="466">
        <f>+'4. SUBAWARDS'!AF42</f>
        <v>0</v>
      </c>
      <c r="AS49" s="466">
        <f>+'4. SUBAWARDS'!AG42</f>
        <v>0</v>
      </c>
      <c r="AT49" s="355">
        <f>SUM(AC49:AS49)</f>
        <v>0</v>
      </c>
    </row>
    <row r="50" spans="1:46" ht="16">
      <c r="A50" s="18"/>
      <c r="B50" s="352"/>
      <c r="C50" s="352"/>
      <c r="D50" s="352"/>
      <c r="E50" s="352"/>
      <c r="F50" s="352"/>
      <c r="G50" s="352"/>
      <c r="H50" s="352"/>
      <c r="I50" s="352"/>
      <c r="J50" s="352"/>
      <c r="K50" s="352"/>
      <c r="L50" s="18"/>
      <c r="AC50" s="367">
        <f>VLOOKUP('1. SUMMARY'!$C$20,rate,Sheet1!T$21,0)</f>
        <v>0.68</v>
      </c>
      <c r="AD50" s="367">
        <f>VLOOKUP('1. SUMMARY'!$C$20,rate,Sheet1!U$21,0)</f>
        <v>0.68</v>
      </c>
      <c r="AE50" s="367">
        <f>VLOOKUP('1. SUMMARY'!$C$20,rate,Sheet1!V$21,0)</f>
        <v>0.68</v>
      </c>
      <c r="AF50" s="367">
        <f>VLOOKUP('1. SUMMARY'!$C$20,rate,Sheet1!W$21,0)</f>
        <v>0.68</v>
      </c>
      <c r="AG50" s="367">
        <f>VLOOKUP('1. SUMMARY'!$C$20,rate,Sheet1!X$21,0)</f>
        <v>0.68</v>
      </c>
      <c r="AH50" s="367">
        <f>VLOOKUP('1. SUMMARY'!$C$20,rate,Sheet1!Y$21,0)</f>
        <v>0.68</v>
      </c>
      <c r="AI50" s="367">
        <f>VLOOKUP('1. SUMMARY'!$C$20,rate,Sheet1!Z$21,0)</f>
        <v>0.68</v>
      </c>
      <c r="AJ50" s="367">
        <f>VLOOKUP('1. SUMMARY'!$C$20,rate,Sheet1!AA$21,0)</f>
        <v>0.68</v>
      </c>
      <c r="AK50" s="367">
        <f>VLOOKUP('1. SUMMARY'!$C$20,rate,Sheet1!AB$21,0)</f>
        <v>0.68</v>
      </c>
      <c r="AL50" s="367">
        <f>VLOOKUP('1. SUMMARY'!$C$20,rate,Sheet1!AC$21,0)</f>
        <v>0.68</v>
      </c>
      <c r="AM50" s="367">
        <f>VLOOKUP('1. SUMMARY'!$C$20,rate,Sheet1!AD$21,0)</f>
        <v>0.68</v>
      </c>
      <c r="AN50" s="367">
        <f>VLOOKUP('1. SUMMARY'!$C$20,rate,Sheet1!AE$21,0)</f>
        <v>0.68</v>
      </c>
      <c r="AO50" s="367">
        <f>VLOOKUP('1. SUMMARY'!$C$20,rate,Sheet1!AF$21,0)</f>
        <v>0.68</v>
      </c>
      <c r="AP50" s="367">
        <f>VLOOKUP('1. SUMMARY'!$C$20,rate,Sheet1!AG$21,0)</f>
        <v>0.68</v>
      </c>
      <c r="AQ50" s="367">
        <f>VLOOKUP('1. SUMMARY'!$C$20,rate,Sheet1!AH$21,0)</f>
        <v>0.68</v>
      </c>
      <c r="AR50" s="367">
        <f>VLOOKUP('1. SUMMARY'!$C$20,rate,Sheet1!AI$21,0)</f>
        <v>0.68</v>
      </c>
      <c r="AS50" s="367">
        <f>VLOOKUP('1. SUMMARY'!$C$20,rate,Sheet1!AJ$21,0)</f>
        <v>0.68</v>
      </c>
      <c r="AT50" s="358"/>
    </row>
    <row r="51" spans="1:46" ht="16">
      <c r="A51" s="18"/>
      <c r="B51" s="352"/>
      <c r="C51" s="352"/>
      <c r="D51" s="352"/>
      <c r="E51" s="352"/>
      <c r="F51" s="352"/>
      <c r="G51" s="352"/>
      <c r="H51" s="352"/>
      <c r="I51" s="352"/>
      <c r="J51" s="352"/>
      <c r="K51" s="352"/>
      <c r="L51" s="18"/>
      <c r="AC51" s="360">
        <f>IF(AC49=0,0,(($I$21/$AT$49)*AC49)*VLOOKUP('1. SUMMARY'!$C$20,rate,Sheet1!T$21,0))</f>
        <v>0</v>
      </c>
      <c r="AD51" s="360">
        <f>IF(AD49=0,0,(($I$21/$AT$49)*AD49)*VLOOKUP('1. SUMMARY'!$C$20,rate,Sheet1!U$21,0))</f>
        <v>0</v>
      </c>
      <c r="AE51" s="360">
        <f>IF(AE49=0,0,(($I$21/$AT$49)*AE49)*VLOOKUP('1. SUMMARY'!$C$20,rate,Sheet1!V$21,0))</f>
        <v>0</v>
      </c>
      <c r="AF51" s="360">
        <f>IF(AF49=0,0,(($I$21/$AT$49)*AF49)*VLOOKUP('1. SUMMARY'!$C$20,rate,Sheet1!W$21,0))</f>
        <v>0</v>
      </c>
      <c r="AG51" s="360">
        <f>IF(AG49=0,0,(($I$21/$AT$49)*AG49)*VLOOKUP('1. SUMMARY'!$C$20,rate,Sheet1!X$21,0))</f>
        <v>0</v>
      </c>
      <c r="AH51" s="360">
        <f>IF(AH49=0,0,(($I$21/$AT$49)*AH49)*VLOOKUP('1. SUMMARY'!$C$20,rate,Sheet1!Y$21,0))</f>
        <v>0</v>
      </c>
      <c r="AI51" s="360">
        <f>IF(AI49=0,0,(($I$21/$AT$49)*AI49)*VLOOKUP('1. SUMMARY'!$C$20,rate,Sheet1!Z$21,0))</f>
        <v>0</v>
      </c>
      <c r="AJ51" s="360">
        <f>IF(AJ49=0,0,(($I$21/$AT$49)*AJ49)*VLOOKUP('1. SUMMARY'!$C$20,rate,Sheet1!AA$21,0))</f>
        <v>0</v>
      </c>
      <c r="AK51" s="360">
        <f>IF(AK49=0,0,(($I$21/$AT$49)*AK49)*VLOOKUP('1. SUMMARY'!$C$20,rate,Sheet1!AB$21,0))</f>
        <v>0</v>
      </c>
      <c r="AL51" s="360">
        <f>IF(AL49=0,0,(($I$21/$AT$49)*AL49)*VLOOKUP('1. SUMMARY'!$C$20,rate,Sheet1!AC$21,0))</f>
        <v>0</v>
      </c>
      <c r="AM51" s="360">
        <f>IF(AM49=0,0,(($I$21/$AT$49)*AM49)*VLOOKUP('1. SUMMARY'!$C$20,rate,Sheet1!AD$21,0))</f>
        <v>0</v>
      </c>
      <c r="AN51" s="360">
        <f>IF(AN49=0,0,(($I$21/$AT$49)*AN49)*VLOOKUP('1. SUMMARY'!$C$20,rate,Sheet1!AE$21,0))</f>
        <v>0</v>
      </c>
      <c r="AO51" s="360">
        <f>IF(AO49=0,0,(($I$21/$AT$49)*AO49)*VLOOKUP('1. SUMMARY'!$C$20,rate,Sheet1!AF$21,0))</f>
        <v>0</v>
      </c>
      <c r="AP51" s="360">
        <f>IF(AP49=0,0,(($I$21/$AT$49)*AP49)*VLOOKUP('1. SUMMARY'!$C$20,rate,Sheet1!AG$21,0))</f>
        <v>0</v>
      </c>
      <c r="AQ51" s="360">
        <f>IF(AQ49=0,0,(($I$21/$AT$49)*AQ49)*VLOOKUP('1. SUMMARY'!$C$20,rate,Sheet1!AH$21,0))</f>
        <v>0</v>
      </c>
      <c r="AR51" s="360">
        <f>IF(AR49=0,0,(($I$21/$AT$49)*AR49)*VLOOKUP('1. SUMMARY'!$C$20,rate,Sheet1!AI$21,0))</f>
        <v>0</v>
      </c>
      <c r="AS51" s="360">
        <f>IF(AS49=0,0,(($I$21/$AT$49)*AS49)*VLOOKUP('1. SUMMARY'!$C$20,rate,Sheet1!AJ$21,0))</f>
        <v>0</v>
      </c>
      <c r="AT51" s="361">
        <f>SUM(AC51:AS51)</f>
        <v>0</v>
      </c>
    </row>
    <row r="52" spans="1:46" ht="16">
      <c r="A52" s="18"/>
      <c r="B52" s="352"/>
      <c r="C52" s="352"/>
      <c r="D52" s="352"/>
      <c r="E52" s="352"/>
      <c r="F52" s="352"/>
      <c r="G52" s="352"/>
      <c r="H52" s="352"/>
      <c r="I52" s="352"/>
      <c r="J52" s="352"/>
      <c r="K52" s="352"/>
      <c r="L52" s="18"/>
      <c r="AC52" s="148" t="e">
        <f>+($I$21/$AT$36)*AC49</f>
        <v>#DIV/0!</v>
      </c>
      <c r="AD52" s="148" t="e">
        <f t="shared" ref="AD52:AS52" si="15">+($I$21/$AT$36)*AD49</f>
        <v>#DIV/0!</v>
      </c>
      <c r="AE52" s="148" t="e">
        <f t="shared" si="15"/>
        <v>#DIV/0!</v>
      </c>
      <c r="AF52" s="148" t="e">
        <f t="shared" si="15"/>
        <v>#DIV/0!</v>
      </c>
      <c r="AG52" s="148" t="e">
        <f t="shared" si="15"/>
        <v>#DIV/0!</v>
      </c>
      <c r="AH52" s="148" t="e">
        <f t="shared" si="15"/>
        <v>#DIV/0!</v>
      </c>
      <c r="AI52" s="148" t="e">
        <f t="shared" si="15"/>
        <v>#DIV/0!</v>
      </c>
      <c r="AJ52" s="148" t="e">
        <f t="shared" si="15"/>
        <v>#DIV/0!</v>
      </c>
      <c r="AK52" s="148" t="e">
        <f t="shared" si="15"/>
        <v>#DIV/0!</v>
      </c>
      <c r="AL52" s="148" t="e">
        <f t="shared" si="15"/>
        <v>#DIV/0!</v>
      </c>
      <c r="AM52" s="148" t="e">
        <f t="shared" si="15"/>
        <v>#DIV/0!</v>
      </c>
      <c r="AN52" s="148" t="e">
        <f t="shared" si="15"/>
        <v>#DIV/0!</v>
      </c>
      <c r="AO52" s="148" t="e">
        <f t="shared" si="15"/>
        <v>#DIV/0!</v>
      </c>
      <c r="AP52" s="148" t="e">
        <f t="shared" si="15"/>
        <v>#DIV/0!</v>
      </c>
      <c r="AQ52" s="148" t="e">
        <f t="shared" si="15"/>
        <v>#DIV/0!</v>
      </c>
      <c r="AR52" s="148" t="e">
        <f t="shared" si="15"/>
        <v>#DIV/0!</v>
      </c>
      <c r="AS52" s="148" t="e">
        <f t="shared" si="15"/>
        <v>#DIV/0!</v>
      </c>
      <c r="AT52" s="187"/>
    </row>
    <row r="53" spans="1:46" ht="16">
      <c r="A53" s="18"/>
      <c r="B53" s="352"/>
      <c r="C53" s="352"/>
      <c r="D53" s="352"/>
      <c r="E53" s="352"/>
      <c r="F53" s="352"/>
      <c r="G53" s="352"/>
      <c r="H53" s="352"/>
      <c r="I53" s="352"/>
      <c r="J53" s="352"/>
      <c r="K53" s="352"/>
      <c r="L53" s="18"/>
      <c r="AC53" s="354">
        <f>+Sheet1!$T$8</f>
        <v>44105</v>
      </c>
      <c r="AD53" s="354">
        <f>+Sheet1!$U$8</f>
        <v>44470</v>
      </c>
      <c r="AE53" s="354">
        <f>+Sheet1!$V$8</f>
        <v>44835</v>
      </c>
      <c r="AF53" s="354">
        <f>+Sheet1!$W$8</f>
        <v>45200</v>
      </c>
      <c r="AG53" s="354">
        <f>+Sheet1!$X$8</f>
        <v>45566</v>
      </c>
      <c r="AH53" s="354">
        <f>+Sheet1!$Y$8</f>
        <v>45931</v>
      </c>
      <c r="AI53" s="354">
        <f>+Sheet1!$Z$8</f>
        <v>46296</v>
      </c>
      <c r="AJ53" s="354">
        <f>+Sheet1!AA$8</f>
        <v>46661</v>
      </c>
      <c r="AK53" s="354">
        <f>+Sheet1!AB$8</f>
        <v>47027</v>
      </c>
      <c r="AL53" s="354">
        <f>+Sheet1!AC$8</f>
        <v>47392</v>
      </c>
      <c r="AM53" s="354">
        <f>+Sheet1!AD$8</f>
        <v>47757</v>
      </c>
      <c r="AN53" s="354">
        <f>+Sheet1!AE$8</f>
        <v>48122</v>
      </c>
      <c r="AO53" s="354">
        <f>+Sheet1!AF$8</f>
        <v>48488</v>
      </c>
      <c r="AP53" s="354">
        <f>+Sheet1!AG$8</f>
        <v>48853</v>
      </c>
      <c r="AQ53" s="354">
        <f>+Sheet1!AH$8</f>
        <v>49218</v>
      </c>
      <c r="AR53" s="354">
        <f>+Sheet1!AI$8</f>
        <v>49583</v>
      </c>
      <c r="AS53" s="354">
        <f>+Sheet1!AJ$8</f>
        <v>49949</v>
      </c>
      <c r="AT53" s="355"/>
    </row>
    <row r="54" spans="1:46" ht="16">
      <c r="A54" s="18"/>
      <c r="B54" s="352"/>
      <c r="C54" s="352"/>
      <c r="D54" s="352"/>
      <c r="E54" s="352"/>
      <c r="F54" s="352"/>
      <c r="G54" s="352"/>
      <c r="H54" s="352"/>
      <c r="I54" s="352"/>
      <c r="J54" s="352"/>
      <c r="K54" s="352"/>
      <c r="L54" s="18"/>
      <c r="AC54" s="354">
        <f>+Sheet1!$T$9</f>
        <v>44469</v>
      </c>
      <c r="AD54" s="354">
        <f>+Sheet1!$U$9</f>
        <v>44834</v>
      </c>
      <c r="AE54" s="354">
        <f>+Sheet1!$V$9</f>
        <v>45199</v>
      </c>
      <c r="AF54" s="354">
        <f>+Sheet1!$W$9</f>
        <v>45565</v>
      </c>
      <c r="AG54" s="354">
        <f>+Sheet1!$X$9</f>
        <v>45930</v>
      </c>
      <c r="AH54" s="354">
        <f>+Sheet1!$Y$9</f>
        <v>46295</v>
      </c>
      <c r="AI54" s="354">
        <f>+Sheet1!$Z$9</f>
        <v>46660</v>
      </c>
      <c r="AJ54" s="354">
        <f>+Sheet1!AA$9</f>
        <v>47026</v>
      </c>
      <c r="AK54" s="354">
        <f>+Sheet1!AB$9</f>
        <v>47391</v>
      </c>
      <c r="AL54" s="354">
        <f>+Sheet1!AC$9</f>
        <v>47756</v>
      </c>
      <c r="AM54" s="354">
        <f>+Sheet1!AD$9</f>
        <v>48121</v>
      </c>
      <c r="AN54" s="354">
        <f>+Sheet1!AE$9</f>
        <v>48487</v>
      </c>
      <c r="AO54" s="354">
        <f>+Sheet1!AF$9</f>
        <v>48852</v>
      </c>
      <c r="AP54" s="354">
        <f>+Sheet1!AG$9</f>
        <v>49217</v>
      </c>
      <c r="AQ54" s="354">
        <f>+Sheet1!AH$9</f>
        <v>49582</v>
      </c>
      <c r="AR54" s="354">
        <f>+Sheet1!AI$9</f>
        <v>49948</v>
      </c>
      <c r="AS54" s="354">
        <f>+Sheet1!AJ$9</f>
        <v>50313</v>
      </c>
      <c r="AT54" s="355"/>
    </row>
    <row r="55" spans="1:46" ht="16">
      <c r="A55" s="18"/>
      <c r="B55" s="352"/>
      <c r="C55" s="352"/>
      <c r="D55" s="352"/>
      <c r="E55" s="352"/>
      <c r="F55" s="352"/>
      <c r="G55" s="352"/>
      <c r="H55" s="352"/>
      <c r="I55" s="352"/>
      <c r="J55" s="352"/>
      <c r="K55" s="352"/>
      <c r="L55" s="18"/>
      <c r="AB55" s="353">
        <v>9</v>
      </c>
      <c r="AC55" s="466">
        <f>+'4. SUBAWARDS'!Q47</f>
        <v>0</v>
      </c>
      <c r="AD55" s="466">
        <f>+'4. SUBAWARDS'!R47</f>
        <v>0</v>
      </c>
      <c r="AE55" s="466">
        <f>+'4. SUBAWARDS'!S47</f>
        <v>0</v>
      </c>
      <c r="AF55" s="466">
        <f>+'4. SUBAWARDS'!T47</f>
        <v>0</v>
      </c>
      <c r="AG55" s="466">
        <f>+'4. SUBAWARDS'!U47</f>
        <v>0</v>
      </c>
      <c r="AH55" s="466">
        <f>+'4. SUBAWARDS'!V47</f>
        <v>0</v>
      </c>
      <c r="AI55" s="466">
        <f>+'4. SUBAWARDS'!W47</f>
        <v>0</v>
      </c>
      <c r="AJ55" s="466">
        <f>+'4. SUBAWARDS'!X47</f>
        <v>0</v>
      </c>
      <c r="AK55" s="466">
        <f>+'4. SUBAWARDS'!Y47</f>
        <v>0</v>
      </c>
      <c r="AL55" s="466">
        <f>+'4. SUBAWARDS'!Z47</f>
        <v>0</v>
      </c>
      <c r="AM55" s="466">
        <f>+'4. SUBAWARDS'!AA47</f>
        <v>0</v>
      </c>
      <c r="AN55" s="466">
        <f>+'4. SUBAWARDS'!AB47</f>
        <v>0</v>
      </c>
      <c r="AO55" s="466">
        <f>+'4. SUBAWARDS'!AC47</f>
        <v>0</v>
      </c>
      <c r="AP55" s="466">
        <f>+'4. SUBAWARDS'!AD47</f>
        <v>0</v>
      </c>
      <c r="AQ55" s="466">
        <f>+'4. SUBAWARDS'!AE47</f>
        <v>0</v>
      </c>
      <c r="AR55" s="466">
        <f>+'4. SUBAWARDS'!AF47</f>
        <v>0</v>
      </c>
      <c r="AS55" s="466">
        <f>+'4. SUBAWARDS'!AG47</f>
        <v>0</v>
      </c>
      <c r="AT55" s="355">
        <f>SUM(AC55:AS55)</f>
        <v>0</v>
      </c>
    </row>
    <row r="56" spans="1:46" ht="16">
      <c r="A56" s="18"/>
      <c r="B56" s="352"/>
      <c r="C56" s="352"/>
      <c r="D56" s="352"/>
      <c r="E56" s="352"/>
      <c r="F56" s="352"/>
      <c r="G56" s="352"/>
      <c r="H56" s="352"/>
      <c r="I56" s="352"/>
      <c r="J56" s="352"/>
      <c r="K56" s="352"/>
      <c r="L56" s="18"/>
      <c r="AC56" s="367">
        <f>VLOOKUP('1. SUMMARY'!$C$20,rate,Sheet1!T$21,0)</f>
        <v>0.68</v>
      </c>
      <c r="AD56" s="367">
        <f>VLOOKUP('1. SUMMARY'!$C$20,rate,Sheet1!U$21,0)</f>
        <v>0.68</v>
      </c>
      <c r="AE56" s="367">
        <f>VLOOKUP('1. SUMMARY'!$C$20,rate,Sheet1!V$21,0)</f>
        <v>0.68</v>
      </c>
      <c r="AF56" s="367">
        <f>VLOOKUP('1. SUMMARY'!$C$20,rate,Sheet1!W$21,0)</f>
        <v>0.68</v>
      </c>
      <c r="AG56" s="367">
        <f>VLOOKUP('1. SUMMARY'!$C$20,rate,Sheet1!X$21,0)</f>
        <v>0.68</v>
      </c>
      <c r="AH56" s="367">
        <f>VLOOKUP('1. SUMMARY'!$C$20,rate,Sheet1!Y$21,0)</f>
        <v>0.68</v>
      </c>
      <c r="AI56" s="367">
        <f>VLOOKUP('1. SUMMARY'!$C$20,rate,Sheet1!Z$21,0)</f>
        <v>0.68</v>
      </c>
      <c r="AJ56" s="367">
        <f>VLOOKUP('1. SUMMARY'!$C$20,rate,Sheet1!AA$21,0)</f>
        <v>0.68</v>
      </c>
      <c r="AK56" s="367">
        <f>VLOOKUP('1. SUMMARY'!$C$20,rate,Sheet1!AB$21,0)</f>
        <v>0.68</v>
      </c>
      <c r="AL56" s="367">
        <f>VLOOKUP('1. SUMMARY'!$C$20,rate,Sheet1!AC$21,0)</f>
        <v>0.68</v>
      </c>
      <c r="AM56" s="367">
        <f>VLOOKUP('1. SUMMARY'!$C$20,rate,Sheet1!AD$21,0)</f>
        <v>0.68</v>
      </c>
      <c r="AN56" s="367">
        <f>VLOOKUP('1. SUMMARY'!$C$20,rate,Sheet1!AE$21,0)</f>
        <v>0.68</v>
      </c>
      <c r="AO56" s="367">
        <f>VLOOKUP('1. SUMMARY'!$C$20,rate,Sheet1!AF$21,0)</f>
        <v>0.68</v>
      </c>
      <c r="AP56" s="367">
        <f>VLOOKUP('1. SUMMARY'!$C$20,rate,Sheet1!AG$21,0)</f>
        <v>0.68</v>
      </c>
      <c r="AQ56" s="367">
        <f>VLOOKUP('1. SUMMARY'!$C$20,rate,Sheet1!AH$21,0)</f>
        <v>0.68</v>
      </c>
      <c r="AR56" s="367">
        <f>VLOOKUP('1. SUMMARY'!$C$20,rate,Sheet1!AI$21,0)</f>
        <v>0.68</v>
      </c>
      <c r="AS56" s="367">
        <f>VLOOKUP('1. SUMMARY'!$C$20,rate,Sheet1!AJ$21,0)</f>
        <v>0.68</v>
      </c>
      <c r="AT56" s="358"/>
    </row>
    <row r="57" spans="1:46" ht="16">
      <c r="A57" s="18"/>
      <c r="B57" s="352"/>
      <c r="C57" s="352"/>
      <c r="D57" s="352"/>
      <c r="E57" s="352"/>
      <c r="F57" s="352"/>
      <c r="G57" s="352"/>
      <c r="H57" s="352"/>
      <c r="I57" s="352"/>
      <c r="J57" s="352"/>
      <c r="K57" s="352"/>
      <c r="L57" s="18"/>
      <c r="AC57" s="360">
        <f>IF(AC55=0,0,(($J$21/$AT$55)*AC55)*VLOOKUP('1. SUMMARY'!$C$20,rate,Sheet1!T$21,0))</f>
        <v>0</v>
      </c>
      <c r="AD57" s="360">
        <f>IF(AD55=0,0,(($J$21/$AT$55)*AD55)*VLOOKUP('1. SUMMARY'!$C$20,rate,Sheet1!U$21,0))</f>
        <v>0</v>
      </c>
      <c r="AE57" s="360">
        <f>IF(AE55=0,0,(($J$21/$AT$55)*AE55)*VLOOKUP('1. SUMMARY'!$C$20,rate,Sheet1!V$21,0))</f>
        <v>0</v>
      </c>
      <c r="AF57" s="360">
        <f>IF(AF55=0,0,(($J$21/$AT$55)*AF55)*VLOOKUP('1. SUMMARY'!$C$20,rate,Sheet1!W$21,0))</f>
        <v>0</v>
      </c>
      <c r="AG57" s="360">
        <f>IF(AG55=0,0,(($J$21/$AT$55)*AG55)*VLOOKUP('1. SUMMARY'!$C$20,rate,Sheet1!X$21,0))</f>
        <v>0</v>
      </c>
      <c r="AH57" s="360">
        <f>IF(AH55=0,0,(($J$21/$AT$55)*AH55)*VLOOKUP('1. SUMMARY'!$C$20,rate,Sheet1!Y$21,0))</f>
        <v>0</v>
      </c>
      <c r="AI57" s="360">
        <f>IF(AI55=0,0,(($J$21/$AT$55)*AI55)*VLOOKUP('1. SUMMARY'!$C$20,rate,Sheet1!Z$21,0))</f>
        <v>0</v>
      </c>
      <c r="AJ57" s="360">
        <f>IF(AJ55=0,0,(($J$21/$AT$55)*AJ55)*VLOOKUP('1. SUMMARY'!$C$20,rate,Sheet1!AA$21,0))</f>
        <v>0</v>
      </c>
      <c r="AK57" s="360">
        <f>IF(AK55=0,0,(($J$21/$AT$55)*AK55)*VLOOKUP('1. SUMMARY'!$C$20,rate,Sheet1!AB$21,0))</f>
        <v>0</v>
      </c>
      <c r="AL57" s="360">
        <f>IF(AL55=0,0,(($J$21/$AT$55)*AL55)*VLOOKUP('1. SUMMARY'!$C$20,rate,Sheet1!AC$21,0))</f>
        <v>0</v>
      </c>
      <c r="AM57" s="360">
        <f>IF(AM55=0,0,(($J$21/$AT$55)*AM55)*VLOOKUP('1. SUMMARY'!$C$20,rate,Sheet1!AD$21,0))</f>
        <v>0</v>
      </c>
      <c r="AN57" s="360">
        <f>IF(AN55=0,0,(($J$21/$AT$55)*AN55)*VLOOKUP('1. SUMMARY'!$C$20,rate,Sheet1!AE$21,0))</f>
        <v>0</v>
      </c>
      <c r="AO57" s="360">
        <f>IF(AO55=0,0,(($J$21/$AT$55)*AO55)*VLOOKUP('1. SUMMARY'!$C$20,rate,Sheet1!AF$21,0))</f>
        <v>0</v>
      </c>
      <c r="AP57" s="360">
        <f>IF(AP55=0,0,(($J$21/$AT$55)*AP55)*VLOOKUP('1. SUMMARY'!$C$20,rate,Sheet1!AG$21,0))</f>
        <v>0</v>
      </c>
      <c r="AQ57" s="360">
        <f>IF(AQ55=0,0,(($J$21/$AT$55)*AQ55)*VLOOKUP('1. SUMMARY'!$C$20,rate,Sheet1!AH$21,0))</f>
        <v>0</v>
      </c>
      <c r="AR57" s="360">
        <f>IF(AR55=0,0,(($J$21/$AT$55)*AR55)*VLOOKUP('1. SUMMARY'!$C$20,rate,Sheet1!AI$21,0))</f>
        <v>0</v>
      </c>
      <c r="AS57" s="360">
        <f>IF(AS55=0,0,(($J$21/$AT$55)*AS55)*VLOOKUP('1. SUMMARY'!$C$20,rate,Sheet1!AJ$21,0))</f>
        <v>0</v>
      </c>
      <c r="AT57" s="361">
        <f>SUM(AC57:AS57)</f>
        <v>0</v>
      </c>
    </row>
    <row r="58" spans="1:46" ht="16">
      <c r="A58" s="18"/>
      <c r="B58" s="352"/>
      <c r="C58" s="352"/>
      <c r="D58" s="352"/>
      <c r="E58" s="352"/>
      <c r="F58" s="352"/>
      <c r="G58" s="352"/>
      <c r="H58" s="352"/>
      <c r="I58" s="352"/>
      <c r="J58" s="352"/>
      <c r="K58" s="352"/>
      <c r="L58" s="18"/>
      <c r="AC58" s="148" t="e">
        <f>+($J$21/$AT$55)*AC55</f>
        <v>#DIV/0!</v>
      </c>
      <c r="AD58" s="148" t="e">
        <f t="shared" ref="AD58:AS58" si="16">+($J$21/$AT$55)*AD55</f>
        <v>#DIV/0!</v>
      </c>
      <c r="AE58" s="148" t="e">
        <f t="shared" si="16"/>
        <v>#DIV/0!</v>
      </c>
      <c r="AF58" s="148" t="e">
        <f t="shared" si="16"/>
        <v>#DIV/0!</v>
      </c>
      <c r="AG58" s="148" t="e">
        <f t="shared" si="16"/>
        <v>#DIV/0!</v>
      </c>
      <c r="AH58" s="148" t="e">
        <f t="shared" si="16"/>
        <v>#DIV/0!</v>
      </c>
      <c r="AI58" s="148" t="e">
        <f t="shared" si="16"/>
        <v>#DIV/0!</v>
      </c>
      <c r="AJ58" s="148" t="e">
        <f t="shared" si="16"/>
        <v>#DIV/0!</v>
      </c>
      <c r="AK58" s="148" t="e">
        <f t="shared" si="16"/>
        <v>#DIV/0!</v>
      </c>
      <c r="AL58" s="148" t="e">
        <f t="shared" si="16"/>
        <v>#DIV/0!</v>
      </c>
      <c r="AM58" s="148" t="e">
        <f t="shared" si="16"/>
        <v>#DIV/0!</v>
      </c>
      <c r="AN58" s="148" t="e">
        <f t="shared" si="16"/>
        <v>#DIV/0!</v>
      </c>
      <c r="AO58" s="148" t="e">
        <f t="shared" si="16"/>
        <v>#DIV/0!</v>
      </c>
      <c r="AP58" s="148" t="e">
        <f t="shared" si="16"/>
        <v>#DIV/0!</v>
      </c>
      <c r="AQ58" s="148" t="e">
        <f t="shared" si="16"/>
        <v>#DIV/0!</v>
      </c>
      <c r="AR58" s="148" t="e">
        <f t="shared" si="16"/>
        <v>#DIV/0!</v>
      </c>
      <c r="AS58" s="148" t="e">
        <f t="shared" si="16"/>
        <v>#DIV/0!</v>
      </c>
      <c r="AT58" s="187"/>
    </row>
    <row r="59" spans="1:46" ht="16">
      <c r="A59" s="18"/>
      <c r="B59" s="352"/>
      <c r="C59" s="352"/>
      <c r="D59" s="352"/>
      <c r="E59" s="352"/>
      <c r="F59" s="352"/>
      <c r="G59" s="352"/>
      <c r="H59" s="352"/>
      <c r="I59" s="352"/>
      <c r="J59" s="352"/>
      <c r="K59" s="352"/>
      <c r="L59" s="18"/>
      <c r="AC59" s="354">
        <f>+Sheet1!$T$8</f>
        <v>44105</v>
      </c>
      <c r="AD59" s="354">
        <f>+Sheet1!$U$8</f>
        <v>44470</v>
      </c>
      <c r="AE59" s="354">
        <f>+Sheet1!$V$8</f>
        <v>44835</v>
      </c>
      <c r="AF59" s="354">
        <f>+Sheet1!$W$8</f>
        <v>45200</v>
      </c>
      <c r="AG59" s="354">
        <f>+Sheet1!$X$8</f>
        <v>45566</v>
      </c>
      <c r="AH59" s="354">
        <f>+Sheet1!$Y$8</f>
        <v>45931</v>
      </c>
      <c r="AI59" s="354">
        <f>+Sheet1!$Z$8</f>
        <v>46296</v>
      </c>
      <c r="AJ59" s="354">
        <f>+Sheet1!AA$8</f>
        <v>46661</v>
      </c>
      <c r="AK59" s="354">
        <f>+Sheet1!AB$8</f>
        <v>47027</v>
      </c>
      <c r="AL59" s="354">
        <f>+Sheet1!AC$8</f>
        <v>47392</v>
      </c>
      <c r="AM59" s="354">
        <f>+Sheet1!AD$8</f>
        <v>47757</v>
      </c>
      <c r="AN59" s="354">
        <f>+Sheet1!AE$8</f>
        <v>48122</v>
      </c>
      <c r="AO59" s="354">
        <f>+Sheet1!AF$8</f>
        <v>48488</v>
      </c>
      <c r="AP59" s="354">
        <f>+Sheet1!AG$8</f>
        <v>48853</v>
      </c>
      <c r="AQ59" s="354">
        <f>+Sheet1!AH$8</f>
        <v>49218</v>
      </c>
      <c r="AR59" s="354">
        <f>+Sheet1!AI$8</f>
        <v>49583</v>
      </c>
      <c r="AS59" s="354">
        <f>+Sheet1!AJ$8</f>
        <v>49949</v>
      </c>
      <c r="AT59" s="355"/>
    </row>
    <row r="60" spans="1:46" ht="16">
      <c r="A60" s="18"/>
      <c r="B60" s="352"/>
      <c r="C60" s="352"/>
      <c r="D60" s="352"/>
      <c r="E60" s="352"/>
      <c r="F60" s="352"/>
      <c r="G60" s="352"/>
      <c r="H60" s="352"/>
      <c r="I60" s="352"/>
      <c r="J60" s="352"/>
      <c r="K60" s="352"/>
      <c r="L60" s="18"/>
      <c r="AC60" s="354">
        <f>+Sheet1!$T$9</f>
        <v>44469</v>
      </c>
      <c r="AD60" s="354">
        <f>+Sheet1!$U$9</f>
        <v>44834</v>
      </c>
      <c r="AE60" s="354">
        <f>+Sheet1!$V$9</f>
        <v>45199</v>
      </c>
      <c r="AF60" s="354">
        <f>+Sheet1!$W$9</f>
        <v>45565</v>
      </c>
      <c r="AG60" s="354">
        <f>+Sheet1!$X$9</f>
        <v>45930</v>
      </c>
      <c r="AH60" s="354">
        <f>+Sheet1!$Y$9</f>
        <v>46295</v>
      </c>
      <c r="AI60" s="354">
        <f>+Sheet1!$Z$9</f>
        <v>46660</v>
      </c>
      <c r="AJ60" s="354">
        <f>+Sheet1!AA$9</f>
        <v>47026</v>
      </c>
      <c r="AK60" s="354">
        <f>+Sheet1!AB$9</f>
        <v>47391</v>
      </c>
      <c r="AL60" s="354">
        <f>+Sheet1!AC$9</f>
        <v>47756</v>
      </c>
      <c r="AM60" s="354">
        <f>+Sheet1!AD$9</f>
        <v>48121</v>
      </c>
      <c r="AN60" s="354">
        <f>+Sheet1!AE$9</f>
        <v>48487</v>
      </c>
      <c r="AO60" s="354">
        <f>+Sheet1!AF$9</f>
        <v>48852</v>
      </c>
      <c r="AP60" s="354">
        <f>+Sheet1!AG$9</f>
        <v>49217</v>
      </c>
      <c r="AQ60" s="354">
        <f>+Sheet1!AH$9</f>
        <v>49582</v>
      </c>
      <c r="AR60" s="354">
        <f>+Sheet1!AI$9</f>
        <v>49948</v>
      </c>
      <c r="AS60" s="354">
        <f>+Sheet1!AJ$9</f>
        <v>50313</v>
      </c>
      <c r="AT60" s="355"/>
    </row>
    <row r="61" spans="1:46" ht="16">
      <c r="A61" s="18"/>
      <c r="B61" s="352"/>
      <c r="C61" s="352"/>
      <c r="D61" s="352"/>
      <c r="E61" s="352"/>
      <c r="F61" s="352"/>
      <c r="G61" s="352"/>
      <c r="H61" s="352"/>
      <c r="I61" s="352"/>
      <c r="J61" s="352"/>
      <c r="K61" s="352"/>
      <c r="L61" s="18"/>
      <c r="AB61" s="353">
        <v>10</v>
      </c>
      <c r="AC61" s="466">
        <f>+'4. SUBAWARDS'!Q52</f>
        <v>0</v>
      </c>
      <c r="AD61" s="466">
        <f>+'4. SUBAWARDS'!R52</f>
        <v>0</v>
      </c>
      <c r="AE61" s="466">
        <f>+'4. SUBAWARDS'!S52</f>
        <v>0</v>
      </c>
      <c r="AF61" s="466">
        <f>+'4. SUBAWARDS'!T52</f>
        <v>0</v>
      </c>
      <c r="AG61" s="466">
        <f>+'4. SUBAWARDS'!U52</f>
        <v>0</v>
      </c>
      <c r="AH61" s="466">
        <f>+'4. SUBAWARDS'!V52</f>
        <v>0</v>
      </c>
      <c r="AI61" s="466">
        <f>+'4. SUBAWARDS'!W52</f>
        <v>0</v>
      </c>
      <c r="AJ61" s="466">
        <f>+'4. SUBAWARDS'!X52</f>
        <v>0</v>
      </c>
      <c r="AK61" s="466">
        <f>+'4. SUBAWARDS'!Y52</f>
        <v>0</v>
      </c>
      <c r="AL61" s="466">
        <f>+'4. SUBAWARDS'!Z52</f>
        <v>0</v>
      </c>
      <c r="AM61" s="466">
        <f>+'4. SUBAWARDS'!AA52</f>
        <v>0</v>
      </c>
      <c r="AN61" s="466">
        <f>+'4. SUBAWARDS'!AB52</f>
        <v>0</v>
      </c>
      <c r="AO61" s="466">
        <f>+'4. SUBAWARDS'!AC52</f>
        <v>0</v>
      </c>
      <c r="AP61" s="466">
        <f>+'4. SUBAWARDS'!AD52</f>
        <v>0</v>
      </c>
      <c r="AQ61" s="466">
        <f>+'4. SUBAWARDS'!AE52</f>
        <v>0</v>
      </c>
      <c r="AR61" s="466">
        <f>+'4. SUBAWARDS'!AF52</f>
        <v>0</v>
      </c>
      <c r="AS61" s="466">
        <f>+'4. SUBAWARDS'!AG52</f>
        <v>0</v>
      </c>
      <c r="AT61" s="355">
        <f>SUM(AC61:AS61)</f>
        <v>0</v>
      </c>
    </row>
    <row r="62" spans="1:46" ht="16">
      <c r="A62" s="18"/>
      <c r="B62" s="352"/>
      <c r="C62" s="352"/>
      <c r="D62" s="352"/>
      <c r="E62" s="352"/>
      <c r="F62" s="352"/>
      <c r="G62" s="352"/>
      <c r="H62" s="352"/>
      <c r="I62" s="352"/>
      <c r="J62" s="352"/>
      <c r="K62" s="352"/>
      <c r="L62" s="18"/>
      <c r="AC62" s="367">
        <f>VLOOKUP('1. SUMMARY'!$C$20,rate,Sheet1!T$21,0)</f>
        <v>0.68</v>
      </c>
      <c r="AD62" s="367">
        <f>VLOOKUP('1. SUMMARY'!$C$20,rate,Sheet1!U$21,0)</f>
        <v>0.68</v>
      </c>
      <c r="AE62" s="367">
        <f>VLOOKUP('1. SUMMARY'!$C$20,rate,Sheet1!V$21,0)</f>
        <v>0.68</v>
      </c>
      <c r="AF62" s="367">
        <f>VLOOKUP('1. SUMMARY'!$C$20,rate,Sheet1!W$21,0)</f>
        <v>0.68</v>
      </c>
      <c r="AG62" s="367">
        <f>VLOOKUP('1. SUMMARY'!$C$20,rate,Sheet1!X$21,0)</f>
        <v>0.68</v>
      </c>
      <c r="AH62" s="367">
        <f>VLOOKUP('1. SUMMARY'!$C$20,rate,Sheet1!Y$21,0)</f>
        <v>0.68</v>
      </c>
      <c r="AI62" s="367">
        <f>VLOOKUP('1. SUMMARY'!$C$20,rate,Sheet1!Z$21,0)</f>
        <v>0.68</v>
      </c>
      <c r="AJ62" s="367">
        <f>VLOOKUP('1. SUMMARY'!$C$20,rate,Sheet1!AA$21,0)</f>
        <v>0.68</v>
      </c>
      <c r="AK62" s="367">
        <f>VLOOKUP('1. SUMMARY'!$C$20,rate,Sheet1!AB$21,0)</f>
        <v>0.68</v>
      </c>
      <c r="AL62" s="367">
        <f>VLOOKUP('1. SUMMARY'!$C$20,rate,Sheet1!AC$21,0)</f>
        <v>0.68</v>
      </c>
      <c r="AM62" s="367">
        <f>VLOOKUP('1. SUMMARY'!$C$20,rate,Sheet1!AD$21,0)</f>
        <v>0.68</v>
      </c>
      <c r="AN62" s="367">
        <f>VLOOKUP('1. SUMMARY'!$C$20,rate,Sheet1!AE$21,0)</f>
        <v>0.68</v>
      </c>
      <c r="AO62" s="367">
        <f>VLOOKUP('1. SUMMARY'!$C$20,rate,Sheet1!AF$21,0)</f>
        <v>0.68</v>
      </c>
      <c r="AP62" s="367">
        <f>VLOOKUP('1. SUMMARY'!$C$20,rate,Sheet1!AG$21,0)</f>
        <v>0.68</v>
      </c>
      <c r="AQ62" s="367">
        <f>VLOOKUP('1. SUMMARY'!$C$20,rate,Sheet1!AH$21,0)</f>
        <v>0.68</v>
      </c>
      <c r="AR62" s="367">
        <f>VLOOKUP('1. SUMMARY'!$C$20,rate,Sheet1!AI$21,0)</f>
        <v>0.68</v>
      </c>
      <c r="AS62" s="367">
        <f>VLOOKUP('1. SUMMARY'!$C$20,rate,Sheet1!AJ$21,0)</f>
        <v>0.68</v>
      </c>
      <c r="AT62" s="358"/>
    </row>
    <row r="63" spans="1:46" ht="16">
      <c r="A63" s="18"/>
      <c r="B63" s="352"/>
      <c r="C63" s="352"/>
      <c r="D63" s="352"/>
      <c r="E63" s="352"/>
      <c r="F63" s="352"/>
      <c r="G63" s="352"/>
      <c r="H63" s="352"/>
      <c r="I63" s="352"/>
      <c r="J63" s="352"/>
      <c r="K63" s="352"/>
      <c r="L63" s="18"/>
      <c r="AC63" s="360">
        <f>IF(AC61=0,0,(($K$21/$AT$61)*AC61)*VLOOKUP('1. SUMMARY'!$C$20,rate,Sheet1!T$21,0))</f>
        <v>0</v>
      </c>
      <c r="AD63" s="360">
        <f>IF(AD61=0,0,(($K$21/$AT$61)*AD61)*VLOOKUP('1. SUMMARY'!$C$20,rate,Sheet1!U$21,0))</f>
        <v>0</v>
      </c>
      <c r="AE63" s="360">
        <f>IF(AE61=0,0,(($K$21/$AT$61)*AE61)*VLOOKUP('1. SUMMARY'!$C$20,rate,Sheet1!V$21,0))</f>
        <v>0</v>
      </c>
      <c r="AF63" s="360">
        <f>IF(AF61=0,0,(($K$21/$AT$61)*AF61)*VLOOKUP('1. SUMMARY'!$C$20,rate,Sheet1!W$21,0))</f>
        <v>0</v>
      </c>
      <c r="AG63" s="360">
        <f>IF(AG61=0,0,(($K$21/$AT$61)*AG61)*VLOOKUP('1. SUMMARY'!$C$20,rate,Sheet1!X$21,0))</f>
        <v>0</v>
      </c>
      <c r="AH63" s="360">
        <f>IF(AH61=0,0,(($K$21/$AT$61)*AH61)*VLOOKUP('1. SUMMARY'!$C$20,rate,Sheet1!Y$21,0))</f>
        <v>0</v>
      </c>
      <c r="AI63" s="360">
        <f>IF(AI61=0,0,(($K$21/$AT$61)*AI61)*VLOOKUP('1. SUMMARY'!$C$20,rate,Sheet1!Z$21,0))</f>
        <v>0</v>
      </c>
      <c r="AJ63" s="360">
        <f>IF(AJ61=0,0,(($K$21/$AT$61)*AJ61)*VLOOKUP('1. SUMMARY'!$C$20,rate,Sheet1!AA$21,0))</f>
        <v>0</v>
      </c>
      <c r="AK63" s="360">
        <f>IF(AK61=0,0,(($K$21/$AT$61)*AK61)*VLOOKUP('1. SUMMARY'!$C$20,rate,Sheet1!AB$21,0))</f>
        <v>0</v>
      </c>
      <c r="AL63" s="360">
        <f>IF(AL61=0,0,(($K$21/$AT$61)*AL61)*VLOOKUP('1. SUMMARY'!$C$20,rate,Sheet1!AC$21,0))</f>
        <v>0</v>
      </c>
      <c r="AM63" s="360">
        <f>IF(AM61=0,0,(($K$21/$AT$61)*AM61)*VLOOKUP('1. SUMMARY'!$C$20,rate,Sheet1!AD$21,0))</f>
        <v>0</v>
      </c>
      <c r="AN63" s="360">
        <f>IF(AN61=0,0,(($K$21/$AT$61)*AN61)*VLOOKUP('1. SUMMARY'!$C$20,rate,Sheet1!AE$21,0))</f>
        <v>0</v>
      </c>
      <c r="AO63" s="360">
        <f>IF(AO61=0,0,(($K$21/$AT$61)*AO61)*VLOOKUP('1. SUMMARY'!$C$20,rate,Sheet1!AF$21,0))</f>
        <v>0</v>
      </c>
      <c r="AP63" s="360">
        <f>IF(AP61=0,0,(($K$21/$AT$61)*AP61)*VLOOKUP('1. SUMMARY'!$C$20,rate,Sheet1!AG$21,0))</f>
        <v>0</v>
      </c>
      <c r="AQ63" s="360">
        <f>IF(AQ61=0,0,(($K$21/$AT$61)*AQ61)*VLOOKUP('1. SUMMARY'!$C$20,rate,Sheet1!AH$21,0))</f>
        <v>0</v>
      </c>
      <c r="AR63" s="360">
        <f>IF(AR61=0,0,(($K$21/$AT$61)*AR61)*VLOOKUP('1. SUMMARY'!$C$20,rate,Sheet1!AI$21,0))</f>
        <v>0</v>
      </c>
      <c r="AS63" s="360">
        <f>IF(AS61=0,0,(($K$21/$AT$61)*AS61)*VLOOKUP('1. SUMMARY'!$C$20,rate,Sheet1!AJ$21,0))</f>
        <v>0</v>
      </c>
      <c r="AT63" s="361">
        <f>SUM(AC63:AS63)</f>
        <v>0</v>
      </c>
    </row>
    <row r="64" spans="1:46" ht="16">
      <c r="A64" s="18"/>
      <c r="B64" s="352"/>
      <c r="C64" s="352"/>
      <c r="D64" s="352"/>
      <c r="E64" s="352"/>
      <c r="F64" s="352"/>
      <c r="G64" s="352"/>
      <c r="H64" s="352"/>
      <c r="I64" s="352"/>
      <c r="J64" s="352"/>
      <c r="K64" s="352"/>
      <c r="L64" s="18"/>
      <c r="AC64" s="148" t="e">
        <f>+($K$21/$AT$55)*AC61</f>
        <v>#DIV/0!</v>
      </c>
      <c r="AD64" s="148" t="e">
        <f t="shared" ref="AD64:AS64" si="17">+($K$21/$AT$55)*AD61</f>
        <v>#DIV/0!</v>
      </c>
      <c r="AE64" s="148" t="e">
        <f t="shared" si="17"/>
        <v>#DIV/0!</v>
      </c>
      <c r="AF64" s="148" t="e">
        <f t="shared" si="17"/>
        <v>#DIV/0!</v>
      </c>
      <c r="AG64" s="148" t="e">
        <f t="shared" si="17"/>
        <v>#DIV/0!</v>
      </c>
      <c r="AH64" s="148" t="e">
        <f t="shared" si="17"/>
        <v>#DIV/0!</v>
      </c>
      <c r="AI64" s="148" t="e">
        <f t="shared" si="17"/>
        <v>#DIV/0!</v>
      </c>
      <c r="AJ64" s="148" t="e">
        <f t="shared" si="17"/>
        <v>#DIV/0!</v>
      </c>
      <c r="AK64" s="148" t="e">
        <f t="shared" si="17"/>
        <v>#DIV/0!</v>
      </c>
      <c r="AL64" s="148" t="e">
        <f t="shared" si="17"/>
        <v>#DIV/0!</v>
      </c>
      <c r="AM64" s="148" t="e">
        <f t="shared" si="17"/>
        <v>#DIV/0!</v>
      </c>
      <c r="AN64" s="148" t="e">
        <f t="shared" si="17"/>
        <v>#DIV/0!</v>
      </c>
      <c r="AO64" s="148" t="e">
        <f t="shared" si="17"/>
        <v>#DIV/0!</v>
      </c>
      <c r="AP64" s="148" t="e">
        <f t="shared" si="17"/>
        <v>#DIV/0!</v>
      </c>
      <c r="AQ64" s="148" t="e">
        <f t="shared" si="17"/>
        <v>#DIV/0!</v>
      </c>
      <c r="AR64" s="148" t="e">
        <f t="shared" si="17"/>
        <v>#DIV/0!</v>
      </c>
      <c r="AS64" s="148" t="e">
        <f t="shared" si="17"/>
        <v>#DIV/0!</v>
      </c>
      <c r="AT64" s="387"/>
    </row>
    <row r="65" spans="1:46" ht="16">
      <c r="A65" s="18"/>
      <c r="B65" s="352"/>
      <c r="C65" s="352"/>
      <c r="D65" s="352"/>
      <c r="E65" s="352"/>
      <c r="F65" s="352"/>
      <c r="G65" s="352"/>
      <c r="H65" s="352"/>
      <c r="I65" s="352"/>
      <c r="J65" s="352"/>
      <c r="K65" s="352"/>
      <c r="L65" s="18"/>
    </row>
    <row r="66" spans="1:46" ht="16">
      <c r="A66" s="18"/>
      <c r="B66" s="352"/>
      <c r="C66" s="352"/>
      <c r="D66" s="352"/>
      <c r="E66" s="352"/>
      <c r="F66" s="352"/>
      <c r="G66" s="352"/>
      <c r="H66" s="352"/>
      <c r="I66" s="352"/>
      <c r="J66" s="352"/>
      <c r="K66" s="352"/>
      <c r="L66" s="18"/>
      <c r="AC66" s="388">
        <f>IF(AC6&gt;0,AC4,IF(AD6&gt;0,AD4,IF(AE6&gt;0,AE4,IF(AF6&gt;0,AF4,IF(AG6&gt;0,AG4,IF(AH6&gt;0,AH4,IF(AI6&gt;0,AI4,AJ4)))))))</f>
        <v>1461</v>
      </c>
      <c r="AD66" s="388">
        <f>IF(AC6&gt;0,AD4,IF(AD6&gt;0,AE4,IF(AE6&gt;0,AF4,IF(AF6&gt;0,AG4,IF(AG6&gt;0,AH4,IF(AH6&gt;0,AI4,IF(AI6&gt;0,AJ4,AJ4)))))))</f>
        <v>0</v>
      </c>
      <c r="AH66" s="389"/>
      <c r="AI66" s="389"/>
      <c r="AJ66" s="389"/>
      <c r="AK66" s="389"/>
      <c r="AL66" s="389"/>
      <c r="AM66" s="389"/>
      <c r="AN66" s="389"/>
      <c r="AO66" s="389"/>
      <c r="AP66" s="389"/>
      <c r="AQ66" s="389"/>
      <c r="AR66" s="389"/>
      <c r="AS66" s="389"/>
      <c r="AT66" s="389"/>
    </row>
    <row r="67" spans="1:46" ht="16">
      <c r="A67" s="18"/>
      <c r="B67" s="352"/>
      <c r="C67" s="352"/>
      <c r="D67" s="352"/>
      <c r="E67" s="352"/>
      <c r="F67" s="352"/>
      <c r="G67" s="352"/>
      <c r="H67" s="352"/>
      <c r="I67" s="352"/>
      <c r="J67" s="352"/>
      <c r="K67" s="352"/>
      <c r="L67" s="18"/>
      <c r="AC67" s="390">
        <f>AI67</f>
        <v>17000</v>
      </c>
      <c r="AD67" s="390">
        <f>+AT6-AC67</f>
        <v>0</v>
      </c>
      <c r="AE67" s="390">
        <f t="shared" ref="AE67:AE76" si="18">+AC67+AD67</f>
        <v>17000</v>
      </c>
      <c r="AF67" s="391">
        <f>+AM67</f>
        <v>0.68</v>
      </c>
      <c r="AG67" s="391">
        <f>AQ67</f>
        <v>0.68</v>
      </c>
      <c r="AH67" s="389"/>
      <c r="AI67" s="389">
        <f>IF(AC6=0,IF(AD6=0,IF(AE6=0,IF(AF6=0,IF(AG6=0,IF(AH6=0,IF(AI6=0,AJ67,AI6),AH6),AG6),AF6),AE6),AD6),AC6)</f>
        <v>17000</v>
      </c>
      <c r="AJ67" s="389">
        <f>IF(AJ6=0,IF(AK6=0,IF(AL6=0,IF(AM6=0,IF(AN6=0,IF(AO6=0,IF(AP6=0,AK67,AP6),AO6),AN6),AM6),AL6),AK6),AJ6)</f>
        <v>0</v>
      </c>
      <c r="AK67" s="389">
        <f>IF(AQ6=0,IF(AR6=0,AS6,AR6),AQ6)</f>
        <v>0</v>
      </c>
      <c r="AL67" s="389"/>
      <c r="AM67" s="391">
        <f>IF(AC6&gt;0,AC5,IF(AD6&gt;0,AD5,IF(AE6&gt;0,AE5,IF(AF6&gt;0,AF5,IF(AG6&gt;0,AG5,IF(AH6&gt;0,AH5,IF(AI6&gt;0,AI5,AN67)))))))</f>
        <v>0.68</v>
      </c>
      <c r="AN67" s="391">
        <f>IF(AJ6&gt;0,AJ5,IF(AK6&gt;0,AK5,IF(AL6&gt;0,AL5,IF(AM6&gt;0,AM5,IF(AN6&gt;0,AN5,IF(AO6&gt;0,AO5,IF(AP6&gt;0,AP5,AO67)))))))</f>
        <v>0.68</v>
      </c>
      <c r="AO67" s="391">
        <f>IF(AQ6&gt;0,AQ5,IF(AR6&gt;0,AR5,AS5))</f>
        <v>0.68</v>
      </c>
      <c r="AP67" s="389"/>
      <c r="AQ67" s="391">
        <f>IF(AC6&gt;0,AD5,IF(AD6&gt;0,AE5,IF(AE6&gt;0,AF5,IF(AF6&gt;0,AG5,IF(AG6&gt;0,AH5,IF(AH6&gt;0,AI5,IF(AI6&gt;0,AJ5,AR67)))))))</f>
        <v>0.68</v>
      </c>
      <c r="AR67" s="391">
        <f>IF(AJ6&gt;0,AK5,IF(AK6&gt;0,AL5,IF(AL6&gt;0,AM5,IF(AM6&gt;0,AN5,IF(AN6&gt;0,AO5,IF(AO6&gt;0,AP5,IF(AP6&gt;0,AQ5,AS67)))))))</f>
        <v>0.68</v>
      </c>
      <c r="AS67" s="391">
        <f>IF(AQ6&gt;0,AR5,IF(AR6&gt;0,AS5,AS5))</f>
        <v>0.68</v>
      </c>
      <c r="AT67" s="389"/>
    </row>
    <row r="68" spans="1:46" ht="16">
      <c r="A68" s="18"/>
      <c r="B68" s="352"/>
      <c r="C68" s="352"/>
      <c r="D68" s="352"/>
      <c r="E68" s="352"/>
      <c r="F68" s="352"/>
      <c r="G68" s="352"/>
      <c r="H68" s="352"/>
      <c r="I68" s="352"/>
      <c r="J68" s="352"/>
      <c r="K68" s="352"/>
      <c r="L68" s="18"/>
      <c r="AC68" s="390">
        <f t="shared" ref="AC68:AC75" si="19">AI68</f>
        <v>0</v>
      </c>
      <c r="AD68" s="390">
        <f>+AT13-AC68</f>
        <v>0</v>
      </c>
      <c r="AE68" s="390">
        <f t="shared" si="18"/>
        <v>0</v>
      </c>
      <c r="AF68" s="391">
        <f t="shared" ref="AF68:AF76" si="20">+AM68</f>
        <v>0.68</v>
      </c>
      <c r="AG68" s="391">
        <f t="shared" ref="AG68:AG76" si="21">AQ68</f>
        <v>0.68</v>
      </c>
      <c r="AH68" s="77"/>
      <c r="AI68" s="389">
        <f>IF(AC13=0,IF(AD13=0,IF(AE13=0,IF(AF13=0,IF(AG13=0,IF(AH13=0,IF(AI13=0,AJ68,AI13),AH13),AG13),AF13),AE13),AD13),AC13)</f>
        <v>0</v>
      </c>
      <c r="AJ68" s="389">
        <f>IF(AJ13=0,IF(AK13=0,IF(AL13=0,IF(AM13=0,IF(AN13=0,IF(AO13=0,IF(AP13=0,AK68,AP13),AO13),AN13),AM13),AL13),AK13),AJ13)</f>
        <v>0</v>
      </c>
      <c r="AK68" s="389">
        <f>IF(AQ13=0,IF(AR13=0,AS13,AR13),AQ13)</f>
        <v>0</v>
      </c>
      <c r="AL68" s="77"/>
      <c r="AM68" s="391">
        <f>IF(AC13&gt;0,AC12,IF(AD13&gt;0,AD12,IF(AE13&gt;0,AE12,IF(AF13&gt;0,AF12,IF(AG13&gt;0,AG12,IF(AH13&gt;0,AH12,IF(AI13&gt;0,AI12,AN68)))))))</f>
        <v>0.68</v>
      </c>
      <c r="AN68" s="391">
        <f>IF(AJ13&gt;0,AJ12,IF(AK13&gt;0,AK12,IF(AL13&gt;0,AL12,IF(AM13&gt;0,AM12,IF(AN13&gt;0,AN12,IF(AO13&gt;0,AO12,IF(AP13&gt;0,AP12,AO68)))))))</f>
        <v>0.68</v>
      </c>
      <c r="AO68" s="391">
        <f>IF(AQ13&gt;0,AQ12,IF(AR13&gt;0,AR12,AS12))</f>
        <v>0.68</v>
      </c>
      <c r="AP68" s="389"/>
      <c r="AQ68" s="391">
        <f>IF(AC13&gt;0,AD12,IF(AD13&gt;0,AE12,IF(AE13&gt;0,AF12,IF(AF13&gt;0,AG12,IF(AG13&gt;0,AH12,IF(AH13&gt;0,AI12,IF(AI13&gt;0,AJ12,AR68)))))))</f>
        <v>0.68</v>
      </c>
      <c r="AR68" s="391">
        <f>IF(AJ13&gt;0,AK12,IF(AK13&gt;0,AL12,IF(AL13&gt;0,AM12,IF(AM13&gt;0,AN12,IF(AN13&gt;0,AO12,IF(AO13&gt;0,AP12,IF(AP13&gt;0,AQ12,AS68)))))))</f>
        <v>0.68</v>
      </c>
      <c r="AS68" s="391">
        <f>IF(AQ13&gt;0,AR12,IF(AR13&gt;0,AS12,AS12))</f>
        <v>0.68</v>
      </c>
      <c r="AT68" s="77"/>
    </row>
    <row r="69" spans="1:46" ht="16">
      <c r="A69" s="18"/>
      <c r="B69" s="352"/>
      <c r="C69" s="352"/>
      <c r="D69" s="352"/>
      <c r="E69" s="352"/>
      <c r="F69" s="352"/>
      <c r="G69" s="352"/>
      <c r="H69" s="352"/>
      <c r="I69" s="352"/>
      <c r="J69" s="352"/>
      <c r="K69" s="352"/>
      <c r="L69" s="18"/>
      <c r="AC69" s="390">
        <f t="shared" si="19"/>
        <v>0</v>
      </c>
      <c r="AD69" s="390">
        <f>+AT19-AC69</f>
        <v>0</v>
      </c>
      <c r="AE69" s="390">
        <f t="shared" si="18"/>
        <v>0</v>
      </c>
      <c r="AF69" s="391">
        <f t="shared" si="20"/>
        <v>0.68</v>
      </c>
      <c r="AG69" s="391">
        <f t="shared" si="21"/>
        <v>0.68</v>
      </c>
      <c r="AH69" s="393"/>
      <c r="AI69" s="389">
        <f>IF(AC19=0,IF(AD19=0,IF(AE19=0,IF(AF19=0,IF(AG19=0,IF(AH19=0,IF(AI19=0,AJ69,AI19),AH19),AG19),AF19),AE19),AD19),AC19)</f>
        <v>0</v>
      </c>
      <c r="AJ69" s="389">
        <f>IF(AJ19=0,IF(AK19=0,IF(AL19=0,IF(AM19=0,IF(AN19=0,IF(AO19=0,IF(AP19=0,AK69,AP19),AO19),AN19),AM19),AL19),AK19),AJ19)</f>
        <v>0</v>
      </c>
      <c r="AK69" s="389">
        <f>IF(AQ19=0,IF(AR19=0,AS19,AR19),AQ19)</f>
        <v>0</v>
      </c>
      <c r="AL69" s="393"/>
      <c r="AM69" s="391">
        <f>IF(AC19&gt;0,AC18,IF(AD19&gt;0,AD18,IF(AE19&gt;0,AE18,IF(AF19&gt;0,AF18,IF(AG19&gt;0,AG18,IF(AH19&gt;0,AH18,IF(AI19&gt;0,AI18,AN69)))))))</f>
        <v>0.68</v>
      </c>
      <c r="AN69" s="391">
        <f>IF(AJ19&gt;0,AJ18,IF(AK19&gt;0,AK18,IF(AL19&gt;0,AL18,IF(AM19&gt;0,AM18,IF(AN19&gt;0,AN18,IF(AO19&gt;0,AO18,IF(AP19&gt;0,AP18,AO69)))))))</f>
        <v>0.68</v>
      </c>
      <c r="AO69" s="391">
        <f>IF(AQ19&gt;0,AQ18,IF(AR19&gt;0,AR18,AS18))</f>
        <v>0.68</v>
      </c>
      <c r="AP69" s="389"/>
      <c r="AQ69" s="391">
        <f>IF(AC19&gt;0,AD18,IF(AD19&gt;0,AE18,IF(AE19&gt;0,AF18,IF(AF19&gt;0,AG18,IF(AG19&gt;0,AH18,IF(AH19&gt;0,AI18,IF(AI19&gt;0,AJ18,AR69)))))))</f>
        <v>0.68</v>
      </c>
      <c r="AR69" s="391">
        <f>IF(AJ19&gt;0,AK18,IF(AK19&gt;0,AL18,IF(AL19&gt;0,AM18,IF(AM19&gt;0,AN18,IF(AN19&gt;0,AO18,IF(AO19&gt;0,AP18,IF(AP19&gt;0,AQ18,AS69)))))))</f>
        <v>0.68</v>
      </c>
      <c r="AS69" s="391">
        <f>IF(AQ19&gt;0,AR18,IF(AR19&gt;0,AS18,AS18))</f>
        <v>0.68</v>
      </c>
      <c r="AT69" s="393"/>
    </row>
    <row r="70" spans="1:46" ht="16">
      <c r="A70" s="18"/>
      <c r="B70" s="352"/>
      <c r="C70" s="352"/>
      <c r="D70" s="352"/>
      <c r="E70" s="352"/>
      <c r="F70" s="352"/>
      <c r="G70" s="352"/>
      <c r="H70" s="352"/>
      <c r="I70" s="352"/>
      <c r="J70" s="352"/>
      <c r="K70" s="352"/>
      <c r="L70" s="18"/>
      <c r="AC70" s="390">
        <f t="shared" si="19"/>
        <v>0</v>
      </c>
      <c r="AD70" s="390">
        <f>+AT25-AC70</f>
        <v>0</v>
      </c>
      <c r="AE70" s="390">
        <f t="shared" si="18"/>
        <v>0</v>
      </c>
      <c r="AF70" s="391">
        <f t="shared" si="20"/>
        <v>0.68</v>
      </c>
      <c r="AG70" s="391">
        <f t="shared" si="21"/>
        <v>0.68</v>
      </c>
      <c r="AH70" s="393"/>
      <c r="AI70" s="389">
        <f>IF(AC25=0,IF(AD25=0,IF(AE25=0,IF(AF25=0,IF(AG25=0,IF(AH25=0,IF(AI25=0,AJ70,AI25),AH25),AG25),AF25),AE25),AD25),AC25)</f>
        <v>0</v>
      </c>
      <c r="AJ70" s="389">
        <f>IF(AJ25=0,IF(AK25=0,IF(AL25=0,IF(AM25=0,IF(AN25=0,IF(AO25=0,IF(AP25=0,AK70,AP25),AO25),AN25),AM25),AL25),AK25),AJ25)</f>
        <v>0</v>
      </c>
      <c r="AK70" s="389">
        <f>IF(AQ25=0,IF(AR25=0,AS25,AR25),AQ25)</f>
        <v>0</v>
      </c>
      <c r="AL70" s="393"/>
      <c r="AM70" s="391">
        <f>IF(AC25&gt;0,AC24,IF(AD25&gt;0,AD24,IF(AE25&gt;0,AE24,IF(AF25&gt;0,AF24,IF(AG25&gt;0,AG24,IF(AH25&gt;0,AH24,IF(AI25&gt;0,AI24,AN70)))))))</f>
        <v>0.68</v>
      </c>
      <c r="AN70" s="391">
        <f>IF(AJ25&gt;0,AJ24,IF(AK25&gt;0,AK24,IF(AL25&gt;0,AL24,IF(AM25&gt;0,AM24,IF(AN25&gt;0,AN24,IF(AO25&gt;0,AO24,IF(AP25&gt;0,AP24,AO70)))))))</f>
        <v>0.68</v>
      </c>
      <c r="AO70" s="391">
        <f>IF(AQ25&gt;0,AQ24,IF(AR25&gt;0,AR24,AS24))</f>
        <v>0.68</v>
      </c>
      <c r="AP70" s="389"/>
      <c r="AQ70" s="391">
        <f>IF(AC25&gt;0,AD24,IF(AD25&gt;0,AE24,IF(AE25&gt;0,AF24,IF(AF25&gt;0,AG24,IF(AG25&gt;0,AH24,IF(AH25&gt;0,AI24,IF(AI25&gt;0,AJ24,AR70)))))))</f>
        <v>0.68</v>
      </c>
      <c r="AR70" s="391">
        <f>IF(AJ25&gt;0,AK24,IF(AK25&gt;0,AL24,IF(AL25&gt;0,AM24,IF(AM25&gt;0,AN24,IF(AN25&gt;0,AO24,IF(AO25&gt;0,AP24,IF(AP25&gt;0,AQ24,AS70)))))))</f>
        <v>0.68</v>
      </c>
      <c r="AS70" s="391">
        <f>IF(AQ25&gt;0,AR24,IF(AR25&gt;0,AS24,AS24))</f>
        <v>0.68</v>
      </c>
      <c r="AT70" s="393"/>
    </row>
    <row r="71" spans="1:46" ht="16">
      <c r="A71" s="18"/>
      <c r="B71" s="352"/>
      <c r="C71" s="352"/>
      <c r="D71" s="352"/>
      <c r="E71" s="352"/>
      <c r="F71" s="352"/>
      <c r="G71" s="352"/>
      <c r="H71" s="352"/>
      <c r="I71" s="352"/>
      <c r="J71" s="352"/>
      <c r="K71" s="352"/>
      <c r="L71" s="18"/>
      <c r="AC71" s="390">
        <f t="shared" si="19"/>
        <v>0</v>
      </c>
      <c r="AD71" s="390">
        <f>+AT31-AC71</f>
        <v>0</v>
      </c>
      <c r="AE71" s="390">
        <f t="shared" si="18"/>
        <v>0</v>
      </c>
      <c r="AF71" s="391">
        <f>+AM71</f>
        <v>0.68</v>
      </c>
      <c r="AG71" s="391">
        <f t="shared" si="21"/>
        <v>0.68</v>
      </c>
      <c r="AH71" s="394"/>
      <c r="AI71" s="389">
        <f>IF(AC31=0,IF(AD31=0,IF(AE31=0,IF(AF31=0,IF(AG31=0,IF(AH31=0,IF(AI31=0,AJ71,AI31),AH31),AG31),AF31),AE31),AD31),AC31)</f>
        <v>0</v>
      </c>
      <c r="AJ71" s="389">
        <f>IF(AJ31=0,IF(AK31=0,IF(AL31=0,IF(AM31=0,IF(AN31=0,IF(AO31=0,IF(AP31=0,AK71,AP31),AO31),AN31),AM31),AL31),AK31),AJ31)</f>
        <v>0</v>
      </c>
      <c r="AK71" s="389">
        <f>IF(AQ31=0,IF(AR31=0,AS31,AR31),AQ31)</f>
        <v>0</v>
      </c>
      <c r="AL71" s="394"/>
      <c r="AM71" s="391">
        <f>IF(AC31&gt;0,AC30,IF(AD31&gt;0,AD30,IF(AE31&gt;0,AE30,IF(AF31&gt;0,AF30,IF(AG31&gt;0,AG30,IF(AH31&gt;0,AH30,IF(AI31&gt;0,AI30,AN71)))))))</f>
        <v>0.68</v>
      </c>
      <c r="AN71" s="391">
        <f>IF(AJ31&gt;0,AJ30,IF(AK31&gt;0,AK30,IF(AL31&gt;0,AL30,IF(AM31&gt;0,AM30,IF(AN31&gt;0,AN30,IF(AO31&gt;0,AO30,IF(AP31&gt;0,AP30,AO71)))))))</f>
        <v>0.68</v>
      </c>
      <c r="AO71" s="391">
        <f>IF(AQ31&gt;0,AQ30,IF(AR31&gt;0,AR30,AS30))</f>
        <v>0.68</v>
      </c>
      <c r="AP71" s="389"/>
      <c r="AQ71" s="391">
        <f>IF(AC31&gt;0,AD30,IF(AD31&gt;0,AE30,IF(AE31&gt;0,AF30,IF(AF31&gt;0,AG30,IF(AG31&gt;0,AH30,IF(AH31&gt;0,AI30,IF(AI31&gt;0,AJ30,AR71)))))))</f>
        <v>0.68</v>
      </c>
      <c r="AR71" s="391">
        <f>IF(AJ31&gt;0,AK30,IF(AK31&gt;0,AL30,IF(AL31&gt;0,AM30,IF(AM31&gt;0,AN30,IF(AN31&gt;0,AO30,IF(AO31&gt;0,AP30,IF(AP31&gt;0,AQ30,AS71)))))))</f>
        <v>0.68</v>
      </c>
      <c r="AS71" s="391">
        <f>IF(AQ31&gt;0,AR30,IF(AR31&gt;0,AS30,AS30))</f>
        <v>0.68</v>
      </c>
      <c r="AT71" s="394"/>
    </row>
    <row r="72" spans="1:46" ht="16">
      <c r="A72" s="18"/>
      <c r="B72" s="352"/>
      <c r="C72" s="352"/>
      <c r="D72" s="352"/>
      <c r="E72" s="352"/>
      <c r="F72" s="352"/>
      <c r="G72" s="352"/>
      <c r="H72" s="352"/>
      <c r="I72" s="352"/>
      <c r="J72" s="352"/>
      <c r="K72" s="352"/>
      <c r="L72" s="18"/>
      <c r="AC72" s="390">
        <f t="shared" si="19"/>
        <v>0</v>
      </c>
      <c r="AD72" s="390">
        <f>+AT38-AC72</f>
        <v>0</v>
      </c>
      <c r="AE72" s="390">
        <f t="shared" si="18"/>
        <v>0</v>
      </c>
      <c r="AF72" s="391">
        <f>+AM72</f>
        <v>0.68</v>
      </c>
      <c r="AG72" s="391">
        <f t="shared" si="21"/>
        <v>0.68</v>
      </c>
      <c r="AH72" s="394"/>
      <c r="AI72" s="389">
        <f>IF(AC38=0,IF(AD38=0,IF(AE38=0,IF(AF38=0,IF(AG38=0,IF(AH38=0,IF(AI38=0,AJ72,AI38),AH38),AG38),AF38),AE38),AD38),AC38)</f>
        <v>0</v>
      </c>
      <c r="AJ72" s="389">
        <f>IF(AJ38=0,IF(AK38=0,IF(AL38=0,IF(AM38=0,IF(AN38=0,IF(AO38=0,IF(AP38=0,AK72,AP38),AO38),AN38),AM38),AL38),AK38),AJ38)</f>
        <v>0</v>
      </c>
      <c r="AK72" s="389">
        <f>IF(AQ38=0,IF(AR38=0,AS38,AR38),AQ38)</f>
        <v>0</v>
      </c>
      <c r="AL72" s="394"/>
      <c r="AM72" s="391">
        <f>IF(AC38&gt;0,AC37,IF(AD38&gt;0,AD37,IF(AE38&gt;0,AE37,IF(AF38&gt;0,AF37,IF(AG38&gt;0,AG37,IF(AH38&gt;0,AH37,IF(AI38&gt;0,AI37,AN72)))))))</f>
        <v>0.68</v>
      </c>
      <c r="AN72" s="391">
        <f>IF(AJ38&gt;0,AJ37,IF(AK38&gt;0,AK37,IF(AL38&gt;0,AL37,IF(AM38&gt;0,AM37,IF(AN38&gt;0,AN37,IF(AO38&gt;0,AO37,IF(AP38&gt;0,AP37,AO72)))))))</f>
        <v>0.68</v>
      </c>
      <c r="AO72" s="391">
        <f>IF(AQ38&gt;0,AQ37,IF(AR38&gt;0,AR37,AS37))</f>
        <v>0.68</v>
      </c>
      <c r="AP72" s="389"/>
      <c r="AQ72" s="391">
        <f>IF(AC38&gt;0,AD37,IF(AD38&gt;0,AE37,IF(AE38&gt;0,AF37,IF(AF38&gt;0,AG37,IF(AG38&gt;0,AH37,IF(AH38&gt;0,AI37,IF(AI38&gt;0,AJ37,AR72)))))))</f>
        <v>0.68</v>
      </c>
      <c r="AR72" s="391">
        <f>IF(AJ38&gt;0,AK37,IF(AK38&gt;0,AL37,IF(AL38&gt;0,AM37,IF(AM38&gt;0,AN37,IF(AN38&gt;0,AO37,IF(AO38&gt;0,AP37,IF(AP38&gt;0,AQ37,AS72)))))))</f>
        <v>0.68</v>
      </c>
      <c r="AS72" s="391">
        <f>IF(AQ38&gt;0,AR37,IF(AR38&gt;0,AS37,AS37))</f>
        <v>0.68</v>
      </c>
      <c r="AT72" s="394"/>
    </row>
    <row r="73" spans="1:46" ht="16">
      <c r="A73" s="18"/>
      <c r="B73" s="352"/>
      <c r="C73" s="352"/>
      <c r="D73" s="352"/>
      <c r="E73" s="352"/>
      <c r="F73" s="352"/>
      <c r="G73" s="352"/>
      <c r="H73" s="352"/>
      <c r="I73" s="352"/>
      <c r="J73" s="352"/>
      <c r="K73" s="352"/>
      <c r="L73" s="18"/>
      <c r="AC73" s="390">
        <f t="shared" si="19"/>
        <v>0</v>
      </c>
      <c r="AD73" s="390">
        <f>+AT45-AC73</f>
        <v>0</v>
      </c>
      <c r="AE73" s="390">
        <f t="shared" si="18"/>
        <v>0</v>
      </c>
      <c r="AF73" s="391">
        <f t="shared" si="20"/>
        <v>0.68</v>
      </c>
      <c r="AG73" s="391">
        <f t="shared" si="21"/>
        <v>0.68</v>
      </c>
      <c r="AH73" s="77"/>
      <c r="AI73" s="389">
        <f>IF(AC45=0,IF(AD45=0,IF(AE45=0,IF(AF45=0,IF(AG45=0,IF(AH45=0,IF(AI45=0,AJ73,AI45),AH45),AG45),AF45),AE45),AD45),AC45)</f>
        <v>0</v>
      </c>
      <c r="AJ73" s="389">
        <f>IF(AJ45=0,IF(AK45=0,IF(AL45=0,IF(AM45=0,IF(AN45=0,IF(AO45=0,IF(AP45=0,AK73,AP45),AO45),AN45),AM45),AL45),AK45),AJ45)</f>
        <v>0</v>
      </c>
      <c r="AK73" s="389">
        <f>IF(AQ45=0,IF(AR45=0,AS45,AR45),AQ45)</f>
        <v>0</v>
      </c>
      <c r="AL73" s="77"/>
      <c r="AM73" s="391">
        <f>IF(AC45&gt;0,AC44,IF(AD45&gt;0,AD44,IF(AE45&gt;0,AE44,IF(AF45&gt;0,AF44,IF(AG45&gt;0,AG44,IF(AH45&gt;0,AH44,IF(AI45&gt;0,AI44,AN73)))))))</f>
        <v>0.68</v>
      </c>
      <c r="AN73" s="391">
        <f>IF(AJ45&gt;0,AJ44,IF(AK45&gt;0,AK44,IF(AL45&gt;0,AL44,IF(AM45&gt;0,AM44,IF(AN45&gt;0,AN44,IF(AO45&gt;0,AO44,IF(AP45&gt;0,AP44,AO73)))))))</f>
        <v>0.68</v>
      </c>
      <c r="AO73" s="391">
        <f>IF(AQ45&gt;0,AQ44,IF(AR45&gt;0,AR44,AS44))</f>
        <v>0.68</v>
      </c>
      <c r="AP73" s="389"/>
      <c r="AQ73" s="391">
        <f>IF(AC45&gt;0,AD44,IF(AD45&gt;0,AE44,IF(AE45&gt;0,AF44,IF(AF45&gt;0,AG44,IF(AG45&gt;0,AH44,IF(AH45&gt;0,AI44,IF(AI45&gt;0,AJ44,AR73)))))))</f>
        <v>0.68</v>
      </c>
      <c r="AR73" s="391">
        <f>IF(AJ45&gt;0,AK44,IF(AK45&gt;0,AL44,IF(AL45&gt;0,AM44,IF(AM45&gt;0,AN44,IF(AN45&gt;0,AO44,IF(AO45&gt;0,AP44,IF(AP45&gt;0,AQ44,AS73)))))))</f>
        <v>0.68</v>
      </c>
      <c r="AS73" s="391">
        <f>IF(AQ45&gt;0,AR44,IF(AR45&gt;0,AS44,AS44))</f>
        <v>0.68</v>
      </c>
      <c r="AT73" s="77"/>
    </row>
    <row r="74" spans="1:46" ht="16">
      <c r="A74" s="18"/>
      <c r="B74" s="352"/>
      <c r="C74" s="352"/>
      <c r="D74" s="352"/>
      <c r="E74" s="352"/>
      <c r="F74" s="352"/>
      <c r="G74" s="352"/>
      <c r="H74" s="352"/>
      <c r="I74" s="352"/>
      <c r="J74" s="352"/>
      <c r="K74" s="352"/>
      <c r="L74" s="18"/>
      <c r="AC74" s="390">
        <f t="shared" si="19"/>
        <v>0</v>
      </c>
      <c r="AD74" s="390">
        <f>+AT51-AC74</f>
        <v>0</v>
      </c>
      <c r="AE74" s="390">
        <f t="shared" si="18"/>
        <v>0</v>
      </c>
      <c r="AF74" s="391">
        <f t="shared" si="20"/>
        <v>0.68</v>
      </c>
      <c r="AG74" s="391">
        <f t="shared" si="21"/>
        <v>0.68</v>
      </c>
      <c r="AI74" s="389">
        <f>IF(AC51=0,IF(AD51=0,IF(AE51=0,IF(AF51=0,IF(AG51=0,IF(AH51=0,IF(AI51=0,AJ74,AI51),AH51),AG51),AF51),AE51),AD51),AC51)</f>
        <v>0</v>
      </c>
      <c r="AJ74" s="389">
        <f>IF(AJ51=0,IF(AK51=0,IF(AL51=0,IF(AM51=0,IF(AN51=0,IF(AO51=0,IF(AP51=0,AK74,AP51),AO51),AN51),AM51),AL51),AK51),AJ51)</f>
        <v>0</v>
      </c>
      <c r="AK74" s="389">
        <f>IF(AQ51=0,IF(AR51=0,AS51,AR51),AQ51)</f>
        <v>0</v>
      </c>
      <c r="AM74" s="391">
        <f>IF(AC51&gt;0,AC50,IF(AD51&gt;0,AD50,IF(AE51&gt;0,AE50,IF(AF51&gt;0,AF50,IF(AG51&gt;0,AG50,IF(AH51&gt;0,AH50,IF(AI51&gt;0,AI50,AN74)))))))</f>
        <v>0.68</v>
      </c>
      <c r="AN74" s="391">
        <f>IF(AJ51&gt;0,AJ50,IF(AK51&gt;0,AK50,IF(AL51&gt;0,AL50,IF(AM51&gt;0,AM50,IF(AN51&gt;0,AN50,IF(AO51&gt;0,AO50,IF(AP51&gt;0,AP50,AO74)))))))</f>
        <v>0.68</v>
      </c>
      <c r="AO74" s="391">
        <f>IF(AQ51&gt;0,AQ50,IF(AR51&gt;0,AR50,AS50))</f>
        <v>0.68</v>
      </c>
      <c r="AP74" s="389"/>
      <c r="AQ74" s="391">
        <f>IF(AC51&gt;0,AD50,IF(AD51&gt;0,AE50,IF(AE51&gt;0,AF50,IF(AF51&gt;0,AG50,IF(AG51&gt;0,AH50,IF(AH51&gt;0,AI50,IF(AI51&gt;0,AJ50,AR74)))))))</f>
        <v>0.68</v>
      </c>
      <c r="AR74" s="391">
        <f>IF(AJ51&gt;0,AK50,IF(AK51&gt;0,AL50,IF(AL51&gt;0,AM50,IF(AM51&gt;0,AN50,IF(AN51&gt;0,AO50,IF(AO51&gt;0,AP50,IF(AP51&gt;0,AQ50,AS74)))))))</f>
        <v>0.68</v>
      </c>
      <c r="AS74" s="391">
        <f>IF(AQ51&gt;0,AR50,IF(AR51&gt;0,AS50,AS50))</f>
        <v>0.68</v>
      </c>
    </row>
    <row r="75" spans="1:46" ht="16">
      <c r="A75" s="18"/>
      <c r="B75" s="352"/>
      <c r="C75" s="352"/>
      <c r="D75" s="352"/>
      <c r="E75" s="352"/>
      <c r="F75" s="352"/>
      <c r="G75" s="352"/>
      <c r="H75" s="352"/>
      <c r="I75" s="352"/>
      <c r="J75" s="352"/>
      <c r="K75" s="352"/>
      <c r="L75" s="18"/>
      <c r="AC75" s="390">
        <f t="shared" si="19"/>
        <v>0</v>
      </c>
      <c r="AD75" s="390">
        <f>+AT57-AC75</f>
        <v>0</v>
      </c>
      <c r="AE75" s="390">
        <f t="shared" si="18"/>
        <v>0</v>
      </c>
      <c r="AF75" s="391">
        <f t="shared" si="20"/>
        <v>0.68</v>
      </c>
      <c r="AG75" s="391">
        <f t="shared" si="21"/>
        <v>0.68</v>
      </c>
      <c r="AI75" s="389">
        <f>IF(AC57=0,IF(AD57=0,IF(AE57=0,IF(AF57=0,IF(AG57=0,IF(AH57=0,IF(AI57=0,AJ75,AI57),AH57),AG57),AF57),AE57),AD57),AC57)</f>
        <v>0</v>
      </c>
      <c r="AJ75" s="389">
        <f>IF(AJ57=0,IF(AK57=0,IF(AL57=0,IF(AM57=0,IF(AN57=0,IF(AO57=0,IF(AP57=0,AK75,AP57),AO57),AN57),AM57),AL57),AK57),AJ57)</f>
        <v>0</v>
      </c>
      <c r="AK75" s="389">
        <f>IF(AQ57=0,IF(AR57=0,AS57,AR57),AQ57)</f>
        <v>0</v>
      </c>
      <c r="AM75" s="391">
        <f>IF(AC57&gt;0,AC56,IF(AD57&gt;0,AD56,IF(AE57&gt;0,AE56,IF(AF57&gt;0,AF56,IF(AG57&gt;0,AG56,IF(AH57&gt;0,AH56,IF(AI57&gt;0,AI56,AN75)))))))</f>
        <v>0.68</v>
      </c>
      <c r="AN75" s="391">
        <f>IF(AJ57&gt;0,AJ56,IF(AK57&gt;0,AK56,IF(AL57&gt;0,AL56,IF(AM57&gt;0,AM56,IF(AN57&gt;0,AN56,IF(AO57&gt;0,AO56,IF(AP57&gt;0,AP56,AO75)))))))</f>
        <v>0.68</v>
      </c>
      <c r="AO75" s="391">
        <f>IF(AQ57&gt;0,AQ56,IF(AR57&gt;0,AR56,AS56))</f>
        <v>0.68</v>
      </c>
      <c r="AP75" s="389"/>
      <c r="AQ75" s="391">
        <f>IF(AC57&gt;0,AD56,IF(AD57&gt;0,AE56,IF(AE57&gt;0,AF56,IF(AF57&gt;0,AG56,IF(AG57&gt;0,AH56,IF(AH57&gt;0,AI56,IF(AI57&gt;0,AJ56,AR75)))))))</f>
        <v>0.68</v>
      </c>
      <c r="AR75" s="391">
        <f>IF(AJ57&gt;0,AK56,IF(AK57&gt;0,AL56,IF(AL57&gt;0,AM56,IF(AM57&gt;0,AN56,IF(AN57&gt;0,AO56,IF(AO57&gt;0,AP56,IF(AP57&gt;0,AQ56,AS75)))))))</f>
        <v>0.68</v>
      </c>
      <c r="AS75" s="391">
        <f>IF(AQ57&gt;0,AR56,IF(AR57&gt;0,AS56,AS56))</f>
        <v>0.68</v>
      </c>
    </row>
    <row r="76" spans="1:46" ht="16">
      <c r="A76" s="18"/>
      <c r="B76" s="352"/>
      <c r="C76" s="352"/>
      <c r="D76" s="352"/>
      <c r="E76" s="352"/>
      <c r="F76" s="352"/>
      <c r="G76" s="352"/>
      <c r="H76" s="352"/>
      <c r="I76" s="352"/>
      <c r="J76" s="352"/>
      <c r="K76" s="352"/>
      <c r="L76" s="18"/>
      <c r="AC76" s="390">
        <f>AI76</f>
        <v>0</v>
      </c>
      <c r="AD76" s="390">
        <f>+AT63-AC76</f>
        <v>0</v>
      </c>
      <c r="AE76" s="390">
        <f t="shared" si="18"/>
        <v>0</v>
      </c>
      <c r="AF76" s="391">
        <f t="shared" si="20"/>
        <v>0.68</v>
      </c>
      <c r="AG76" s="391">
        <f t="shared" si="21"/>
        <v>0.68</v>
      </c>
      <c r="AI76" s="389">
        <f>IF(AC63=0,IF(AD63=0,IF(AE63=0,IF(AF63=0,IF(AG63=0,IF(AH63=0,IF(AI63=0,AJ76,AI63),AH63),AG63),AF63),AE63),AD63),AC63)</f>
        <v>0</v>
      </c>
      <c r="AJ76" s="389">
        <f>IF(AJ63=0,IF(AK63=0,IF(AL63=0,IF(AM63=0,IF(AN63=0,IF(AO63=0,IF(AP63=0,AK76,AP63),AO63),AN63),AM63),AL63),AK63),AJ63)</f>
        <v>0</v>
      </c>
      <c r="AK76" s="389">
        <f>IF(AQ63=0,IF(AR63=0,AS63,AR63),AQ63)</f>
        <v>0</v>
      </c>
      <c r="AM76" s="391">
        <f>IF(AC63&gt;0,AC62,IF(AD63&gt;0,AD62,IF(AE63&gt;0,AE62,IF(AF63&gt;0,AF62,IF(AG63&gt;0,AG62,IF(AH63&gt;0,AH62,IF(AI63&gt;0,AI62,AN76)))))))</f>
        <v>0.68</v>
      </c>
      <c r="AN76" s="391">
        <f>IF(AJ63&gt;0,AJ62,IF(AK63&gt;0,AK62,IF(AL63&gt;0,AL62,IF(AM63&gt;0,AM62,IF(AN63&gt;0,AN62,IF(AO63&gt;0,AO62,IF(AP63&gt;0,AP62,AO76)))))))</f>
        <v>0.68</v>
      </c>
      <c r="AO76" s="391">
        <f>IF(AQ63&gt;0,AQ62,IF(AR63&gt;0,AR62,AS62))</f>
        <v>0.68</v>
      </c>
      <c r="AP76" s="389"/>
      <c r="AQ76" s="391">
        <f>IF(AC63&gt;0,AD62,IF(AD63&gt;0,AE62,IF(AE63&gt;0,AF62,IF(AF63&gt;0,AG62,IF(AG63&gt;0,AH62,IF(AH63&gt;0,AI62,IF(AI63&gt;0,AJ62,AR76)))))))</f>
        <v>0.68</v>
      </c>
      <c r="AR76" s="391">
        <f>IF(AJ63&gt;0,AK62,IF(AK63&gt;0,AL62,IF(AL63&gt;0,AM62,IF(AM63&gt;0,AN62,IF(AN63&gt;0,AO62,IF(AO63&gt;0,AP62,IF(AP63&gt;0,AQ62,AS76)))))))</f>
        <v>0.68</v>
      </c>
      <c r="AS76" s="391">
        <f>IF(AQ63&gt;0,AR62,IF(AR63&gt;0,AS62,AS62))</f>
        <v>0.68</v>
      </c>
    </row>
    <row r="77" spans="1:46" ht="16">
      <c r="A77" s="18"/>
      <c r="B77" s="352"/>
      <c r="C77" s="352"/>
      <c r="D77" s="352"/>
      <c r="E77" s="352"/>
      <c r="F77" s="352"/>
      <c r="G77" s="352"/>
      <c r="H77" s="352"/>
      <c r="I77" s="352"/>
      <c r="J77" s="352"/>
      <c r="K77" s="352"/>
      <c r="L77" s="18"/>
      <c r="AC77" s="390"/>
      <c r="AD77" s="390"/>
    </row>
    <row r="78" spans="1:46" ht="16">
      <c r="A78" s="18"/>
      <c r="B78" s="352"/>
      <c r="C78" s="352"/>
      <c r="D78" s="352"/>
      <c r="E78" s="352"/>
      <c r="F78" s="352"/>
      <c r="G78" s="352"/>
      <c r="H78" s="352"/>
      <c r="I78" s="352"/>
      <c r="J78" s="352"/>
      <c r="K78" s="352"/>
      <c r="L78" s="18"/>
      <c r="AC78" s="390"/>
      <c r="AD78" s="390"/>
    </row>
    <row r="79" spans="1:46" ht="16">
      <c r="A79" s="18"/>
      <c r="B79" s="352"/>
      <c r="C79" s="352"/>
      <c r="D79" s="352"/>
      <c r="E79" s="352"/>
      <c r="F79" s="352"/>
      <c r="G79" s="352"/>
      <c r="H79" s="352"/>
      <c r="I79" s="352"/>
      <c r="J79" s="352"/>
      <c r="K79" s="352"/>
      <c r="L79" s="18"/>
      <c r="AC79" s="390"/>
      <c r="AD79" s="390"/>
    </row>
    <row r="80" spans="1:46" ht="16">
      <c r="A80" s="18"/>
      <c r="B80" s="352"/>
      <c r="C80" s="352"/>
      <c r="D80" s="352"/>
      <c r="E80" s="352"/>
      <c r="F80" s="352"/>
      <c r="G80" s="352"/>
      <c r="H80" s="352"/>
      <c r="I80" s="352"/>
      <c r="J80" s="352"/>
      <c r="K80" s="352"/>
      <c r="L80" s="18"/>
    </row>
    <row r="81" spans="1:30" ht="16">
      <c r="A81" s="18"/>
      <c r="B81" s="352"/>
      <c r="C81" s="352"/>
      <c r="D81" s="352"/>
      <c r="E81" s="352"/>
      <c r="F81" s="352"/>
      <c r="G81" s="352"/>
      <c r="H81" s="352"/>
      <c r="I81" s="352"/>
      <c r="J81" s="352"/>
      <c r="K81" s="352"/>
      <c r="L81" s="18"/>
      <c r="AC81" s="390"/>
      <c r="AD81" s="390"/>
    </row>
    <row r="82" spans="1:30" ht="16">
      <c r="A82" s="18"/>
      <c r="B82" s="352"/>
      <c r="C82" s="352"/>
      <c r="D82" s="352"/>
      <c r="E82" s="352"/>
      <c r="F82" s="352"/>
      <c r="G82" s="352"/>
      <c r="H82" s="352"/>
      <c r="I82" s="352"/>
      <c r="J82" s="352"/>
      <c r="K82" s="352"/>
      <c r="L82" s="18"/>
      <c r="AC82" s="390"/>
      <c r="AD82" s="390"/>
    </row>
    <row r="83" spans="1:30" ht="16">
      <c r="A83" s="18"/>
      <c r="B83" s="352"/>
      <c r="C83" s="352"/>
      <c r="D83" s="352"/>
      <c r="E83" s="352"/>
      <c r="F83" s="352"/>
      <c r="G83" s="352"/>
      <c r="H83" s="352"/>
      <c r="I83" s="352"/>
      <c r="J83" s="352"/>
      <c r="K83" s="352"/>
      <c r="L83" s="18"/>
      <c r="AC83" s="390"/>
      <c r="AD83" s="390"/>
    </row>
    <row r="84" spans="1:30" ht="16">
      <c r="A84" s="18"/>
      <c r="B84" s="352"/>
      <c r="C84" s="352"/>
      <c r="D84" s="352"/>
      <c r="E84" s="352"/>
      <c r="F84" s="352"/>
      <c r="G84" s="352"/>
      <c r="H84" s="352"/>
      <c r="I84" s="352"/>
      <c r="J84" s="352"/>
      <c r="K84" s="352"/>
      <c r="L84" s="18"/>
      <c r="AC84" s="390"/>
      <c r="AD84" s="390"/>
    </row>
    <row r="85" spans="1:30" ht="16">
      <c r="A85" s="18"/>
      <c r="B85" s="352"/>
      <c r="C85" s="352"/>
      <c r="D85" s="352"/>
      <c r="E85" s="352"/>
      <c r="F85" s="352"/>
      <c r="G85" s="352"/>
      <c r="H85" s="352"/>
      <c r="I85" s="352"/>
      <c r="J85" s="352"/>
      <c r="K85" s="352"/>
      <c r="L85" s="18"/>
      <c r="AC85" s="390"/>
      <c r="AD85" s="390"/>
    </row>
    <row r="86" spans="1:30" ht="16">
      <c r="A86" s="18"/>
      <c r="B86" s="352"/>
      <c r="C86" s="352"/>
      <c r="D86" s="352"/>
      <c r="E86" s="352"/>
      <c r="F86" s="352"/>
      <c r="G86" s="352"/>
      <c r="H86" s="352"/>
      <c r="I86" s="352"/>
      <c r="J86" s="352"/>
      <c r="K86" s="352"/>
      <c r="L86" s="18"/>
    </row>
    <row r="87" spans="1:30" ht="16">
      <c r="A87" s="18"/>
      <c r="B87" s="352"/>
      <c r="C87" s="352"/>
      <c r="D87" s="352"/>
      <c r="E87" s="352"/>
      <c r="F87" s="352"/>
      <c r="G87" s="352"/>
      <c r="H87" s="352"/>
      <c r="I87" s="352"/>
      <c r="J87" s="352"/>
      <c r="K87" s="352"/>
      <c r="L87" s="18"/>
      <c r="AC87" s="390"/>
      <c r="AD87" s="390"/>
    </row>
    <row r="88" spans="1:30" ht="16">
      <c r="A88" s="18"/>
      <c r="B88" s="352"/>
      <c r="C88" s="352"/>
      <c r="D88" s="352"/>
      <c r="E88" s="352"/>
      <c r="F88" s="352"/>
      <c r="G88" s="352"/>
      <c r="H88" s="352"/>
      <c r="I88" s="352"/>
      <c r="J88" s="352"/>
      <c r="K88" s="352"/>
      <c r="L88" s="18"/>
      <c r="AC88" s="390"/>
      <c r="AD88" s="390"/>
    </row>
    <row r="89" spans="1:30" ht="16">
      <c r="A89" s="18"/>
      <c r="B89" s="352"/>
      <c r="C89" s="352"/>
      <c r="D89" s="352"/>
      <c r="E89" s="352"/>
      <c r="F89" s="352"/>
      <c r="G89" s="352"/>
      <c r="H89" s="352"/>
      <c r="I89" s="352"/>
      <c r="J89" s="352"/>
      <c r="K89" s="352"/>
      <c r="L89" s="18"/>
      <c r="AC89" s="390"/>
      <c r="AD89" s="390"/>
    </row>
    <row r="90" spans="1:30" ht="16">
      <c r="A90" s="18"/>
      <c r="B90" s="352"/>
      <c r="C90" s="352"/>
      <c r="D90" s="352"/>
      <c r="E90" s="352"/>
      <c r="F90" s="352"/>
      <c r="G90" s="352"/>
      <c r="H90" s="352"/>
      <c r="I90" s="352"/>
      <c r="J90" s="352"/>
      <c r="K90" s="352"/>
      <c r="L90" s="18"/>
    </row>
    <row r="91" spans="1:30" ht="16">
      <c r="A91" s="18"/>
      <c r="B91" s="352"/>
      <c r="C91" s="352"/>
      <c r="D91" s="352"/>
      <c r="E91" s="352"/>
      <c r="F91" s="352"/>
      <c r="G91" s="352"/>
      <c r="H91" s="352"/>
      <c r="I91" s="352"/>
      <c r="J91" s="352"/>
      <c r="K91" s="352"/>
      <c r="L91" s="18"/>
    </row>
    <row r="92" spans="1:30" ht="16">
      <c r="A92" s="18"/>
      <c r="B92" s="352"/>
      <c r="C92" s="352"/>
      <c r="D92" s="352"/>
      <c r="E92" s="352"/>
      <c r="F92" s="352"/>
      <c r="G92" s="352"/>
      <c r="H92" s="352"/>
      <c r="I92" s="352"/>
      <c r="J92" s="352"/>
      <c r="K92" s="352"/>
      <c r="L92" s="18"/>
    </row>
    <row r="93" spans="1:30" ht="16">
      <c r="A93" s="18"/>
      <c r="B93" s="352"/>
      <c r="C93" s="352"/>
      <c r="D93" s="352"/>
      <c r="E93" s="352"/>
      <c r="F93" s="352"/>
      <c r="G93" s="352"/>
      <c r="H93" s="352"/>
      <c r="I93" s="352"/>
      <c r="J93" s="352"/>
      <c r="K93" s="352"/>
      <c r="L93" s="18"/>
    </row>
    <row r="94" spans="1:30" ht="16">
      <c r="A94" s="18"/>
      <c r="B94" s="352"/>
      <c r="C94" s="352"/>
      <c r="D94" s="352"/>
      <c r="E94" s="352"/>
      <c r="F94" s="352"/>
      <c r="G94" s="352"/>
      <c r="H94" s="352"/>
      <c r="I94" s="352"/>
      <c r="J94" s="352"/>
      <c r="K94" s="352"/>
      <c r="L94" s="18"/>
    </row>
    <row r="95" spans="1:30" ht="16">
      <c r="A95" s="18"/>
      <c r="B95" s="352"/>
      <c r="C95" s="352"/>
      <c r="D95" s="352"/>
      <c r="E95" s="352"/>
      <c r="F95" s="352"/>
      <c r="G95" s="352"/>
      <c r="H95" s="352"/>
      <c r="I95" s="352"/>
      <c r="J95" s="352"/>
      <c r="K95" s="352"/>
      <c r="L95" s="18"/>
    </row>
    <row r="96" spans="1:30" ht="16">
      <c r="A96" s="18"/>
      <c r="B96" s="352"/>
      <c r="C96" s="352"/>
      <c r="D96" s="352"/>
      <c r="E96" s="352"/>
      <c r="F96" s="352"/>
      <c r="G96" s="352"/>
      <c r="H96" s="352"/>
      <c r="I96" s="352"/>
      <c r="J96" s="352"/>
      <c r="K96" s="352"/>
      <c r="L96" s="18"/>
    </row>
    <row r="97" spans="1:12" ht="16">
      <c r="A97" s="18"/>
      <c r="B97" s="352"/>
      <c r="C97" s="352"/>
      <c r="D97" s="352"/>
      <c r="E97" s="352"/>
      <c r="F97" s="352"/>
      <c r="G97" s="352"/>
      <c r="H97" s="352"/>
      <c r="I97" s="352"/>
      <c r="J97" s="352"/>
      <c r="K97" s="352"/>
      <c r="L97" s="18"/>
    </row>
    <row r="98" spans="1:12" ht="16">
      <c r="A98" s="18"/>
      <c r="B98" s="352"/>
      <c r="C98" s="352"/>
      <c r="D98" s="352"/>
      <c r="E98" s="352"/>
      <c r="F98" s="352"/>
      <c r="G98" s="352"/>
      <c r="H98" s="352"/>
      <c r="I98" s="352"/>
      <c r="J98" s="352"/>
      <c r="K98" s="352"/>
      <c r="L98" s="18"/>
    </row>
    <row r="99" spans="1:12" ht="16">
      <c r="A99" s="18"/>
      <c r="B99" s="352"/>
      <c r="C99" s="352"/>
      <c r="D99" s="352"/>
      <c r="E99" s="352"/>
      <c r="F99" s="352"/>
      <c r="G99" s="352"/>
      <c r="H99" s="352"/>
      <c r="I99" s="352"/>
      <c r="J99" s="352"/>
      <c r="K99" s="352"/>
      <c r="L99" s="18"/>
    </row>
    <row r="100" spans="1:12" ht="16">
      <c r="A100" s="18"/>
      <c r="B100" s="352"/>
      <c r="C100" s="352"/>
      <c r="D100" s="352"/>
      <c r="E100" s="352"/>
      <c r="F100" s="352"/>
      <c r="G100" s="352"/>
      <c r="H100" s="352"/>
      <c r="I100" s="352"/>
      <c r="J100" s="352"/>
      <c r="K100" s="352"/>
      <c r="L100" s="18"/>
    </row>
    <row r="101" spans="1:12" ht="16">
      <c r="A101" s="18"/>
      <c r="B101" s="352"/>
      <c r="C101" s="352"/>
      <c r="D101" s="352"/>
      <c r="E101" s="352"/>
      <c r="F101" s="352"/>
      <c r="G101" s="352"/>
      <c r="H101" s="352"/>
      <c r="I101" s="352"/>
      <c r="J101" s="352"/>
      <c r="K101" s="352"/>
      <c r="L101" s="18"/>
    </row>
    <row r="102" spans="1:12" ht="16">
      <c r="A102" s="18"/>
      <c r="B102" s="352"/>
      <c r="C102" s="352"/>
      <c r="D102" s="352"/>
      <c r="E102" s="352"/>
      <c r="F102" s="352"/>
      <c r="G102" s="352"/>
      <c r="H102" s="352"/>
      <c r="I102" s="352"/>
      <c r="J102" s="352"/>
      <c r="K102" s="352"/>
      <c r="L102" s="18"/>
    </row>
    <row r="103" spans="1:12" ht="16">
      <c r="A103" s="18"/>
      <c r="B103" s="352"/>
      <c r="C103" s="352"/>
      <c r="D103" s="352"/>
      <c r="E103" s="352"/>
      <c r="F103" s="352"/>
      <c r="G103" s="352"/>
      <c r="H103" s="352"/>
      <c r="I103" s="352"/>
      <c r="J103" s="352"/>
      <c r="K103" s="352"/>
      <c r="L103" s="18"/>
    </row>
    <row r="104" spans="1:12" ht="16">
      <c r="A104" s="18"/>
      <c r="B104" s="352"/>
      <c r="C104" s="352"/>
      <c r="D104" s="352"/>
      <c r="E104" s="352"/>
      <c r="F104" s="352"/>
      <c r="G104" s="352"/>
      <c r="H104" s="352"/>
      <c r="I104" s="352"/>
      <c r="J104" s="352"/>
      <c r="K104" s="352"/>
      <c r="L104" s="18"/>
    </row>
    <row r="105" spans="1:12" ht="16">
      <c r="A105" s="18"/>
      <c r="B105" s="352"/>
      <c r="C105" s="352"/>
      <c r="D105" s="352"/>
      <c r="E105" s="352"/>
      <c r="F105" s="352"/>
      <c r="G105" s="352"/>
      <c r="H105" s="352"/>
      <c r="I105" s="352"/>
      <c r="J105" s="352"/>
      <c r="K105" s="352"/>
      <c r="L105" s="18"/>
    </row>
    <row r="106" spans="1:12" ht="16">
      <c r="A106" s="18"/>
      <c r="B106" s="352"/>
      <c r="C106" s="352"/>
      <c r="D106" s="352"/>
      <c r="E106" s="352"/>
      <c r="F106" s="352"/>
      <c r="G106" s="352"/>
      <c r="H106" s="352"/>
      <c r="I106" s="352"/>
      <c r="J106" s="352"/>
      <c r="K106" s="352"/>
      <c r="L106" s="18"/>
    </row>
    <row r="107" spans="1:12" ht="16">
      <c r="A107" s="18"/>
      <c r="B107" s="352"/>
      <c r="C107" s="352"/>
      <c r="D107" s="352"/>
      <c r="E107" s="352"/>
      <c r="F107" s="352"/>
      <c r="G107" s="352"/>
      <c r="H107" s="352"/>
      <c r="I107" s="352"/>
      <c r="J107" s="352"/>
      <c r="K107" s="352"/>
      <c r="L107" s="18"/>
    </row>
    <row r="108" spans="1:12" ht="16">
      <c r="A108" s="18"/>
      <c r="B108" s="352"/>
      <c r="C108" s="352"/>
      <c r="D108" s="352"/>
      <c r="E108" s="352"/>
      <c r="F108" s="352"/>
      <c r="G108" s="352"/>
      <c r="H108" s="352"/>
      <c r="I108" s="352"/>
      <c r="J108" s="352"/>
      <c r="K108" s="352"/>
      <c r="L108" s="18"/>
    </row>
    <row r="109" spans="1:12" ht="16">
      <c r="A109" s="18"/>
      <c r="B109" s="352"/>
      <c r="C109" s="352"/>
      <c r="D109" s="352"/>
      <c r="E109" s="352"/>
      <c r="F109" s="352"/>
      <c r="G109" s="352"/>
      <c r="H109" s="352"/>
      <c r="I109" s="352"/>
      <c r="J109" s="352"/>
      <c r="K109" s="352"/>
      <c r="L109" s="18"/>
    </row>
    <row r="110" spans="1:12" ht="16">
      <c r="A110" s="18"/>
      <c r="B110" s="352"/>
      <c r="C110" s="352"/>
      <c r="D110" s="352"/>
      <c r="E110" s="352"/>
      <c r="F110" s="352"/>
      <c r="G110" s="352"/>
      <c r="H110" s="352"/>
      <c r="I110" s="352"/>
      <c r="J110" s="352"/>
      <c r="K110" s="352"/>
      <c r="L110" s="18"/>
    </row>
    <row r="111" spans="1:12" ht="16">
      <c r="A111" s="18"/>
      <c r="B111" s="352"/>
      <c r="C111" s="352"/>
      <c r="D111" s="352"/>
      <c r="E111" s="352"/>
      <c r="F111" s="352"/>
      <c r="G111" s="352"/>
      <c r="H111" s="352"/>
      <c r="I111" s="352"/>
      <c r="J111" s="352"/>
      <c r="K111" s="352"/>
      <c r="L111" s="18"/>
    </row>
    <row r="112" spans="1:12" ht="16">
      <c r="A112" s="18"/>
      <c r="B112" s="352"/>
      <c r="C112" s="352"/>
      <c r="D112" s="352"/>
      <c r="E112" s="352"/>
      <c r="F112" s="352"/>
      <c r="G112" s="352"/>
      <c r="H112" s="352"/>
      <c r="I112" s="352"/>
      <c r="J112" s="352"/>
      <c r="K112" s="352"/>
      <c r="L112" s="18"/>
    </row>
    <row r="113" spans="1:12" ht="16">
      <c r="A113" s="18"/>
      <c r="B113" s="352"/>
      <c r="C113" s="352"/>
      <c r="D113" s="352"/>
      <c r="E113" s="352"/>
      <c r="F113" s="352"/>
      <c r="G113" s="352"/>
      <c r="H113" s="352"/>
      <c r="I113" s="352"/>
      <c r="J113" s="352"/>
      <c r="K113" s="352"/>
      <c r="L113" s="18"/>
    </row>
    <row r="114" spans="1:12" ht="16">
      <c r="A114" s="18"/>
      <c r="B114" s="352"/>
      <c r="C114" s="352"/>
      <c r="D114" s="352"/>
      <c r="E114" s="352"/>
      <c r="F114" s="352"/>
      <c r="G114" s="352"/>
      <c r="H114" s="352"/>
      <c r="I114" s="352"/>
      <c r="J114" s="352"/>
      <c r="K114" s="352"/>
      <c r="L114" s="18"/>
    </row>
    <row r="115" spans="1:12" ht="16">
      <c r="A115" s="18"/>
      <c r="B115" s="352"/>
      <c r="C115" s="352"/>
      <c r="D115" s="352"/>
      <c r="E115" s="352"/>
      <c r="F115" s="352"/>
      <c r="G115" s="352"/>
      <c r="H115" s="352"/>
      <c r="I115" s="352"/>
      <c r="J115" s="352"/>
      <c r="K115" s="352"/>
      <c r="L115" s="18"/>
    </row>
    <row r="116" spans="1:12" ht="16">
      <c r="A116" s="18"/>
      <c r="B116" s="352"/>
      <c r="C116" s="352"/>
      <c r="D116" s="352"/>
      <c r="E116" s="352"/>
      <c r="F116" s="352"/>
      <c r="G116" s="352"/>
      <c r="H116" s="352"/>
      <c r="I116" s="352"/>
      <c r="J116" s="352"/>
      <c r="K116" s="352"/>
      <c r="L116" s="18"/>
    </row>
    <row r="117" spans="1:12" ht="16">
      <c r="A117" s="18"/>
      <c r="B117" s="352"/>
      <c r="C117" s="352"/>
      <c r="D117" s="352"/>
      <c r="E117" s="352"/>
      <c r="F117" s="352"/>
      <c r="G117" s="352"/>
      <c r="H117" s="352"/>
      <c r="I117" s="352"/>
      <c r="J117" s="352"/>
      <c r="K117" s="352"/>
      <c r="L117" s="18"/>
    </row>
    <row r="118" spans="1:12" ht="16">
      <c r="A118" s="18"/>
      <c r="B118" s="352"/>
      <c r="C118" s="352"/>
      <c r="D118" s="352"/>
      <c r="E118" s="352"/>
      <c r="F118" s="352"/>
      <c r="G118" s="352"/>
      <c r="H118" s="352"/>
      <c r="I118" s="352"/>
      <c r="J118" s="352"/>
      <c r="K118" s="352"/>
      <c r="L118" s="18"/>
    </row>
    <row r="119" spans="1:12" ht="16">
      <c r="A119" s="18"/>
      <c r="B119" s="352"/>
      <c r="C119" s="352"/>
      <c r="D119" s="352"/>
      <c r="E119" s="352"/>
      <c r="F119" s="352"/>
      <c r="G119" s="352"/>
      <c r="H119" s="352"/>
      <c r="I119" s="352"/>
      <c r="J119" s="352"/>
      <c r="K119" s="352"/>
      <c r="L119" s="18"/>
    </row>
    <row r="120" spans="1:12" ht="16">
      <c r="A120" s="18"/>
      <c r="B120" s="352"/>
      <c r="C120" s="352"/>
      <c r="D120" s="352"/>
      <c r="E120" s="352"/>
      <c r="F120" s="352"/>
      <c r="G120" s="352"/>
      <c r="H120" s="352"/>
      <c r="I120" s="352"/>
      <c r="J120" s="352"/>
      <c r="K120" s="352"/>
      <c r="L120" s="18"/>
    </row>
    <row r="121" spans="1:12" ht="16">
      <c r="A121" s="18"/>
      <c r="B121" s="352"/>
      <c r="C121" s="352"/>
      <c r="D121" s="352"/>
      <c r="E121" s="352"/>
      <c r="F121" s="352"/>
      <c r="G121" s="352"/>
      <c r="H121" s="352"/>
      <c r="I121" s="352"/>
      <c r="J121" s="352"/>
      <c r="K121" s="352"/>
      <c r="L121" s="18"/>
    </row>
    <row r="122" spans="1:12" ht="16">
      <c r="A122" s="18"/>
      <c r="B122" s="352"/>
      <c r="C122" s="352"/>
      <c r="D122" s="352"/>
      <c r="E122" s="352"/>
      <c r="F122" s="352"/>
      <c r="G122" s="352"/>
      <c r="H122" s="352"/>
      <c r="I122" s="352"/>
      <c r="J122" s="352"/>
      <c r="K122" s="352"/>
      <c r="L122" s="18"/>
    </row>
    <row r="123" spans="1:12" ht="16">
      <c r="A123" s="18"/>
      <c r="B123" s="352"/>
      <c r="C123" s="352"/>
      <c r="D123" s="352"/>
      <c r="E123" s="352"/>
      <c r="F123" s="352"/>
      <c r="G123" s="352"/>
      <c r="H123" s="352"/>
      <c r="I123" s="352"/>
      <c r="J123" s="352"/>
      <c r="K123" s="352"/>
      <c r="L123" s="18"/>
    </row>
    <row r="124" spans="1:12" ht="16">
      <c r="A124" s="18"/>
      <c r="B124" s="352"/>
      <c r="C124" s="352"/>
      <c r="D124" s="352"/>
      <c r="E124" s="352"/>
      <c r="F124" s="352"/>
      <c r="G124" s="352"/>
      <c r="H124" s="352"/>
      <c r="I124" s="352"/>
      <c r="J124" s="352"/>
      <c r="K124" s="352"/>
      <c r="L124" s="18"/>
    </row>
    <row r="125" spans="1:12" ht="16">
      <c r="A125" s="18"/>
      <c r="B125" s="352"/>
      <c r="C125" s="352"/>
      <c r="D125" s="352"/>
      <c r="E125" s="352"/>
      <c r="F125" s="352"/>
      <c r="G125" s="352"/>
      <c r="H125" s="352"/>
      <c r="I125" s="352"/>
      <c r="J125" s="352"/>
      <c r="K125" s="352"/>
      <c r="L125" s="18"/>
    </row>
    <row r="126" spans="1:12" ht="16">
      <c r="A126" s="18"/>
      <c r="B126" s="352"/>
      <c r="C126" s="352"/>
      <c r="D126" s="352"/>
      <c r="E126" s="352"/>
      <c r="F126" s="352"/>
      <c r="G126" s="352"/>
      <c r="H126" s="352"/>
      <c r="I126" s="352"/>
      <c r="J126" s="352"/>
      <c r="K126" s="352"/>
      <c r="L126" s="18"/>
    </row>
    <row r="127" spans="1:12" ht="16">
      <c r="A127" s="18"/>
      <c r="B127" s="352"/>
      <c r="C127" s="352"/>
      <c r="D127" s="352"/>
      <c r="E127" s="352"/>
      <c r="F127" s="352"/>
      <c r="G127" s="352"/>
      <c r="H127" s="352"/>
      <c r="I127" s="352"/>
      <c r="J127" s="352"/>
      <c r="K127" s="352"/>
      <c r="L127" s="18"/>
    </row>
    <row r="128" spans="1:12" ht="16">
      <c r="A128" s="18"/>
      <c r="B128" s="352"/>
      <c r="C128" s="352"/>
      <c r="D128" s="352"/>
      <c r="E128" s="352"/>
      <c r="F128" s="352"/>
      <c r="G128" s="352"/>
      <c r="H128" s="352"/>
      <c r="I128" s="352"/>
      <c r="J128" s="352"/>
      <c r="K128" s="352"/>
      <c r="L128" s="18"/>
    </row>
    <row r="129" spans="1:12" ht="16">
      <c r="A129" s="18"/>
      <c r="B129" s="352"/>
      <c r="C129" s="352"/>
      <c r="D129" s="352"/>
      <c r="E129" s="352"/>
      <c r="F129" s="352"/>
      <c r="G129" s="352"/>
      <c r="H129" s="352"/>
      <c r="I129" s="352"/>
      <c r="J129" s="352"/>
      <c r="K129" s="352"/>
      <c r="L129" s="18"/>
    </row>
    <row r="130" spans="1:12" ht="16">
      <c r="A130" s="18"/>
      <c r="B130" s="352"/>
      <c r="C130" s="352"/>
      <c r="D130" s="352"/>
      <c r="E130" s="352"/>
      <c r="F130" s="352"/>
      <c r="G130" s="352"/>
      <c r="H130" s="352"/>
      <c r="I130" s="352"/>
      <c r="J130" s="352"/>
      <c r="K130" s="352"/>
      <c r="L130" s="18"/>
    </row>
    <row r="131" spans="1:12" ht="16">
      <c r="A131" s="18"/>
      <c r="B131" s="352"/>
      <c r="C131" s="352"/>
      <c r="D131" s="352"/>
      <c r="E131" s="352"/>
      <c r="F131" s="352"/>
      <c r="G131" s="352"/>
      <c r="H131" s="352"/>
      <c r="I131" s="352"/>
      <c r="J131" s="352"/>
      <c r="K131" s="352"/>
      <c r="L131" s="18"/>
    </row>
    <row r="132" spans="1:12" ht="16">
      <c r="A132" s="18"/>
      <c r="B132" s="352"/>
      <c r="C132" s="352"/>
      <c r="D132" s="352"/>
      <c r="E132" s="352"/>
      <c r="F132" s="352"/>
      <c r="G132" s="352"/>
      <c r="H132" s="352"/>
      <c r="I132" s="352"/>
      <c r="J132" s="352"/>
      <c r="K132" s="352"/>
      <c r="L132" s="18"/>
    </row>
    <row r="133" spans="1:12" ht="16">
      <c r="A133" s="18"/>
      <c r="B133" s="352"/>
      <c r="C133" s="352"/>
      <c r="D133" s="352"/>
      <c r="E133" s="352"/>
      <c r="F133" s="352"/>
      <c r="G133" s="352"/>
      <c r="H133" s="352"/>
      <c r="I133" s="352"/>
      <c r="J133" s="352"/>
      <c r="K133" s="352"/>
      <c r="L133" s="18"/>
    </row>
    <row r="134" spans="1:12" ht="16">
      <c r="A134" s="18"/>
      <c r="B134" s="352"/>
      <c r="C134" s="352"/>
      <c r="D134" s="352"/>
      <c r="E134" s="352"/>
      <c r="F134" s="352"/>
      <c r="G134" s="352"/>
      <c r="H134" s="352"/>
      <c r="I134" s="352"/>
      <c r="J134" s="352"/>
      <c r="K134" s="352"/>
      <c r="L134" s="18"/>
    </row>
    <row r="135" spans="1:12" ht="16">
      <c r="A135" s="18"/>
      <c r="B135" s="352"/>
      <c r="C135" s="352"/>
      <c r="D135" s="352"/>
      <c r="E135" s="352"/>
      <c r="F135" s="352"/>
      <c r="G135" s="352"/>
      <c r="H135" s="352"/>
      <c r="I135" s="352"/>
      <c r="J135" s="352"/>
      <c r="K135" s="352"/>
      <c r="L135" s="18"/>
    </row>
    <row r="136" spans="1:12" ht="16">
      <c r="A136" s="18"/>
      <c r="B136" s="352"/>
      <c r="C136" s="352"/>
      <c r="D136" s="352"/>
      <c r="E136" s="352"/>
      <c r="F136" s="352"/>
      <c r="G136" s="352"/>
      <c r="H136" s="352"/>
      <c r="I136" s="352"/>
      <c r="J136" s="352"/>
      <c r="K136" s="352"/>
      <c r="L136" s="18"/>
    </row>
    <row r="137" spans="1:12" ht="16">
      <c r="A137" s="18"/>
      <c r="B137" s="352"/>
      <c r="C137" s="352"/>
      <c r="D137" s="352"/>
      <c r="E137" s="352"/>
      <c r="F137" s="352"/>
      <c r="G137" s="352"/>
      <c r="H137" s="352"/>
      <c r="I137" s="352"/>
      <c r="J137" s="352"/>
      <c r="K137" s="352"/>
      <c r="L137" s="18"/>
    </row>
    <row r="138" spans="1:12" ht="16">
      <c r="A138" s="18"/>
      <c r="B138" s="352"/>
      <c r="C138" s="352"/>
      <c r="D138" s="352"/>
      <c r="E138" s="352"/>
      <c r="F138" s="352"/>
      <c r="G138" s="352"/>
      <c r="H138" s="352"/>
      <c r="I138" s="352"/>
      <c r="J138" s="352"/>
      <c r="K138" s="352"/>
      <c r="L138" s="18"/>
    </row>
    <row r="139" spans="1:12" ht="16">
      <c r="A139" s="18"/>
      <c r="B139" s="352"/>
      <c r="C139" s="352"/>
      <c r="D139" s="352"/>
      <c r="E139" s="352"/>
      <c r="F139" s="352"/>
      <c r="G139" s="352"/>
      <c r="H139" s="352"/>
      <c r="I139" s="352"/>
      <c r="J139" s="352"/>
      <c r="K139" s="352"/>
      <c r="L139" s="18"/>
    </row>
    <row r="140" spans="1:12" ht="16">
      <c r="A140" s="18"/>
      <c r="B140" s="352"/>
      <c r="C140" s="352"/>
      <c r="D140" s="352"/>
      <c r="E140" s="352"/>
      <c r="F140" s="352"/>
      <c r="G140" s="352"/>
      <c r="H140" s="352"/>
      <c r="I140" s="352"/>
      <c r="J140" s="352"/>
      <c r="K140" s="352"/>
      <c r="L140" s="18"/>
    </row>
    <row r="141" spans="1:12" ht="16">
      <c r="A141" s="18"/>
      <c r="B141" s="352"/>
      <c r="C141" s="352"/>
      <c r="D141" s="352"/>
      <c r="E141" s="352"/>
      <c r="F141" s="352"/>
      <c r="G141" s="352"/>
      <c r="H141" s="352"/>
      <c r="I141" s="352"/>
      <c r="J141" s="352"/>
      <c r="K141" s="352"/>
      <c r="L141" s="18"/>
    </row>
    <row r="142" spans="1:12" ht="16">
      <c r="A142" s="18"/>
      <c r="B142" s="352"/>
      <c r="C142" s="352"/>
      <c r="D142" s="352"/>
      <c r="E142" s="352"/>
      <c r="F142" s="352"/>
      <c r="G142" s="352"/>
      <c r="H142" s="352"/>
      <c r="I142" s="352"/>
      <c r="J142" s="352"/>
      <c r="K142" s="352"/>
      <c r="L142" s="18"/>
    </row>
    <row r="143" spans="1:12" ht="16">
      <c r="A143" s="18"/>
      <c r="B143" s="352"/>
      <c r="C143" s="352"/>
      <c r="D143" s="352"/>
      <c r="E143" s="352"/>
      <c r="F143" s="352"/>
      <c r="G143" s="352"/>
      <c r="H143" s="352"/>
      <c r="I143" s="352"/>
      <c r="J143" s="352"/>
      <c r="K143" s="352"/>
      <c r="L143" s="18"/>
    </row>
    <row r="144" spans="1:12" ht="16">
      <c r="A144" s="18"/>
      <c r="B144" s="352"/>
      <c r="C144" s="352"/>
      <c r="D144" s="352"/>
      <c r="E144" s="352"/>
      <c r="F144" s="352"/>
      <c r="G144" s="352"/>
      <c r="H144" s="352"/>
      <c r="I144" s="352"/>
      <c r="J144" s="352"/>
      <c r="K144" s="352"/>
      <c r="L144" s="18"/>
    </row>
    <row r="145" spans="1:12" ht="16">
      <c r="A145" s="18"/>
      <c r="B145" s="352"/>
      <c r="C145" s="352"/>
      <c r="D145" s="352"/>
      <c r="E145" s="352"/>
      <c r="F145" s="352"/>
      <c r="G145" s="352"/>
      <c r="H145" s="352"/>
      <c r="I145" s="352"/>
      <c r="J145" s="352"/>
      <c r="K145" s="352"/>
      <c r="L145" s="18"/>
    </row>
    <row r="146" spans="1:12" ht="16">
      <c r="A146" s="18"/>
      <c r="B146" s="352"/>
      <c r="C146" s="352"/>
      <c r="D146" s="352"/>
      <c r="E146" s="352"/>
      <c r="F146" s="352"/>
      <c r="G146" s="352"/>
      <c r="H146" s="352"/>
      <c r="I146" s="352"/>
      <c r="J146" s="352"/>
      <c r="K146" s="352"/>
      <c r="L146" s="18"/>
    </row>
    <row r="147" spans="1:12" ht="16">
      <c r="A147" s="18"/>
      <c r="B147" s="352"/>
      <c r="C147" s="352"/>
      <c r="D147" s="352"/>
      <c r="E147" s="352"/>
      <c r="F147" s="352"/>
      <c r="G147" s="352"/>
      <c r="H147" s="352"/>
      <c r="I147" s="352"/>
      <c r="J147" s="352"/>
      <c r="K147" s="352"/>
      <c r="L147" s="18"/>
    </row>
    <row r="148" spans="1:12" ht="16">
      <c r="A148" s="18"/>
      <c r="B148" s="352"/>
      <c r="C148" s="352"/>
      <c r="D148" s="352"/>
      <c r="E148" s="352"/>
      <c r="F148" s="352"/>
      <c r="G148" s="352"/>
      <c r="H148" s="352"/>
      <c r="I148" s="352"/>
      <c r="J148" s="352"/>
      <c r="K148" s="352"/>
      <c r="L148" s="18"/>
    </row>
    <row r="149" spans="1:12" ht="16">
      <c r="A149" s="18"/>
      <c r="B149" s="352"/>
      <c r="C149" s="352"/>
      <c r="D149" s="352"/>
      <c r="E149" s="352"/>
      <c r="F149" s="352"/>
      <c r="G149" s="352"/>
      <c r="H149" s="352"/>
      <c r="I149" s="352"/>
      <c r="J149" s="352"/>
      <c r="K149" s="352"/>
      <c r="L149" s="18"/>
    </row>
    <row r="150" spans="1:12" ht="16">
      <c r="A150" s="18"/>
      <c r="B150" s="352"/>
      <c r="C150" s="352"/>
      <c r="D150" s="352"/>
      <c r="E150" s="352"/>
      <c r="F150" s="352"/>
      <c r="G150" s="352"/>
      <c r="H150" s="352"/>
      <c r="I150" s="352"/>
      <c r="J150" s="352"/>
      <c r="K150" s="352"/>
      <c r="L150" s="18"/>
    </row>
    <row r="151" spans="1:12" ht="16">
      <c r="A151" s="18"/>
      <c r="B151" s="352"/>
      <c r="C151" s="352"/>
      <c r="D151" s="352"/>
      <c r="E151" s="352"/>
      <c r="F151" s="352"/>
      <c r="G151" s="352"/>
      <c r="H151" s="352"/>
      <c r="I151" s="352"/>
      <c r="J151" s="352"/>
      <c r="K151" s="352"/>
      <c r="L151" s="18"/>
    </row>
    <row r="152" spans="1:12" ht="16">
      <c r="A152" s="18"/>
      <c r="B152" s="352"/>
      <c r="C152" s="352"/>
      <c r="D152" s="352"/>
      <c r="E152" s="352"/>
      <c r="F152" s="352"/>
      <c r="G152" s="352"/>
      <c r="H152" s="352"/>
      <c r="I152" s="352"/>
      <c r="J152" s="352"/>
      <c r="K152" s="352"/>
      <c r="L152" s="18"/>
    </row>
    <row r="153" spans="1:12" ht="16">
      <c r="A153" s="18"/>
      <c r="B153" s="352"/>
      <c r="C153" s="352"/>
      <c r="D153" s="352"/>
      <c r="E153" s="352"/>
      <c r="F153" s="352"/>
      <c r="G153" s="352"/>
      <c r="H153" s="352"/>
      <c r="I153" s="352"/>
      <c r="J153" s="352"/>
      <c r="K153" s="352"/>
      <c r="L153" s="18"/>
    </row>
    <row r="154" spans="1:12" ht="16">
      <c r="A154" s="18"/>
      <c r="B154" s="352"/>
      <c r="C154" s="352"/>
      <c r="D154" s="352"/>
      <c r="E154" s="352"/>
      <c r="F154" s="352"/>
      <c r="G154" s="352"/>
      <c r="H154" s="352"/>
      <c r="I154" s="352"/>
      <c r="J154" s="352"/>
      <c r="K154" s="352"/>
      <c r="L154" s="18"/>
    </row>
    <row r="155" spans="1:12" ht="16">
      <c r="A155" s="18"/>
      <c r="B155" s="352"/>
      <c r="C155" s="352"/>
      <c r="D155" s="352"/>
      <c r="E155" s="352"/>
      <c r="F155" s="352"/>
      <c r="G155" s="352"/>
      <c r="H155" s="352"/>
      <c r="I155" s="352"/>
      <c r="J155" s="352"/>
      <c r="K155" s="352"/>
      <c r="L155" s="18"/>
    </row>
    <row r="156" spans="1:12" ht="16">
      <c r="A156" s="18"/>
      <c r="B156" s="352"/>
      <c r="C156" s="352"/>
      <c r="D156" s="352"/>
      <c r="E156" s="352"/>
      <c r="F156" s="352"/>
      <c r="G156" s="352"/>
      <c r="H156" s="352"/>
      <c r="I156" s="352"/>
      <c r="J156" s="352"/>
      <c r="K156" s="352"/>
      <c r="L156" s="18"/>
    </row>
    <row r="157" spans="1:12" ht="16">
      <c r="A157" s="18"/>
      <c r="B157" s="352"/>
      <c r="C157" s="352"/>
      <c r="D157" s="352"/>
      <c r="E157" s="352"/>
      <c r="F157" s="352"/>
      <c r="G157" s="352"/>
      <c r="H157" s="352"/>
      <c r="I157" s="352"/>
      <c r="J157" s="352"/>
      <c r="K157" s="352"/>
      <c r="L157" s="18"/>
    </row>
    <row r="158" spans="1:12" ht="16">
      <c r="A158" s="18"/>
      <c r="B158" s="352"/>
      <c r="C158" s="352"/>
      <c r="D158" s="352"/>
      <c r="E158" s="352"/>
      <c r="F158" s="352"/>
      <c r="G158" s="352"/>
      <c r="H158" s="352"/>
      <c r="I158" s="352"/>
      <c r="J158" s="352"/>
      <c r="K158" s="352"/>
      <c r="L158" s="18"/>
    </row>
    <row r="159" spans="1:12" ht="16">
      <c r="A159" s="18"/>
      <c r="B159" s="352"/>
      <c r="C159" s="352"/>
      <c r="D159" s="352"/>
      <c r="E159" s="352"/>
      <c r="F159" s="352"/>
      <c r="G159" s="352"/>
      <c r="H159" s="352"/>
      <c r="I159" s="352"/>
      <c r="J159" s="352"/>
      <c r="K159" s="352"/>
      <c r="L159" s="18"/>
    </row>
    <row r="160" spans="1:12" ht="16">
      <c r="A160" s="18"/>
      <c r="B160" s="352"/>
      <c r="C160" s="352"/>
      <c r="D160" s="352"/>
      <c r="E160" s="352"/>
      <c r="F160" s="352"/>
      <c r="G160" s="352"/>
      <c r="H160" s="352"/>
      <c r="I160" s="352"/>
      <c r="J160" s="352"/>
      <c r="K160" s="352"/>
      <c r="L160" s="18"/>
    </row>
    <row r="161" spans="1:12" ht="16">
      <c r="A161" s="18"/>
      <c r="B161" s="352"/>
      <c r="C161" s="352"/>
      <c r="D161" s="352"/>
      <c r="E161" s="352"/>
      <c r="F161" s="352"/>
      <c r="G161" s="352"/>
      <c r="H161" s="352"/>
      <c r="I161" s="352"/>
      <c r="J161" s="352"/>
      <c r="K161" s="352"/>
      <c r="L161" s="18"/>
    </row>
    <row r="162" spans="1:12" ht="16">
      <c r="A162" s="18"/>
      <c r="B162" s="352"/>
      <c r="C162" s="352"/>
      <c r="D162" s="352"/>
      <c r="E162" s="352"/>
      <c r="F162" s="352"/>
      <c r="G162" s="352"/>
      <c r="H162" s="352"/>
      <c r="I162" s="352"/>
      <c r="J162" s="352"/>
      <c r="K162" s="352"/>
      <c r="L162" s="18"/>
    </row>
    <row r="163" spans="1:12" ht="16">
      <c r="A163" s="18"/>
      <c r="B163" s="352"/>
      <c r="C163" s="352"/>
      <c r="D163" s="352"/>
      <c r="E163" s="352"/>
      <c r="F163" s="352"/>
      <c r="G163" s="352"/>
      <c r="H163" s="352"/>
      <c r="I163" s="352"/>
      <c r="J163" s="352"/>
      <c r="K163" s="352"/>
      <c r="L163" s="18"/>
    </row>
    <row r="164" spans="1:12" ht="16">
      <c r="A164" s="18"/>
      <c r="B164" s="352"/>
      <c r="C164" s="352"/>
      <c r="D164" s="352"/>
      <c r="E164" s="352"/>
      <c r="F164" s="352"/>
      <c r="G164" s="352"/>
      <c r="H164" s="352"/>
      <c r="I164" s="352"/>
      <c r="J164" s="352"/>
      <c r="K164" s="352"/>
      <c r="L164" s="18"/>
    </row>
    <row r="165" spans="1:12" ht="16">
      <c r="A165" s="18"/>
      <c r="B165" s="352"/>
      <c r="C165" s="352"/>
      <c r="D165" s="352"/>
      <c r="E165" s="352"/>
      <c r="F165" s="352"/>
      <c r="G165" s="352"/>
      <c r="H165" s="352"/>
      <c r="I165" s="352"/>
      <c r="J165" s="352"/>
      <c r="K165" s="352"/>
      <c r="L165" s="18"/>
    </row>
    <row r="166" spans="1:12" ht="16">
      <c r="A166" s="18"/>
      <c r="B166" s="352"/>
      <c r="C166" s="352"/>
      <c r="D166" s="352"/>
      <c r="E166" s="352"/>
      <c r="F166" s="352"/>
      <c r="G166" s="352"/>
      <c r="H166" s="352"/>
      <c r="I166" s="352"/>
      <c r="J166" s="352"/>
      <c r="K166" s="352"/>
      <c r="L166" s="18"/>
    </row>
    <row r="167" spans="1:12" ht="16">
      <c r="A167" s="18"/>
      <c r="B167" s="352"/>
      <c r="C167" s="352"/>
      <c r="D167" s="352"/>
      <c r="E167" s="352"/>
      <c r="F167" s="352"/>
      <c r="G167" s="352"/>
      <c r="H167" s="352"/>
      <c r="I167" s="352"/>
      <c r="J167" s="352"/>
      <c r="K167" s="352"/>
      <c r="L167" s="18"/>
    </row>
    <row r="168" spans="1:12" ht="16">
      <c r="A168" s="18"/>
      <c r="B168" s="352"/>
      <c r="C168" s="352"/>
      <c r="D168" s="352"/>
      <c r="E168" s="352"/>
      <c r="F168" s="352"/>
      <c r="G168" s="352"/>
      <c r="H168" s="352"/>
      <c r="I168" s="352"/>
      <c r="J168" s="352"/>
      <c r="K168" s="352"/>
      <c r="L168" s="18"/>
    </row>
    <row r="169" spans="1:12" ht="16">
      <c r="A169" s="18"/>
      <c r="B169" s="352"/>
      <c r="C169" s="352"/>
      <c r="D169" s="352"/>
      <c r="E169" s="352"/>
      <c r="F169" s="352"/>
      <c r="G169" s="352"/>
      <c r="H169" s="352"/>
      <c r="I169" s="352"/>
      <c r="J169" s="352"/>
      <c r="K169" s="352"/>
      <c r="L169" s="18"/>
    </row>
    <row r="170" spans="1:12" ht="16">
      <c r="A170" s="18"/>
      <c r="B170" s="352"/>
      <c r="C170" s="352"/>
      <c r="D170" s="352"/>
      <c r="E170" s="352"/>
      <c r="F170" s="352"/>
      <c r="G170" s="352"/>
      <c r="H170" s="352"/>
      <c r="I170" s="352"/>
      <c r="J170" s="352"/>
      <c r="K170" s="352"/>
      <c r="L170" s="18"/>
    </row>
    <row r="171" spans="1:12" ht="16">
      <c r="A171" s="18"/>
      <c r="B171" s="352"/>
      <c r="C171" s="352"/>
      <c r="D171" s="352"/>
      <c r="E171" s="352"/>
      <c r="F171" s="352"/>
      <c r="G171" s="352"/>
      <c r="H171" s="352"/>
      <c r="I171" s="352"/>
      <c r="J171" s="352"/>
      <c r="K171" s="352"/>
      <c r="L171" s="18"/>
    </row>
    <row r="172" spans="1:12" ht="16">
      <c r="A172" s="18"/>
      <c r="B172" s="352"/>
      <c r="C172" s="352"/>
      <c r="D172" s="352"/>
      <c r="E172" s="352"/>
      <c r="F172" s="352"/>
      <c r="G172" s="352"/>
      <c r="H172" s="352"/>
      <c r="I172" s="352"/>
      <c r="J172" s="352"/>
      <c r="K172" s="352"/>
      <c r="L172" s="18"/>
    </row>
    <row r="173" spans="1:12" ht="16">
      <c r="A173" s="18"/>
      <c r="B173" s="352"/>
      <c r="C173" s="352"/>
      <c r="D173" s="352"/>
      <c r="E173" s="352"/>
      <c r="F173" s="352"/>
      <c r="G173" s="352"/>
      <c r="H173" s="352"/>
      <c r="I173" s="352"/>
      <c r="J173" s="352"/>
      <c r="K173" s="352"/>
      <c r="L173" s="18"/>
    </row>
    <row r="174" spans="1:12" ht="16">
      <c r="A174" s="18"/>
      <c r="B174" s="352"/>
      <c r="C174" s="352"/>
      <c r="D174" s="352"/>
      <c r="E174" s="352"/>
      <c r="F174" s="352"/>
      <c r="G174" s="352"/>
      <c r="H174" s="352"/>
      <c r="I174" s="352"/>
      <c r="J174" s="352"/>
      <c r="K174" s="352"/>
      <c r="L174" s="18"/>
    </row>
    <row r="175" spans="1:12" ht="16">
      <c r="A175" s="18"/>
      <c r="B175" s="352"/>
      <c r="C175" s="352"/>
      <c r="D175" s="352"/>
      <c r="E175" s="352"/>
      <c r="F175" s="352"/>
      <c r="G175" s="352"/>
      <c r="H175" s="352"/>
      <c r="I175" s="352"/>
      <c r="J175" s="352"/>
      <c r="K175" s="352"/>
      <c r="L175" s="18"/>
    </row>
    <row r="176" spans="1:12" ht="16">
      <c r="A176" s="18"/>
      <c r="B176" s="352"/>
      <c r="C176" s="352"/>
      <c r="D176" s="352"/>
      <c r="E176" s="352"/>
      <c r="F176" s="352"/>
      <c r="G176" s="352"/>
      <c r="H176" s="352"/>
      <c r="I176" s="352"/>
      <c r="J176" s="352"/>
      <c r="K176" s="352"/>
      <c r="L176" s="18"/>
    </row>
    <row r="177" spans="1:12" ht="16">
      <c r="A177" s="18"/>
      <c r="B177" s="352"/>
      <c r="C177" s="352"/>
      <c r="D177" s="352"/>
      <c r="E177" s="352"/>
      <c r="F177" s="352"/>
      <c r="G177" s="352"/>
      <c r="H177" s="352"/>
      <c r="I177" s="352"/>
      <c r="J177" s="352"/>
      <c r="K177" s="352"/>
      <c r="L177" s="18"/>
    </row>
    <row r="178" spans="1:12" ht="16">
      <c r="A178" s="18"/>
      <c r="B178" s="352"/>
      <c r="C178" s="352"/>
      <c r="D178" s="352"/>
      <c r="E178" s="352"/>
      <c r="F178" s="352"/>
      <c r="G178" s="352"/>
      <c r="H178" s="352"/>
      <c r="I178" s="352"/>
      <c r="J178" s="352"/>
      <c r="K178" s="352"/>
      <c r="L178" s="18"/>
    </row>
    <row r="179" spans="1:12" ht="16">
      <c r="A179" s="18"/>
      <c r="B179" s="352"/>
      <c r="C179" s="352"/>
      <c r="D179" s="352"/>
      <c r="E179" s="352"/>
      <c r="F179" s="352"/>
      <c r="G179" s="352"/>
      <c r="H179" s="352"/>
      <c r="I179" s="352"/>
      <c r="J179" s="352"/>
      <c r="K179" s="352"/>
      <c r="L179" s="18"/>
    </row>
    <row r="180" spans="1:12" ht="16">
      <c r="A180" s="18"/>
      <c r="B180" s="352"/>
      <c r="C180" s="352"/>
      <c r="D180" s="352"/>
      <c r="E180" s="352"/>
      <c r="F180" s="352"/>
      <c r="G180" s="352"/>
      <c r="H180" s="352"/>
      <c r="I180" s="352"/>
      <c r="J180" s="352"/>
      <c r="K180" s="352"/>
      <c r="L180" s="18"/>
    </row>
    <row r="181" spans="1:12" ht="16">
      <c r="A181" s="18"/>
      <c r="B181" s="352"/>
      <c r="C181" s="352"/>
      <c r="D181" s="352"/>
      <c r="E181" s="352"/>
      <c r="F181" s="352"/>
      <c r="G181" s="352"/>
      <c r="H181" s="352"/>
      <c r="I181" s="352"/>
      <c r="J181" s="352"/>
      <c r="K181" s="352"/>
      <c r="L181" s="18"/>
    </row>
    <row r="182" spans="1:12" ht="16">
      <c r="A182" s="18"/>
      <c r="B182" s="352"/>
      <c r="C182" s="352"/>
      <c r="D182" s="352"/>
      <c r="E182" s="352"/>
      <c r="F182" s="352"/>
      <c r="G182" s="352"/>
      <c r="H182" s="352"/>
      <c r="I182" s="352"/>
      <c r="J182" s="352"/>
      <c r="K182" s="352"/>
      <c r="L182" s="18"/>
    </row>
    <row r="183" spans="1:12" ht="16">
      <c r="A183" s="18"/>
      <c r="B183" s="352"/>
      <c r="C183" s="352"/>
      <c r="D183" s="352"/>
      <c r="E183" s="352"/>
      <c r="F183" s="352"/>
      <c r="G183" s="352"/>
      <c r="H183" s="352"/>
      <c r="I183" s="352"/>
      <c r="J183" s="352"/>
      <c r="K183" s="352"/>
      <c r="L183" s="18"/>
    </row>
    <row r="184" spans="1:12" ht="16">
      <c r="A184" s="18"/>
      <c r="B184" s="352"/>
      <c r="C184" s="352"/>
      <c r="D184" s="352"/>
      <c r="E184" s="352"/>
      <c r="F184" s="352"/>
      <c r="G184" s="352"/>
      <c r="H184" s="352"/>
      <c r="I184" s="352"/>
      <c r="J184" s="352"/>
      <c r="K184" s="352"/>
      <c r="L184" s="18"/>
    </row>
    <row r="185" spans="1:12" ht="16">
      <c r="A185" s="18"/>
      <c r="B185" s="352"/>
      <c r="C185" s="352"/>
      <c r="D185" s="352"/>
      <c r="E185" s="352"/>
      <c r="F185" s="352"/>
      <c r="G185" s="352"/>
      <c r="H185" s="352"/>
      <c r="I185" s="352"/>
      <c r="J185" s="352"/>
      <c r="K185" s="352"/>
      <c r="L185" s="18"/>
    </row>
    <row r="186" spans="1:12" ht="16">
      <c r="A186" s="18"/>
      <c r="B186" s="352"/>
      <c r="C186" s="352"/>
      <c r="D186" s="352"/>
      <c r="E186" s="352"/>
      <c r="F186" s="352"/>
      <c r="G186" s="352"/>
      <c r="H186" s="352"/>
      <c r="I186" s="352"/>
      <c r="J186" s="352"/>
      <c r="K186" s="352"/>
      <c r="L186" s="18"/>
    </row>
    <row r="187" spans="1:12" ht="16">
      <c r="A187" s="18"/>
      <c r="B187" s="352"/>
      <c r="C187" s="352"/>
      <c r="D187" s="352"/>
      <c r="E187" s="352"/>
      <c r="F187" s="352"/>
      <c r="G187" s="352"/>
      <c r="H187" s="352"/>
      <c r="I187" s="352"/>
      <c r="J187" s="352"/>
      <c r="K187" s="352"/>
      <c r="L187" s="18"/>
    </row>
    <row r="188" spans="1:12" ht="16">
      <c r="A188" s="18"/>
      <c r="B188" s="352"/>
      <c r="C188" s="352"/>
      <c r="D188" s="352"/>
      <c r="E188" s="352"/>
      <c r="F188" s="352"/>
      <c r="G188" s="352"/>
      <c r="H188" s="352"/>
      <c r="I188" s="352"/>
      <c r="J188" s="352"/>
      <c r="K188" s="352"/>
      <c r="L188" s="18"/>
    </row>
    <row r="189" spans="1:12" ht="16">
      <c r="A189" s="18"/>
      <c r="B189" s="352"/>
      <c r="C189" s="352"/>
      <c r="D189" s="352"/>
      <c r="E189" s="352"/>
      <c r="F189" s="352"/>
      <c r="G189" s="352"/>
      <c r="H189" s="352"/>
      <c r="I189" s="352"/>
      <c r="J189" s="352"/>
      <c r="K189" s="352"/>
      <c r="L189" s="18"/>
    </row>
    <row r="190" spans="1:12" ht="16">
      <c r="A190" s="18"/>
      <c r="B190" s="352"/>
      <c r="C190" s="352"/>
      <c r="D190" s="352"/>
      <c r="E190" s="352"/>
      <c r="F190" s="352"/>
      <c r="G190" s="352"/>
      <c r="H190" s="352"/>
      <c r="I190" s="352"/>
      <c r="J190" s="352"/>
      <c r="K190" s="352"/>
      <c r="L190" s="18"/>
    </row>
    <row r="191" spans="1:12" ht="16">
      <c r="A191" s="18"/>
      <c r="B191" s="352"/>
      <c r="C191" s="352"/>
      <c r="D191" s="352"/>
      <c r="E191" s="352"/>
      <c r="F191" s="352"/>
      <c r="G191" s="352"/>
      <c r="H191" s="352"/>
      <c r="I191" s="352"/>
      <c r="J191" s="352"/>
      <c r="K191" s="352"/>
      <c r="L191" s="18"/>
    </row>
    <row r="192" spans="1:12" ht="16">
      <c r="A192" s="18"/>
      <c r="B192" s="352"/>
      <c r="C192" s="352"/>
      <c r="D192" s="352"/>
      <c r="E192" s="352"/>
      <c r="F192" s="352"/>
      <c r="G192" s="352"/>
      <c r="H192" s="352"/>
      <c r="I192" s="352"/>
      <c r="J192" s="352"/>
      <c r="K192" s="352"/>
      <c r="L192" s="18"/>
    </row>
    <row r="193" spans="1:12" ht="16">
      <c r="A193" s="18"/>
      <c r="B193" s="352"/>
      <c r="C193" s="352"/>
      <c r="D193" s="352"/>
      <c r="E193" s="352"/>
      <c r="F193" s="352"/>
      <c r="G193" s="352"/>
      <c r="H193" s="352"/>
      <c r="I193" s="352"/>
      <c r="J193" s="352"/>
      <c r="K193" s="352"/>
      <c r="L193" s="18"/>
    </row>
    <row r="194" spans="1:12" ht="16">
      <c r="A194" s="18"/>
      <c r="B194" s="352"/>
      <c r="C194" s="352"/>
      <c r="D194" s="352"/>
      <c r="E194" s="352"/>
      <c r="F194" s="352"/>
      <c r="G194" s="352"/>
      <c r="H194" s="352"/>
      <c r="I194" s="352"/>
      <c r="J194" s="352"/>
      <c r="K194" s="352"/>
      <c r="L194" s="18"/>
    </row>
    <row r="195" spans="1:12" ht="16">
      <c r="A195" s="18"/>
      <c r="B195" s="352"/>
      <c r="C195" s="352"/>
      <c r="D195" s="352"/>
      <c r="E195" s="352"/>
      <c r="F195" s="352"/>
      <c r="G195" s="352"/>
      <c r="H195" s="352"/>
      <c r="I195" s="352"/>
      <c r="J195" s="352"/>
      <c r="K195" s="352"/>
      <c r="L195" s="18"/>
    </row>
    <row r="196" spans="1:12" ht="16">
      <c r="A196" s="18"/>
      <c r="B196" s="352"/>
      <c r="C196" s="352"/>
      <c r="D196" s="352"/>
      <c r="E196" s="352"/>
      <c r="F196" s="352"/>
      <c r="G196" s="352"/>
      <c r="H196" s="352"/>
      <c r="I196" s="352"/>
      <c r="J196" s="352"/>
      <c r="K196" s="352"/>
      <c r="L196" s="18"/>
    </row>
    <row r="197" spans="1:12" ht="16">
      <c r="A197" s="18"/>
      <c r="B197" s="352"/>
      <c r="C197" s="352"/>
      <c r="D197" s="352"/>
      <c r="E197" s="352"/>
      <c r="F197" s="352"/>
      <c r="G197" s="352"/>
      <c r="H197" s="352"/>
      <c r="I197" s="352"/>
      <c r="J197" s="352"/>
      <c r="K197" s="352"/>
      <c r="L197" s="18"/>
    </row>
    <row r="198" spans="1:12" ht="16">
      <c r="A198" s="18"/>
      <c r="B198" s="352"/>
      <c r="C198" s="352"/>
      <c r="D198" s="352"/>
      <c r="E198" s="352"/>
      <c r="F198" s="352"/>
      <c r="G198" s="352"/>
      <c r="H198" s="352"/>
      <c r="I198" s="352"/>
      <c r="J198" s="352"/>
      <c r="K198" s="352"/>
      <c r="L198" s="18"/>
    </row>
    <row r="199" spans="1:12" ht="16">
      <c r="A199" s="18"/>
      <c r="B199" s="352"/>
      <c r="C199" s="352"/>
      <c r="D199" s="352"/>
      <c r="E199" s="352"/>
      <c r="F199" s="352"/>
      <c r="G199" s="352"/>
      <c r="H199" s="352"/>
      <c r="I199" s="352"/>
      <c r="J199" s="352"/>
      <c r="K199" s="352"/>
      <c r="L199" s="18"/>
    </row>
    <row r="200" spans="1:12" ht="16">
      <c r="A200" s="18"/>
      <c r="B200" s="352"/>
      <c r="C200" s="352"/>
      <c r="D200" s="352"/>
      <c r="E200" s="352"/>
      <c r="F200" s="352"/>
      <c r="G200" s="352"/>
      <c r="H200" s="352"/>
      <c r="I200" s="352"/>
      <c r="J200" s="352"/>
      <c r="K200" s="352"/>
      <c r="L200" s="18"/>
    </row>
    <row r="201" spans="1:12" ht="16">
      <c r="A201" s="18"/>
      <c r="B201" s="352"/>
      <c r="C201" s="352"/>
      <c r="D201" s="352"/>
      <c r="E201" s="352"/>
      <c r="F201" s="352"/>
      <c r="G201" s="352"/>
      <c r="H201" s="352"/>
      <c r="I201" s="352"/>
      <c r="J201" s="352"/>
      <c r="K201" s="352"/>
      <c r="L201" s="18"/>
    </row>
    <row r="202" spans="1:12" ht="16">
      <c r="A202" s="18"/>
      <c r="B202" s="352"/>
      <c r="C202" s="352"/>
      <c r="D202" s="352"/>
      <c r="E202" s="352"/>
      <c r="F202" s="352"/>
      <c r="G202" s="352"/>
      <c r="H202" s="352"/>
      <c r="I202" s="352"/>
      <c r="J202" s="352"/>
      <c r="K202" s="352"/>
      <c r="L202" s="18"/>
    </row>
    <row r="203" spans="1:12" ht="16">
      <c r="A203" s="18"/>
      <c r="B203" s="352"/>
      <c r="C203" s="352"/>
      <c r="D203" s="352"/>
      <c r="E203" s="352"/>
      <c r="F203" s="352"/>
      <c r="G203" s="352"/>
      <c r="H203" s="352"/>
      <c r="I203" s="352"/>
      <c r="J203" s="352"/>
      <c r="K203" s="352"/>
      <c r="L203" s="18"/>
    </row>
    <row r="204" spans="1:12" ht="16">
      <c r="A204" s="18"/>
      <c r="B204" s="352"/>
      <c r="C204" s="352"/>
      <c r="D204" s="352"/>
      <c r="E204" s="352"/>
      <c r="F204" s="352"/>
      <c r="G204" s="352"/>
      <c r="H204" s="352"/>
      <c r="I204" s="352"/>
      <c r="J204" s="352"/>
      <c r="K204" s="352"/>
      <c r="L204" s="18"/>
    </row>
    <row r="205" spans="1:12" ht="16">
      <c r="A205" s="18"/>
      <c r="B205" s="352"/>
      <c r="C205" s="352"/>
      <c r="D205" s="352"/>
      <c r="E205" s="352"/>
      <c r="F205" s="352"/>
      <c r="G205" s="352"/>
      <c r="H205" s="352"/>
      <c r="I205" s="352"/>
      <c r="J205" s="352"/>
      <c r="K205" s="352"/>
      <c r="L205" s="18"/>
    </row>
    <row r="206" spans="1:12" ht="16">
      <c r="A206" s="18"/>
      <c r="B206" s="352"/>
      <c r="C206" s="352"/>
      <c r="D206" s="352"/>
      <c r="E206" s="352"/>
      <c r="F206" s="352"/>
      <c r="G206" s="352"/>
      <c r="H206" s="352"/>
      <c r="I206" s="352"/>
      <c r="J206" s="352"/>
      <c r="K206" s="352"/>
      <c r="L206" s="18"/>
    </row>
    <row r="207" spans="1:12" ht="16">
      <c r="A207" s="18"/>
      <c r="B207" s="352"/>
      <c r="C207" s="352"/>
      <c r="D207" s="352"/>
      <c r="E207" s="352"/>
      <c r="F207" s="352"/>
      <c r="G207" s="352"/>
      <c r="H207" s="352"/>
      <c r="I207" s="352"/>
      <c r="J207" s="352"/>
      <c r="K207" s="352"/>
      <c r="L207" s="18"/>
    </row>
    <row r="208" spans="1:12" ht="16">
      <c r="A208" s="18"/>
      <c r="B208" s="352"/>
      <c r="C208" s="352"/>
      <c r="D208" s="352"/>
      <c r="E208" s="352"/>
      <c r="F208" s="352"/>
      <c r="G208" s="352"/>
      <c r="H208" s="352"/>
      <c r="I208" s="352"/>
      <c r="J208" s="352"/>
      <c r="K208" s="352"/>
      <c r="L208" s="18"/>
    </row>
    <row r="209" spans="1:12" ht="16">
      <c r="A209" s="18"/>
      <c r="B209" s="352"/>
      <c r="C209" s="352"/>
      <c r="D209" s="352"/>
      <c r="E209" s="352"/>
      <c r="F209" s="352"/>
      <c r="G209" s="352"/>
      <c r="H209" s="352"/>
      <c r="I209" s="352"/>
      <c r="J209" s="352"/>
      <c r="K209" s="352"/>
      <c r="L209" s="18"/>
    </row>
    <row r="210" spans="1:12" ht="16">
      <c r="A210" s="18"/>
      <c r="B210" s="352"/>
      <c r="C210" s="352"/>
      <c r="D210" s="352"/>
      <c r="E210" s="352"/>
      <c r="F210" s="352"/>
      <c r="G210" s="352"/>
      <c r="H210" s="352"/>
      <c r="I210" s="352"/>
      <c r="J210" s="352"/>
      <c r="K210" s="352"/>
      <c r="L210" s="18"/>
    </row>
    <row r="211" spans="1:12" ht="16">
      <c r="A211" s="18"/>
      <c r="B211" s="352"/>
      <c r="C211" s="352"/>
      <c r="D211" s="352"/>
      <c r="E211" s="352"/>
      <c r="F211" s="352"/>
      <c r="G211" s="352"/>
      <c r="H211" s="352"/>
      <c r="I211" s="352"/>
      <c r="J211" s="352"/>
      <c r="K211" s="352"/>
      <c r="L211" s="18"/>
    </row>
    <row r="212" spans="1:12" ht="16">
      <c r="A212" s="18"/>
      <c r="B212" s="352"/>
      <c r="C212" s="352"/>
      <c r="D212" s="352"/>
      <c r="E212" s="352"/>
      <c r="F212" s="352"/>
      <c r="G212" s="352"/>
      <c r="H212" s="352"/>
      <c r="I212" s="352"/>
      <c r="J212" s="352"/>
      <c r="K212" s="352"/>
      <c r="L212" s="18"/>
    </row>
    <row r="213" spans="1:12" ht="16">
      <c r="A213" s="18"/>
      <c r="B213" s="352"/>
      <c r="C213" s="352"/>
      <c r="D213" s="352"/>
      <c r="E213" s="352"/>
      <c r="F213" s="352"/>
      <c r="G213" s="352"/>
      <c r="H213" s="352"/>
      <c r="I213" s="352"/>
      <c r="J213" s="352"/>
      <c r="K213" s="352"/>
      <c r="L213" s="18"/>
    </row>
    <row r="214" spans="1:12" ht="16">
      <c r="A214" s="18"/>
      <c r="B214" s="352"/>
      <c r="C214" s="352"/>
      <c r="D214" s="352"/>
      <c r="E214" s="352"/>
      <c r="F214" s="352"/>
      <c r="G214" s="352"/>
      <c r="H214" s="352"/>
      <c r="I214" s="352"/>
      <c r="J214" s="352"/>
      <c r="K214" s="352"/>
      <c r="L214" s="18"/>
    </row>
    <row r="215" spans="1:12" ht="16">
      <c r="A215" s="18"/>
      <c r="B215" s="352"/>
      <c r="C215" s="352"/>
      <c r="D215" s="352"/>
      <c r="E215" s="352"/>
      <c r="F215" s="352"/>
      <c r="G215" s="352"/>
      <c r="H215" s="352"/>
      <c r="I215" s="352"/>
      <c r="J215" s="352"/>
      <c r="K215" s="352"/>
      <c r="L215" s="18"/>
    </row>
    <row r="216" spans="1:12" ht="16">
      <c r="A216" s="18"/>
      <c r="B216" s="352"/>
      <c r="C216" s="352"/>
      <c r="D216" s="352"/>
      <c r="E216" s="352"/>
      <c r="F216" s="352"/>
      <c r="G216" s="352"/>
      <c r="H216" s="352"/>
      <c r="I216" s="352"/>
      <c r="J216" s="352"/>
      <c r="K216" s="352"/>
      <c r="L216" s="18"/>
    </row>
    <row r="217" spans="1:12" ht="16">
      <c r="A217" s="18"/>
      <c r="B217" s="352"/>
      <c r="C217" s="352"/>
      <c r="D217" s="352"/>
      <c r="E217" s="352"/>
      <c r="F217" s="352"/>
      <c r="G217" s="352"/>
      <c r="H217" s="352"/>
      <c r="I217" s="352"/>
      <c r="J217" s="352"/>
      <c r="K217" s="352"/>
      <c r="L217" s="18"/>
    </row>
    <row r="218" spans="1:12" ht="16">
      <c r="A218" s="18"/>
      <c r="B218" s="352"/>
      <c r="C218" s="352"/>
      <c r="D218" s="352"/>
      <c r="E218" s="352"/>
      <c r="F218" s="352"/>
      <c r="G218" s="352"/>
      <c r="H218" s="352"/>
      <c r="I218" s="352"/>
      <c r="J218" s="352"/>
      <c r="K218" s="352"/>
      <c r="L218" s="18"/>
    </row>
    <row r="219" spans="1:12" ht="16">
      <c r="A219" s="18"/>
      <c r="B219" s="352"/>
      <c r="C219" s="352"/>
      <c r="D219" s="352"/>
      <c r="E219" s="352"/>
      <c r="F219" s="352"/>
      <c r="G219" s="352"/>
      <c r="H219" s="352"/>
      <c r="I219" s="352"/>
      <c r="J219" s="352"/>
      <c r="K219" s="352"/>
      <c r="L219" s="18"/>
    </row>
    <row r="220" spans="1:12" ht="16">
      <c r="A220" s="18"/>
      <c r="B220" s="352"/>
      <c r="C220" s="352"/>
      <c r="D220" s="352"/>
      <c r="E220" s="352"/>
      <c r="F220" s="352"/>
      <c r="G220" s="352"/>
      <c r="H220" s="352"/>
      <c r="I220" s="352"/>
      <c r="J220" s="352"/>
      <c r="K220" s="352"/>
      <c r="L220" s="18"/>
    </row>
    <row r="221" spans="1:12" ht="16">
      <c r="A221" s="18"/>
      <c r="B221" s="352"/>
      <c r="C221" s="352"/>
      <c r="D221" s="352"/>
      <c r="E221" s="352"/>
      <c r="F221" s="352"/>
      <c r="G221" s="352"/>
      <c r="H221" s="352"/>
      <c r="I221" s="352"/>
      <c r="J221" s="352"/>
      <c r="K221" s="352"/>
      <c r="L221" s="18"/>
    </row>
    <row r="222" spans="1:12" ht="16">
      <c r="A222" s="18"/>
      <c r="B222" s="352"/>
      <c r="C222" s="352"/>
      <c r="D222" s="352"/>
      <c r="E222" s="352"/>
      <c r="F222" s="352"/>
      <c r="G222" s="352"/>
      <c r="H222" s="352"/>
      <c r="I222" s="352"/>
      <c r="J222" s="352"/>
      <c r="K222" s="352"/>
      <c r="L222" s="18"/>
    </row>
    <row r="223" spans="1:12" ht="16">
      <c r="A223" s="18"/>
      <c r="B223" s="352"/>
      <c r="C223" s="352"/>
      <c r="D223" s="352"/>
      <c r="E223" s="352"/>
      <c r="F223" s="352"/>
      <c r="G223" s="352"/>
      <c r="H223" s="352"/>
      <c r="I223" s="352"/>
      <c r="J223" s="352"/>
      <c r="K223" s="352"/>
      <c r="L223" s="18"/>
    </row>
    <row r="224" spans="1:12" ht="16">
      <c r="A224" s="18"/>
      <c r="B224" s="352"/>
      <c r="C224" s="352"/>
      <c r="D224" s="352"/>
      <c r="E224" s="352"/>
      <c r="F224" s="352"/>
      <c r="G224" s="352"/>
      <c r="H224" s="352"/>
      <c r="I224" s="352"/>
      <c r="J224" s="352"/>
      <c r="K224" s="352"/>
      <c r="L224" s="18"/>
    </row>
    <row r="225" spans="1:12" ht="16">
      <c r="A225" s="18"/>
      <c r="B225" s="352"/>
      <c r="C225" s="352"/>
      <c r="D225" s="352"/>
      <c r="E225" s="352"/>
      <c r="F225" s="352"/>
      <c r="G225" s="352"/>
      <c r="H225" s="352"/>
      <c r="I225" s="352"/>
      <c r="J225" s="352"/>
      <c r="K225" s="352"/>
      <c r="L225" s="18"/>
    </row>
    <row r="226" spans="1:12" ht="16">
      <c r="A226" s="18"/>
      <c r="B226" s="352"/>
      <c r="C226" s="352"/>
      <c r="D226" s="352"/>
      <c r="E226" s="352"/>
      <c r="F226" s="352"/>
      <c r="G226" s="352"/>
      <c r="H226" s="352"/>
      <c r="I226" s="352"/>
      <c r="J226" s="352"/>
      <c r="K226" s="352"/>
      <c r="L226" s="18"/>
    </row>
    <row r="227" spans="1:12" ht="16">
      <c r="A227" s="18"/>
      <c r="B227" s="352"/>
      <c r="C227" s="352"/>
      <c r="D227" s="352"/>
      <c r="E227" s="352"/>
      <c r="F227" s="352"/>
      <c r="G227" s="352"/>
      <c r="H227" s="352"/>
      <c r="I227" s="352"/>
      <c r="J227" s="352"/>
      <c r="K227" s="352"/>
      <c r="L227" s="18"/>
    </row>
    <row r="228" spans="1:12" ht="16">
      <c r="A228" s="18"/>
      <c r="B228" s="352"/>
      <c r="C228" s="352"/>
      <c r="D228" s="352"/>
      <c r="E228" s="352"/>
      <c r="F228" s="352"/>
      <c r="G228" s="352"/>
      <c r="H228" s="352"/>
      <c r="I228" s="352"/>
      <c r="J228" s="352"/>
      <c r="K228" s="352"/>
      <c r="L228" s="18"/>
    </row>
    <row r="229" spans="1:12" ht="16">
      <c r="A229" s="18"/>
      <c r="B229" s="352"/>
      <c r="C229" s="352"/>
      <c r="D229" s="352"/>
      <c r="E229" s="352"/>
      <c r="F229" s="352"/>
      <c r="G229" s="352"/>
      <c r="H229" s="352"/>
      <c r="I229" s="352"/>
      <c r="J229" s="352"/>
      <c r="K229" s="352"/>
      <c r="L229" s="18"/>
    </row>
    <row r="230" spans="1:12" ht="16">
      <c r="A230" s="18"/>
      <c r="B230" s="352"/>
      <c r="C230" s="352"/>
      <c r="D230" s="352"/>
      <c r="E230" s="352"/>
      <c r="F230" s="352"/>
      <c r="G230" s="352"/>
      <c r="H230" s="352"/>
      <c r="I230" s="352"/>
      <c r="J230" s="352"/>
      <c r="K230" s="352"/>
      <c r="L230" s="18"/>
    </row>
    <row r="231" spans="1:12" ht="16">
      <c r="A231" s="18"/>
      <c r="B231" s="352"/>
      <c r="C231" s="352"/>
      <c r="D231" s="352"/>
      <c r="E231" s="352"/>
      <c r="F231" s="352"/>
      <c r="G231" s="352"/>
      <c r="H231" s="352"/>
      <c r="I231" s="352"/>
      <c r="J231" s="352"/>
      <c r="K231" s="352"/>
      <c r="L231" s="18"/>
    </row>
    <row r="232" spans="1:12" ht="16">
      <c r="A232" s="18"/>
      <c r="B232" s="352"/>
      <c r="C232" s="352"/>
      <c r="D232" s="352"/>
      <c r="E232" s="352"/>
      <c r="F232" s="352"/>
      <c r="G232" s="352"/>
      <c r="H232" s="352"/>
      <c r="I232" s="352"/>
      <c r="J232" s="352"/>
      <c r="K232" s="352"/>
      <c r="L232" s="18"/>
    </row>
    <row r="233" spans="1:12" ht="16">
      <c r="A233" s="18"/>
      <c r="B233" s="352"/>
      <c r="C233" s="352"/>
      <c r="D233" s="352"/>
      <c r="E233" s="352"/>
      <c r="F233" s="352"/>
      <c r="G233" s="352"/>
      <c r="H233" s="352"/>
      <c r="I233" s="352"/>
      <c r="J233" s="352"/>
      <c r="K233" s="352"/>
      <c r="L233" s="18"/>
    </row>
    <row r="234" spans="1:12" ht="16">
      <c r="A234" s="18"/>
      <c r="B234" s="352"/>
      <c r="C234" s="352"/>
      <c r="D234" s="352"/>
      <c r="E234" s="352"/>
      <c r="F234" s="352"/>
      <c r="G234" s="352"/>
      <c r="H234" s="352"/>
      <c r="I234" s="352"/>
      <c r="J234" s="352"/>
      <c r="K234" s="352"/>
      <c r="L234" s="18"/>
    </row>
    <row r="235" spans="1:12" ht="16">
      <c r="A235" s="18"/>
      <c r="B235" s="352"/>
      <c r="C235" s="352"/>
      <c r="D235" s="352"/>
      <c r="E235" s="352"/>
      <c r="F235" s="352"/>
      <c r="G235" s="352"/>
      <c r="H235" s="352"/>
      <c r="I235" s="352"/>
      <c r="J235" s="352"/>
      <c r="K235" s="352"/>
      <c r="L235" s="18"/>
    </row>
    <row r="236" spans="1:12" ht="16">
      <c r="A236" s="18"/>
      <c r="B236" s="352"/>
      <c r="C236" s="352"/>
      <c r="D236" s="352"/>
      <c r="E236" s="352"/>
      <c r="F236" s="352"/>
      <c r="G236" s="352"/>
      <c r="H236" s="352"/>
      <c r="I236" s="352"/>
      <c r="J236" s="352"/>
      <c r="K236" s="352"/>
      <c r="L236" s="18"/>
    </row>
    <row r="237" spans="1:12" ht="16">
      <c r="A237" s="18"/>
      <c r="B237" s="352"/>
      <c r="C237" s="352"/>
      <c r="D237" s="352"/>
      <c r="E237" s="352"/>
      <c r="F237" s="352"/>
      <c r="G237" s="352"/>
      <c r="H237" s="352"/>
      <c r="I237" s="352"/>
      <c r="J237" s="352"/>
      <c r="K237" s="352"/>
      <c r="L237" s="18"/>
    </row>
    <row r="238" spans="1:12" ht="16">
      <c r="A238" s="18"/>
      <c r="B238" s="352"/>
      <c r="C238" s="352"/>
      <c r="D238" s="352"/>
      <c r="E238" s="352"/>
      <c r="F238" s="352"/>
      <c r="G238" s="352"/>
      <c r="H238" s="352"/>
      <c r="I238" s="352"/>
      <c r="J238" s="352"/>
      <c r="K238" s="352"/>
      <c r="L238" s="18"/>
    </row>
    <row r="239" spans="1:12" ht="16">
      <c r="A239" s="18"/>
      <c r="B239" s="352"/>
      <c r="C239" s="352"/>
      <c r="D239" s="352"/>
      <c r="E239" s="352"/>
      <c r="F239" s="352"/>
      <c r="G239" s="352"/>
      <c r="H239" s="352"/>
      <c r="I239" s="352"/>
      <c r="J239" s="352"/>
      <c r="K239" s="352"/>
      <c r="L239" s="18"/>
    </row>
    <row r="240" spans="1:12" ht="16">
      <c r="A240" s="18"/>
      <c r="B240" s="352"/>
      <c r="C240" s="352"/>
      <c r="D240" s="352"/>
      <c r="E240" s="352"/>
      <c r="F240" s="352"/>
      <c r="G240" s="352"/>
      <c r="H240" s="352"/>
      <c r="I240" s="352"/>
      <c r="J240" s="352"/>
      <c r="K240" s="352"/>
      <c r="L240" s="18"/>
    </row>
    <row r="241" spans="1:12" ht="16">
      <c r="A241" s="18"/>
      <c r="B241" s="352"/>
      <c r="C241" s="352"/>
      <c r="D241" s="352"/>
      <c r="E241" s="352"/>
      <c r="F241" s="352"/>
      <c r="G241" s="352"/>
      <c r="H241" s="352"/>
      <c r="I241" s="352"/>
      <c r="J241" s="352"/>
      <c r="K241" s="352"/>
      <c r="L241" s="18"/>
    </row>
    <row r="242" spans="1:12" ht="16">
      <c r="A242" s="18"/>
      <c r="B242" s="352"/>
      <c r="C242" s="352"/>
      <c r="D242" s="352"/>
      <c r="E242" s="352"/>
      <c r="F242" s="352"/>
      <c r="G242" s="352"/>
      <c r="H242" s="352"/>
      <c r="I242" s="352"/>
      <c r="J242" s="352"/>
      <c r="K242" s="352"/>
      <c r="L242" s="18"/>
    </row>
    <row r="243" spans="1:12" ht="16">
      <c r="A243" s="18"/>
      <c r="B243" s="352"/>
      <c r="C243" s="352"/>
      <c r="D243" s="352"/>
      <c r="E243" s="352"/>
      <c r="F243" s="352"/>
      <c r="G243" s="352"/>
      <c r="H243" s="352"/>
      <c r="I243" s="352"/>
      <c r="J243" s="352"/>
      <c r="K243" s="352"/>
      <c r="L243" s="18"/>
    </row>
    <row r="244" spans="1:12" ht="16">
      <c r="A244" s="18"/>
      <c r="B244" s="352"/>
      <c r="C244" s="352"/>
      <c r="D244" s="352"/>
      <c r="E244" s="352"/>
      <c r="F244" s="352"/>
      <c r="G244" s="352"/>
      <c r="H244" s="352"/>
      <c r="I244" s="352"/>
      <c r="J244" s="352"/>
      <c r="K244" s="352"/>
      <c r="L244" s="18"/>
    </row>
    <row r="245" spans="1:12" ht="16">
      <c r="A245" s="18"/>
      <c r="B245" s="352"/>
      <c r="C245" s="352"/>
      <c r="D245" s="352"/>
      <c r="E245" s="352"/>
      <c r="F245" s="352"/>
      <c r="G245" s="352"/>
      <c r="H245" s="352"/>
      <c r="I245" s="352"/>
      <c r="J245" s="352"/>
      <c r="K245" s="352"/>
      <c r="L245" s="18"/>
    </row>
    <row r="246" spans="1:12" ht="16">
      <c r="A246" s="18"/>
      <c r="B246" s="352"/>
      <c r="C246" s="352"/>
      <c r="D246" s="352"/>
      <c r="E246" s="352"/>
      <c r="F246" s="352"/>
      <c r="G246" s="352"/>
      <c r="H246" s="352"/>
      <c r="I246" s="352"/>
      <c r="J246" s="352"/>
      <c r="K246" s="352"/>
      <c r="L246" s="18"/>
    </row>
    <row r="247" spans="1:12" ht="16">
      <c r="A247" s="18"/>
      <c r="B247" s="352"/>
      <c r="C247" s="352"/>
      <c r="D247" s="352"/>
      <c r="E247" s="352"/>
      <c r="F247" s="352"/>
      <c r="G247" s="352"/>
      <c r="H247" s="352"/>
      <c r="I247" s="352"/>
      <c r="J247" s="352"/>
      <c r="K247" s="352"/>
      <c r="L247" s="18"/>
    </row>
    <row r="248" spans="1:12" ht="16">
      <c r="A248" s="18"/>
      <c r="B248" s="352"/>
      <c r="C248" s="352"/>
      <c r="D248" s="352"/>
      <c r="E248" s="352"/>
      <c r="F248" s="352"/>
      <c r="G248" s="352"/>
      <c r="H248" s="352"/>
      <c r="I248" s="352"/>
      <c r="J248" s="352"/>
      <c r="K248" s="352"/>
      <c r="L248" s="18"/>
    </row>
    <row r="249" spans="1:12" ht="16">
      <c r="A249" s="18"/>
      <c r="B249" s="352"/>
      <c r="C249" s="352"/>
      <c r="D249" s="352"/>
      <c r="E249" s="352"/>
      <c r="F249" s="352"/>
      <c r="G249" s="352"/>
      <c r="H249" s="352"/>
      <c r="I249" s="352"/>
      <c r="J249" s="352"/>
      <c r="K249" s="352"/>
      <c r="L249" s="18"/>
    </row>
    <row r="250" spans="1:12" ht="16">
      <c r="A250" s="18"/>
      <c r="B250" s="352"/>
      <c r="C250" s="352"/>
      <c r="D250" s="352"/>
      <c r="E250" s="352"/>
      <c r="F250" s="352"/>
      <c r="G250" s="352"/>
      <c r="H250" s="352"/>
      <c r="I250" s="352"/>
      <c r="J250" s="352"/>
      <c r="K250" s="352"/>
      <c r="L250" s="18"/>
    </row>
    <row r="251" spans="1:12" ht="16">
      <c r="A251" s="18"/>
      <c r="B251" s="352"/>
      <c r="C251" s="352"/>
      <c r="D251" s="352"/>
      <c r="E251" s="352"/>
      <c r="F251" s="352"/>
      <c r="G251" s="352"/>
      <c r="H251" s="352"/>
      <c r="I251" s="352"/>
      <c r="J251" s="352"/>
      <c r="K251" s="352"/>
      <c r="L251" s="18"/>
    </row>
    <row r="252" spans="1:12" ht="16">
      <c r="A252" s="18"/>
      <c r="B252" s="352"/>
      <c r="C252" s="352"/>
      <c r="D252" s="352"/>
      <c r="E252" s="352"/>
      <c r="F252" s="352"/>
      <c r="G252" s="352"/>
      <c r="H252" s="352"/>
      <c r="I252" s="352"/>
      <c r="J252" s="352"/>
      <c r="K252" s="352"/>
      <c r="L252" s="18"/>
    </row>
    <row r="253" spans="1:12" ht="16">
      <c r="A253" s="18"/>
      <c r="B253" s="352"/>
      <c r="C253" s="352"/>
      <c r="D253" s="352"/>
      <c r="E253" s="352"/>
      <c r="F253" s="352"/>
      <c r="G253" s="352"/>
      <c r="H253" s="352"/>
      <c r="I253" s="352"/>
      <c r="J253" s="352"/>
      <c r="K253" s="352"/>
      <c r="L253" s="18"/>
    </row>
    <row r="254" spans="1:12" ht="16">
      <c r="A254" s="18"/>
      <c r="B254" s="352"/>
      <c r="C254" s="352"/>
      <c r="D254" s="352"/>
      <c r="E254" s="352"/>
      <c r="F254" s="352"/>
      <c r="G254" s="352"/>
      <c r="H254" s="352"/>
      <c r="I254" s="352"/>
      <c r="J254" s="352"/>
      <c r="K254" s="352"/>
      <c r="L254" s="18"/>
    </row>
    <row r="255" spans="1:12" ht="16">
      <c r="A255" s="18"/>
      <c r="B255" s="352"/>
      <c r="C255" s="352"/>
      <c r="D255" s="352"/>
      <c r="E255" s="352"/>
      <c r="F255" s="352"/>
      <c r="G255" s="352"/>
      <c r="H255" s="352"/>
      <c r="I255" s="352"/>
      <c r="J255" s="352"/>
      <c r="K255" s="352"/>
      <c r="L255" s="18"/>
    </row>
    <row r="256" spans="1:12" ht="16">
      <c r="A256" s="18"/>
      <c r="B256" s="352"/>
      <c r="C256" s="352"/>
      <c r="D256" s="352"/>
      <c r="E256" s="352"/>
      <c r="F256" s="352"/>
      <c r="G256" s="352"/>
      <c r="H256" s="352"/>
      <c r="I256" s="352"/>
      <c r="J256" s="352"/>
      <c r="K256" s="352"/>
      <c r="L256" s="18"/>
    </row>
    <row r="257" spans="1:12" ht="16">
      <c r="A257" s="18"/>
      <c r="B257" s="352"/>
      <c r="C257" s="352"/>
      <c r="D257" s="352"/>
      <c r="E257" s="352"/>
      <c r="F257" s="352"/>
      <c r="G257" s="352"/>
      <c r="H257" s="352"/>
      <c r="I257" s="352"/>
      <c r="J257" s="352"/>
      <c r="K257" s="352"/>
      <c r="L257" s="18"/>
    </row>
    <row r="258" spans="1:12" ht="16">
      <c r="A258" s="18"/>
      <c r="B258" s="352"/>
      <c r="C258" s="352"/>
      <c r="D258" s="352"/>
      <c r="E258" s="352"/>
      <c r="F258" s="352"/>
      <c r="G258" s="352"/>
      <c r="H258" s="352"/>
      <c r="I258" s="352"/>
      <c r="J258" s="352"/>
      <c r="K258" s="352"/>
      <c r="L258" s="18"/>
    </row>
    <row r="259" spans="1:12" ht="16">
      <c r="A259" s="18"/>
      <c r="B259" s="352"/>
      <c r="C259" s="352"/>
      <c r="D259" s="352"/>
      <c r="E259" s="352"/>
      <c r="F259" s="352"/>
      <c r="G259" s="352"/>
      <c r="H259" s="352"/>
      <c r="I259" s="352"/>
      <c r="J259" s="352"/>
      <c r="K259" s="352"/>
      <c r="L259" s="18"/>
    </row>
    <row r="260" spans="1:12" ht="16">
      <c r="A260" s="18"/>
      <c r="B260" s="352"/>
      <c r="C260" s="352"/>
      <c r="D260" s="352"/>
      <c r="E260" s="352"/>
      <c r="F260" s="352"/>
      <c r="G260" s="352"/>
      <c r="H260" s="352"/>
      <c r="I260" s="352"/>
      <c r="J260" s="352"/>
      <c r="K260" s="352"/>
      <c r="L260" s="18"/>
    </row>
    <row r="261" spans="1:12" ht="16">
      <c r="A261" s="18"/>
      <c r="B261" s="352"/>
      <c r="C261" s="352"/>
      <c r="D261" s="352"/>
      <c r="E261" s="352"/>
      <c r="F261" s="352"/>
      <c r="G261" s="352"/>
      <c r="H261" s="352"/>
      <c r="I261" s="352"/>
      <c r="J261" s="352"/>
      <c r="K261" s="352"/>
      <c r="L261" s="18"/>
    </row>
    <row r="262" spans="1:12" ht="16">
      <c r="A262" s="18"/>
      <c r="B262" s="352"/>
      <c r="C262" s="352"/>
      <c r="D262" s="352"/>
      <c r="E262" s="352"/>
      <c r="F262" s="352"/>
      <c r="G262" s="352"/>
      <c r="H262" s="352"/>
      <c r="I262" s="352"/>
      <c r="J262" s="352"/>
      <c r="K262" s="352"/>
      <c r="L262" s="18"/>
    </row>
    <row r="263" spans="1:12" ht="16">
      <c r="A263" s="18"/>
      <c r="B263" s="352"/>
      <c r="C263" s="352"/>
      <c r="D263" s="352"/>
      <c r="E263" s="352"/>
      <c r="F263" s="352"/>
      <c r="G263" s="352"/>
      <c r="H263" s="352"/>
      <c r="I263" s="352"/>
      <c r="J263" s="352"/>
      <c r="K263" s="352"/>
      <c r="L263" s="18"/>
    </row>
    <row r="264" spans="1:12" ht="16">
      <c r="A264" s="18"/>
      <c r="B264" s="352"/>
      <c r="C264" s="352"/>
      <c r="D264" s="352"/>
      <c r="E264" s="352"/>
      <c r="F264" s="352"/>
      <c r="G264" s="352"/>
      <c r="H264" s="352"/>
      <c r="I264" s="352"/>
      <c r="J264" s="352"/>
      <c r="K264" s="352"/>
      <c r="L264" s="18"/>
    </row>
    <row r="265" spans="1:12" ht="16">
      <c r="A265" s="18"/>
      <c r="B265" s="352"/>
      <c r="C265" s="352"/>
      <c r="D265" s="352"/>
      <c r="E265" s="352"/>
      <c r="F265" s="352"/>
      <c r="G265" s="352"/>
      <c r="H265" s="352"/>
      <c r="I265" s="352"/>
      <c r="J265" s="352"/>
      <c r="K265" s="352"/>
      <c r="L265" s="18"/>
    </row>
    <row r="266" spans="1:12" ht="16">
      <c r="A266" s="18"/>
      <c r="B266" s="352"/>
      <c r="C266" s="352"/>
      <c r="D266" s="352"/>
      <c r="E266" s="352"/>
      <c r="F266" s="352"/>
      <c r="G266" s="352"/>
      <c r="H266" s="352"/>
      <c r="I266" s="352"/>
      <c r="J266" s="352"/>
      <c r="K266" s="352"/>
      <c r="L266" s="18"/>
    </row>
    <row r="267" spans="1:12" ht="16">
      <c r="A267" s="18"/>
      <c r="B267" s="352"/>
      <c r="C267" s="352"/>
      <c r="D267" s="352"/>
      <c r="E267" s="352"/>
      <c r="F267" s="352"/>
      <c r="G267" s="352"/>
      <c r="H267" s="352"/>
      <c r="I267" s="352"/>
      <c r="J267" s="352"/>
      <c r="K267" s="352"/>
      <c r="L267" s="18"/>
    </row>
    <row r="268" spans="1:12" ht="16">
      <c r="A268" s="18"/>
      <c r="B268" s="352"/>
      <c r="C268" s="352"/>
      <c r="D268" s="352"/>
      <c r="E268" s="352"/>
      <c r="F268" s="352"/>
      <c r="G268" s="352"/>
      <c r="H268" s="352"/>
      <c r="I268" s="352"/>
      <c r="J268" s="352"/>
      <c r="K268" s="352"/>
      <c r="L268" s="18"/>
    </row>
    <row r="269" spans="1:12" ht="16">
      <c r="A269" s="18"/>
      <c r="B269" s="352"/>
      <c r="C269" s="352"/>
      <c r="D269" s="352"/>
      <c r="E269" s="352"/>
      <c r="F269" s="352"/>
      <c r="G269" s="352"/>
      <c r="H269" s="352"/>
      <c r="I269" s="352"/>
      <c r="J269" s="352"/>
      <c r="K269" s="352"/>
      <c r="L269" s="18"/>
    </row>
    <row r="270" spans="1:12" ht="16">
      <c r="A270" s="18"/>
      <c r="B270" s="352"/>
      <c r="C270" s="352"/>
      <c r="D270" s="352"/>
      <c r="E270" s="352"/>
      <c r="F270" s="352"/>
      <c r="G270" s="352"/>
      <c r="H270" s="352"/>
      <c r="I270" s="352"/>
      <c r="J270" s="352"/>
      <c r="K270" s="352"/>
      <c r="L270" s="18"/>
    </row>
    <row r="271" spans="1:12" ht="16">
      <c r="A271" s="18"/>
      <c r="B271" s="352"/>
      <c r="C271" s="352"/>
      <c r="D271" s="352"/>
      <c r="E271" s="352"/>
      <c r="F271" s="352"/>
      <c r="G271" s="352"/>
      <c r="H271" s="352"/>
      <c r="I271" s="352"/>
      <c r="J271" s="352"/>
      <c r="K271" s="352"/>
      <c r="L271" s="18"/>
    </row>
    <row r="272" spans="1:12" ht="16">
      <c r="A272" s="18"/>
      <c r="B272" s="352"/>
      <c r="C272" s="352"/>
      <c r="D272" s="352"/>
      <c r="E272" s="352"/>
      <c r="F272" s="352"/>
      <c r="G272" s="352"/>
      <c r="H272" s="352"/>
      <c r="I272" s="352"/>
      <c r="J272" s="352"/>
      <c r="K272" s="352"/>
      <c r="L272" s="18"/>
    </row>
    <row r="273" spans="1:12" ht="16">
      <c r="A273" s="18"/>
      <c r="B273" s="352"/>
      <c r="C273" s="352"/>
      <c r="D273" s="352"/>
      <c r="E273" s="352"/>
      <c r="F273" s="352"/>
      <c r="G273" s="352"/>
      <c r="H273" s="352"/>
      <c r="I273" s="352"/>
      <c r="J273" s="352"/>
      <c r="K273" s="352"/>
      <c r="L273" s="18"/>
    </row>
    <row r="274" spans="1:12" ht="16">
      <c r="A274" s="18"/>
      <c r="B274" s="352"/>
      <c r="C274" s="352"/>
      <c r="D274" s="352"/>
      <c r="E274" s="352"/>
      <c r="F274" s="352"/>
      <c r="G274" s="352"/>
      <c r="H274" s="352"/>
      <c r="I274" s="352"/>
      <c r="J274" s="352"/>
      <c r="K274" s="352"/>
      <c r="L274" s="18"/>
    </row>
    <row r="275" spans="1:12" ht="16">
      <c r="A275" s="18"/>
      <c r="B275" s="352"/>
      <c r="C275" s="352"/>
      <c r="D275" s="352"/>
      <c r="E275" s="352"/>
      <c r="F275" s="352"/>
      <c r="G275" s="352"/>
      <c r="H275" s="352"/>
      <c r="I275" s="352"/>
      <c r="J275" s="352"/>
      <c r="K275" s="352"/>
      <c r="L275" s="18"/>
    </row>
    <row r="276" spans="1:12" ht="16">
      <c r="A276" s="18"/>
      <c r="B276" s="352"/>
      <c r="C276" s="352"/>
      <c r="D276" s="352"/>
      <c r="E276" s="352"/>
      <c r="F276" s="352"/>
      <c r="G276" s="352"/>
      <c r="H276" s="352"/>
      <c r="I276" s="352"/>
      <c r="J276" s="352"/>
      <c r="K276" s="352"/>
      <c r="L276" s="18"/>
    </row>
    <row r="277" spans="1:12" ht="16">
      <c r="A277" s="18"/>
      <c r="B277" s="352"/>
      <c r="C277" s="352"/>
      <c r="D277" s="352"/>
      <c r="E277" s="352"/>
      <c r="F277" s="352"/>
      <c r="G277" s="352"/>
      <c r="H277" s="352"/>
      <c r="I277" s="352"/>
      <c r="J277" s="352"/>
      <c r="K277" s="352"/>
      <c r="L277" s="18"/>
    </row>
    <row r="278" spans="1:12" ht="16">
      <c r="A278" s="18"/>
      <c r="B278" s="352"/>
      <c r="C278" s="352"/>
      <c r="D278" s="352"/>
      <c r="E278" s="352"/>
      <c r="F278" s="352"/>
      <c r="G278" s="352"/>
      <c r="H278" s="352"/>
      <c r="I278" s="352"/>
      <c r="J278" s="352"/>
      <c r="K278" s="352"/>
      <c r="L278" s="18"/>
    </row>
    <row r="279" spans="1:12" ht="16">
      <c r="A279" s="18"/>
      <c r="B279" s="352"/>
      <c r="C279" s="352"/>
      <c r="D279" s="352"/>
      <c r="E279" s="352"/>
      <c r="F279" s="352"/>
      <c r="G279" s="352"/>
      <c r="H279" s="352"/>
      <c r="I279" s="352"/>
      <c r="J279" s="352"/>
      <c r="K279" s="352"/>
      <c r="L279" s="18"/>
    </row>
    <row r="280" spans="1:12" ht="16">
      <c r="A280" s="18"/>
      <c r="B280" s="352"/>
      <c r="C280" s="352"/>
      <c r="D280" s="352"/>
      <c r="E280" s="352"/>
      <c r="F280" s="352"/>
      <c r="G280" s="352"/>
      <c r="H280" s="352"/>
      <c r="I280" s="352"/>
      <c r="J280" s="352"/>
      <c r="K280" s="352"/>
      <c r="L280" s="18"/>
    </row>
    <row r="281" spans="1:12" ht="16">
      <c r="A281" s="18"/>
      <c r="B281" s="352"/>
      <c r="C281" s="352"/>
      <c r="D281" s="352"/>
      <c r="E281" s="352"/>
      <c r="F281" s="352"/>
      <c r="G281" s="352"/>
      <c r="H281" s="352"/>
      <c r="I281" s="352"/>
      <c r="J281" s="352"/>
      <c r="K281" s="352"/>
      <c r="L281" s="18"/>
    </row>
    <row r="282" spans="1:12" ht="16">
      <c r="A282" s="18"/>
      <c r="B282" s="352"/>
      <c r="C282" s="352"/>
      <c r="D282" s="352"/>
      <c r="E282" s="352"/>
      <c r="F282" s="352"/>
      <c r="G282" s="352"/>
      <c r="H282" s="352"/>
      <c r="I282" s="352"/>
      <c r="J282" s="352"/>
      <c r="K282" s="352"/>
      <c r="L282" s="18"/>
    </row>
    <row r="283" spans="1:12" ht="16">
      <c r="A283" s="18"/>
      <c r="B283" s="352"/>
      <c r="C283" s="352"/>
      <c r="D283" s="352"/>
      <c r="E283" s="352"/>
      <c r="F283" s="352"/>
      <c r="G283" s="352"/>
      <c r="H283" s="352"/>
      <c r="I283" s="352"/>
      <c r="J283" s="352"/>
      <c r="K283" s="352"/>
      <c r="L283" s="18"/>
    </row>
    <row r="284" spans="1:12" ht="16">
      <c r="A284" s="18"/>
      <c r="B284" s="352"/>
      <c r="C284" s="352"/>
      <c r="D284" s="352"/>
      <c r="E284" s="352"/>
      <c r="F284" s="352"/>
      <c r="G284" s="352"/>
      <c r="H284" s="352"/>
      <c r="I284" s="352"/>
      <c r="J284" s="352"/>
      <c r="K284" s="352"/>
      <c r="L284" s="18"/>
    </row>
    <row r="285" spans="1:12" ht="16">
      <c r="A285" s="18"/>
      <c r="B285" s="352"/>
      <c r="C285" s="352"/>
      <c r="D285" s="352"/>
      <c r="E285" s="352"/>
      <c r="F285" s="352"/>
      <c r="G285" s="352"/>
      <c r="H285" s="352"/>
      <c r="I285" s="352"/>
      <c r="J285" s="352"/>
      <c r="K285" s="352"/>
      <c r="L285" s="18"/>
    </row>
    <row r="286" spans="1:12" ht="16">
      <c r="A286" s="18"/>
      <c r="B286" s="352"/>
      <c r="C286" s="352"/>
      <c r="D286" s="352"/>
      <c r="E286" s="352"/>
      <c r="F286" s="352"/>
      <c r="G286" s="352"/>
      <c r="H286" s="352"/>
      <c r="I286" s="352"/>
      <c r="J286" s="352"/>
      <c r="K286" s="352"/>
      <c r="L286" s="18"/>
    </row>
    <row r="287" spans="1:12" ht="16">
      <c r="A287" s="18"/>
      <c r="B287" s="352"/>
      <c r="C287" s="352"/>
      <c r="D287" s="352"/>
      <c r="E287" s="352"/>
      <c r="F287" s="352"/>
      <c r="G287" s="352"/>
      <c r="H287" s="352"/>
      <c r="I287" s="352"/>
      <c r="J287" s="352"/>
      <c r="K287" s="352"/>
      <c r="L287" s="18"/>
    </row>
    <row r="288" spans="1:12" ht="16">
      <c r="A288" s="18"/>
      <c r="B288" s="352"/>
      <c r="C288" s="352"/>
      <c r="D288" s="352"/>
      <c r="E288" s="352"/>
      <c r="F288" s="352"/>
      <c r="G288" s="352"/>
      <c r="H288" s="352"/>
      <c r="I288" s="352"/>
      <c r="J288" s="352"/>
      <c r="K288" s="352"/>
      <c r="L288" s="18"/>
    </row>
    <row r="289" spans="1:12" ht="16">
      <c r="A289" s="18"/>
      <c r="B289" s="352"/>
      <c r="C289" s="352"/>
      <c r="D289" s="352"/>
      <c r="E289" s="352"/>
      <c r="F289" s="352"/>
      <c r="G289" s="352"/>
      <c r="H289" s="352"/>
      <c r="I289" s="352"/>
      <c r="J289" s="352"/>
      <c r="K289" s="352"/>
      <c r="L289" s="18"/>
    </row>
    <row r="290" spans="1:12" ht="16">
      <c r="A290" s="18"/>
      <c r="B290" s="352"/>
      <c r="C290" s="352"/>
      <c r="D290" s="352"/>
      <c r="E290" s="352"/>
      <c r="F290" s="352"/>
      <c r="G290" s="352"/>
      <c r="H290" s="352"/>
      <c r="I290" s="352"/>
      <c r="J290" s="352"/>
      <c r="K290" s="352"/>
      <c r="L290" s="18"/>
    </row>
    <row r="291" spans="1:12" ht="16">
      <c r="A291" s="18"/>
      <c r="B291" s="352"/>
      <c r="C291" s="352"/>
      <c r="D291" s="352"/>
      <c r="E291" s="352"/>
      <c r="F291" s="352"/>
      <c r="G291" s="352"/>
      <c r="H291" s="352"/>
      <c r="I291" s="352"/>
      <c r="J291" s="352"/>
      <c r="K291" s="352"/>
      <c r="L291" s="18"/>
    </row>
    <row r="292" spans="1:12" ht="16">
      <c r="A292" s="18"/>
      <c r="B292" s="352"/>
      <c r="C292" s="352"/>
      <c r="D292" s="352"/>
      <c r="E292" s="352"/>
      <c r="F292" s="352"/>
      <c r="G292" s="352"/>
      <c r="H292" s="352"/>
      <c r="I292" s="352"/>
      <c r="J292" s="352"/>
      <c r="K292" s="352"/>
      <c r="L292" s="18"/>
    </row>
    <row r="293" spans="1:12" ht="16">
      <c r="A293" s="18"/>
      <c r="B293" s="352"/>
      <c r="C293" s="352"/>
      <c r="D293" s="352"/>
      <c r="E293" s="352"/>
      <c r="F293" s="352"/>
      <c r="G293" s="352"/>
      <c r="H293" s="352"/>
      <c r="I293" s="352"/>
      <c r="J293" s="352"/>
      <c r="K293" s="352"/>
      <c r="L293" s="18"/>
    </row>
    <row r="294" spans="1:12" ht="16">
      <c r="A294" s="18"/>
      <c r="B294" s="352"/>
      <c r="C294" s="352"/>
      <c r="D294" s="352"/>
      <c r="E294" s="352"/>
      <c r="F294" s="352"/>
      <c r="G294" s="352"/>
      <c r="H294" s="352"/>
      <c r="I294" s="352"/>
      <c r="J294" s="352"/>
      <c r="K294" s="352"/>
      <c r="L294" s="18"/>
    </row>
    <row r="295" spans="1:12" ht="16">
      <c r="A295" s="18"/>
      <c r="B295" s="352"/>
      <c r="C295" s="352"/>
      <c r="D295" s="352"/>
      <c r="E295" s="352"/>
      <c r="F295" s="352"/>
      <c r="G295" s="352"/>
      <c r="H295" s="352"/>
      <c r="I295" s="352"/>
      <c r="J295" s="352"/>
      <c r="K295" s="352"/>
      <c r="L295" s="18"/>
    </row>
    <row r="296" spans="1:12" ht="16">
      <c r="A296" s="18"/>
      <c r="B296" s="352"/>
      <c r="C296" s="352"/>
      <c r="D296" s="352"/>
      <c r="E296" s="352"/>
      <c r="F296" s="352"/>
      <c r="G296" s="352"/>
      <c r="H296" s="352"/>
      <c r="I296" s="352"/>
      <c r="J296" s="352"/>
      <c r="K296" s="352"/>
      <c r="L296" s="18"/>
    </row>
    <row r="297" spans="1:12" ht="16">
      <c r="A297" s="18"/>
      <c r="B297" s="352"/>
      <c r="C297" s="352"/>
      <c r="D297" s="352"/>
      <c r="E297" s="352"/>
      <c r="F297" s="352"/>
      <c r="G297" s="352"/>
      <c r="H297" s="352"/>
      <c r="I297" s="352"/>
      <c r="J297" s="352"/>
      <c r="K297" s="352"/>
      <c r="L297" s="18"/>
    </row>
    <row r="298" spans="1:12" ht="16">
      <c r="A298" s="18"/>
      <c r="B298" s="352"/>
      <c r="C298" s="352"/>
      <c r="D298" s="352"/>
      <c r="E298" s="352"/>
      <c r="F298" s="352"/>
      <c r="G298" s="352"/>
      <c r="H298" s="352"/>
      <c r="I298" s="352"/>
      <c r="J298" s="352"/>
      <c r="K298" s="352"/>
      <c r="L298" s="18"/>
    </row>
    <row r="299" spans="1:12" ht="16">
      <c r="A299" s="18"/>
      <c r="B299" s="352"/>
      <c r="C299" s="352"/>
      <c r="D299" s="352"/>
      <c r="E299" s="352"/>
      <c r="F299" s="352"/>
      <c r="G299" s="352"/>
      <c r="H299" s="352"/>
      <c r="I299" s="352"/>
      <c r="J299" s="352"/>
      <c r="K299" s="352"/>
      <c r="L299" s="18"/>
    </row>
    <row r="300" spans="1:12" ht="16">
      <c r="A300" s="18"/>
      <c r="B300" s="352"/>
      <c r="C300" s="352"/>
      <c r="D300" s="352"/>
      <c r="E300" s="352"/>
      <c r="F300" s="352"/>
      <c r="G300" s="352"/>
      <c r="H300" s="352"/>
      <c r="I300" s="352"/>
      <c r="J300" s="352"/>
      <c r="K300" s="352"/>
      <c r="L300" s="18"/>
    </row>
    <row r="301" spans="1:12" ht="16">
      <c r="A301" s="18"/>
      <c r="B301" s="352"/>
      <c r="C301" s="352"/>
      <c r="D301" s="352"/>
      <c r="E301" s="352"/>
      <c r="F301" s="352"/>
      <c r="G301" s="352"/>
      <c r="H301" s="352"/>
      <c r="I301" s="352"/>
      <c r="J301" s="352"/>
      <c r="K301" s="352"/>
      <c r="L301" s="18"/>
    </row>
    <row r="302" spans="1:12" ht="16">
      <c r="A302" s="18"/>
      <c r="B302" s="352"/>
      <c r="C302" s="352"/>
      <c r="D302" s="352"/>
      <c r="E302" s="352"/>
      <c r="F302" s="352"/>
      <c r="G302" s="352"/>
      <c r="H302" s="352"/>
      <c r="I302" s="352"/>
      <c r="J302" s="352"/>
      <c r="K302" s="352"/>
      <c r="L302" s="18"/>
    </row>
    <row r="303" spans="1:12" ht="16">
      <c r="A303" s="18"/>
      <c r="B303" s="352"/>
      <c r="C303" s="352"/>
      <c r="D303" s="352"/>
      <c r="E303" s="352"/>
      <c r="F303" s="352"/>
      <c r="G303" s="352"/>
      <c r="H303" s="352"/>
      <c r="I303" s="352"/>
      <c r="J303" s="352"/>
      <c r="K303" s="352"/>
      <c r="L303" s="18"/>
    </row>
    <row r="304" spans="1:12" ht="16">
      <c r="A304" s="18"/>
      <c r="B304" s="352"/>
      <c r="C304" s="352"/>
      <c r="D304" s="352"/>
      <c r="E304" s="352"/>
      <c r="F304" s="352"/>
      <c r="G304" s="352"/>
      <c r="H304" s="352"/>
      <c r="I304" s="352"/>
      <c r="J304" s="352"/>
      <c r="K304" s="352"/>
      <c r="L304" s="18"/>
    </row>
    <row r="305" spans="1:12" ht="16">
      <c r="A305" s="18"/>
      <c r="B305" s="352"/>
      <c r="C305" s="352"/>
      <c r="D305" s="352"/>
      <c r="E305" s="352"/>
      <c r="F305" s="352"/>
      <c r="G305" s="352"/>
      <c r="H305" s="352"/>
      <c r="I305" s="352"/>
      <c r="J305" s="352"/>
      <c r="K305" s="352"/>
      <c r="L305" s="18"/>
    </row>
    <row r="306" spans="1:12" ht="16">
      <c r="A306" s="18"/>
      <c r="B306" s="352"/>
      <c r="C306" s="352"/>
      <c r="D306" s="352"/>
      <c r="E306" s="352"/>
      <c r="F306" s="352"/>
      <c r="G306" s="352"/>
      <c r="H306" s="352"/>
      <c r="I306" s="352"/>
      <c r="J306" s="352"/>
      <c r="K306" s="352"/>
      <c r="L306" s="18"/>
    </row>
    <row r="307" spans="1:12" ht="16">
      <c r="A307" s="18"/>
      <c r="B307" s="352"/>
      <c r="C307" s="352"/>
      <c r="D307" s="352"/>
      <c r="E307" s="352"/>
      <c r="F307" s="352"/>
      <c r="G307" s="352"/>
      <c r="H307" s="352"/>
      <c r="I307" s="352"/>
      <c r="J307" s="352"/>
      <c r="K307" s="352"/>
      <c r="L307" s="18"/>
    </row>
    <row r="308" spans="1:12" ht="16">
      <c r="A308" s="18"/>
      <c r="B308" s="352"/>
      <c r="C308" s="352"/>
      <c r="D308" s="352"/>
      <c r="E308" s="352"/>
      <c r="F308" s="352"/>
      <c r="G308" s="352"/>
      <c r="H308" s="352"/>
      <c r="I308" s="352"/>
      <c r="J308" s="352"/>
      <c r="K308" s="352"/>
      <c r="L308" s="18"/>
    </row>
    <row r="309" spans="1:12" ht="16">
      <c r="A309" s="18"/>
      <c r="B309" s="352"/>
      <c r="C309" s="352"/>
      <c r="D309" s="352"/>
      <c r="E309" s="352"/>
      <c r="F309" s="352"/>
      <c r="G309" s="352"/>
      <c r="H309" s="352"/>
      <c r="I309" s="352"/>
      <c r="J309" s="352"/>
      <c r="K309" s="352"/>
      <c r="L309" s="18"/>
    </row>
    <row r="310" spans="1:12" ht="16">
      <c r="A310" s="18"/>
      <c r="B310" s="352"/>
      <c r="C310" s="352"/>
      <c r="D310" s="352"/>
      <c r="E310" s="352"/>
      <c r="F310" s="352"/>
      <c r="G310" s="352"/>
      <c r="H310" s="352"/>
      <c r="I310" s="352"/>
      <c r="J310" s="352"/>
      <c r="K310" s="352"/>
      <c r="L310" s="18"/>
    </row>
    <row r="311" spans="1:12" ht="16">
      <c r="A311" s="18"/>
      <c r="B311" s="352"/>
      <c r="C311" s="352"/>
      <c r="D311" s="352"/>
      <c r="E311" s="352"/>
      <c r="F311" s="352"/>
      <c r="G311" s="352"/>
      <c r="H311" s="352"/>
      <c r="I311" s="352"/>
      <c r="J311" s="352"/>
      <c r="K311" s="352"/>
      <c r="L311" s="18"/>
    </row>
    <row r="312" spans="1:12" ht="16">
      <c r="A312" s="18"/>
      <c r="B312" s="352"/>
      <c r="C312" s="352"/>
      <c r="D312" s="352"/>
      <c r="E312" s="352"/>
      <c r="F312" s="352"/>
      <c r="G312" s="352"/>
      <c r="H312" s="352"/>
      <c r="I312" s="352"/>
      <c r="J312" s="352"/>
      <c r="K312" s="352"/>
      <c r="L312" s="18"/>
    </row>
    <row r="313" spans="1:12" ht="16">
      <c r="A313" s="18"/>
      <c r="B313" s="352"/>
      <c r="C313" s="352"/>
      <c r="D313" s="352"/>
      <c r="E313" s="352"/>
      <c r="F313" s="352"/>
      <c r="G313" s="352"/>
      <c r="H313" s="352"/>
      <c r="I313" s="352"/>
      <c r="J313" s="352"/>
      <c r="K313" s="352"/>
      <c r="L313" s="18"/>
    </row>
    <row r="314" spans="1:12" ht="16">
      <c r="A314" s="18"/>
      <c r="B314" s="352"/>
      <c r="C314" s="352"/>
      <c r="D314" s="352"/>
      <c r="E314" s="352"/>
      <c r="F314" s="352"/>
      <c r="G314" s="352"/>
      <c r="H314" s="352"/>
      <c r="I314" s="352"/>
      <c r="J314" s="352"/>
      <c r="K314" s="352"/>
      <c r="L314" s="18"/>
    </row>
    <row r="315" spans="1:12" ht="16">
      <c r="A315" s="18"/>
      <c r="B315" s="352"/>
      <c r="C315" s="352"/>
      <c r="D315" s="352"/>
      <c r="E315" s="352"/>
      <c r="F315" s="352"/>
      <c r="G315" s="352"/>
      <c r="H315" s="352"/>
      <c r="I315" s="352"/>
      <c r="J315" s="352"/>
      <c r="K315" s="352"/>
      <c r="L315" s="18"/>
    </row>
    <row r="316" spans="1:12" ht="16">
      <c r="A316" s="18"/>
      <c r="B316" s="352"/>
      <c r="C316" s="352"/>
      <c r="D316" s="352"/>
      <c r="E316" s="352"/>
      <c r="F316" s="352"/>
      <c r="G316" s="352"/>
      <c r="H316" s="352"/>
      <c r="I316" s="352"/>
      <c r="J316" s="352"/>
      <c r="K316" s="352"/>
      <c r="L316" s="18"/>
    </row>
    <row r="317" spans="1:12" ht="16">
      <c r="A317" s="18"/>
      <c r="B317" s="352"/>
      <c r="C317" s="352"/>
      <c r="D317" s="352"/>
      <c r="E317" s="352"/>
      <c r="F317" s="352"/>
      <c r="G317" s="352"/>
      <c r="H317" s="352"/>
      <c r="I317" s="352"/>
      <c r="J317" s="352"/>
      <c r="K317" s="352"/>
      <c r="L317" s="18"/>
    </row>
    <row r="318" spans="1:12" ht="16">
      <c r="A318" s="18"/>
      <c r="B318" s="352"/>
      <c r="C318" s="352"/>
      <c r="D318" s="352"/>
      <c r="E318" s="352"/>
      <c r="F318" s="352"/>
      <c r="G318" s="352"/>
      <c r="H318" s="352"/>
      <c r="I318" s="352"/>
      <c r="J318" s="352"/>
      <c r="K318" s="352"/>
      <c r="L318" s="18"/>
    </row>
    <row r="319" spans="1:12" ht="16">
      <c r="A319" s="18"/>
      <c r="B319" s="352"/>
      <c r="C319" s="352"/>
      <c r="D319" s="352"/>
      <c r="E319" s="352"/>
      <c r="F319" s="352"/>
      <c r="G319" s="352"/>
      <c r="H319" s="352"/>
      <c r="I319" s="352"/>
      <c r="J319" s="352"/>
      <c r="K319" s="352"/>
      <c r="L319" s="18"/>
    </row>
    <row r="320" spans="1:12" ht="16">
      <c r="A320" s="18"/>
      <c r="B320" s="352"/>
      <c r="C320" s="352"/>
      <c r="D320" s="352"/>
      <c r="E320" s="352"/>
      <c r="F320" s="352"/>
      <c r="G320" s="352"/>
      <c r="H320" s="352"/>
      <c r="I320" s="352"/>
      <c r="J320" s="352"/>
      <c r="K320" s="352"/>
      <c r="L320" s="18"/>
    </row>
    <row r="321" spans="1:12" ht="16">
      <c r="A321" s="18"/>
      <c r="B321" s="352"/>
      <c r="C321" s="352"/>
      <c r="D321" s="352"/>
      <c r="E321" s="352"/>
      <c r="F321" s="352"/>
      <c r="G321" s="352"/>
      <c r="H321" s="352"/>
      <c r="I321" s="352"/>
      <c r="J321" s="352"/>
      <c r="K321" s="352"/>
      <c r="L321" s="18"/>
    </row>
    <row r="322" spans="1:12" ht="16">
      <c r="A322" s="18"/>
      <c r="B322" s="352"/>
      <c r="C322" s="352"/>
      <c r="D322" s="352"/>
      <c r="E322" s="352"/>
      <c r="F322" s="352"/>
      <c r="G322" s="352"/>
      <c r="H322" s="352"/>
      <c r="I322" s="352"/>
      <c r="J322" s="352"/>
      <c r="K322" s="352"/>
      <c r="L322" s="18"/>
    </row>
    <row r="323" spans="1:12" ht="16">
      <c r="A323" s="18"/>
      <c r="B323" s="352"/>
      <c r="C323" s="352"/>
      <c r="D323" s="352"/>
      <c r="E323" s="352"/>
      <c r="F323" s="352"/>
      <c r="G323" s="352"/>
      <c r="H323" s="352"/>
      <c r="I323" s="352"/>
      <c r="J323" s="352"/>
      <c r="K323" s="352"/>
      <c r="L323" s="18"/>
    </row>
    <row r="324" spans="1:12" ht="16">
      <c r="A324" s="18"/>
      <c r="B324" s="352"/>
      <c r="C324" s="352"/>
      <c r="D324" s="352"/>
      <c r="E324" s="352"/>
      <c r="F324" s="352"/>
      <c r="G324" s="352"/>
      <c r="H324" s="352"/>
      <c r="I324" s="352"/>
      <c r="J324" s="352"/>
      <c r="K324" s="352"/>
      <c r="L324" s="18"/>
    </row>
    <row r="325" spans="1:12" ht="16">
      <c r="A325" s="18"/>
      <c r="B325" s="352"/>
      <c r="C325" s="352"/>
      <c r="D325" s="352"/>
      <c r="E325" s="352"/>
      <c r="F325" s="352"/>
      <c r="G325" s="352"/>
      <c r="H325" s="352"/>
      <c r="I325" s="352"/>
      <c r="J325" s="352"/>
      <c r="K325" s="352"/>
      <c r="L325" s="18"/>
    </row>
    <row r="326" spans="1:12" ht="16">
      <c r="A326" s="18"/>
      <c r="B326" s="352"/>
      <c r="C326" s="352"/>
      <c r="D326" s="352"/>
      <c r="E326" s="352"/>
      <c r="F326" s="352"/>
      <c r="G326" s="352"/>
      <c r="H326" s="352"/>
      <c r="I326" s="352"/>
      <c r="J326" s="352"/>
      <c r="K326" s="352"/>
      <c r="L326" s="18"/>
    </row>
    <row r="327" spans="1:12" ht="16">
      <c r="A327" s="18"/>
      <c r="B327" s="352"/>
      <c r="C327" s="352"/>
      <c r="D327" s="352"/>
      <c r="E327" s="352"/>
      <c r="F327" s="352"/>
      <c r="G327" s="352"/>
      <c r="H327" s="352"/>
      <c r="I327" s="352"/>
      <c r="J327" s="352"/>
      <c r="K327" s="352"/>
      <c r="L327" s="18"/>
    </row>
    <row r="328" spans="1:12" ht="16">
      <c r="A328" s="18"/>
      <c r="B328" s="352"/>
      <c r="C328" s="352"/>
      <c r="D328" s="352"/>
      <c r="E328" s="352"/>
      <c r="F328" s="352"/>
      <c r="G328" s="352"/>
      <c r="H328" s="352"/>
      <c r="I328" s="352"/>
      <c r="J328" s="352"/>
      <c r="K328" s="352"/>
      <c r="L328" s="18"/>
    </row>
    <row r="329" spans="1:12" ht="16">
      <c r="A329" s="18"/>
      <c r="B329" s="352"/>
      <c r="C329" s="352"/>
      <c r="D329" s="352"/>
      <c r="E329" s="352"/>
      <c r="F329" s="352"/>
      <c r="G329" s="352"/>
      <c r="H329" s="352"/>
      <c r="I329" s="352"/>
      <c r="J329" s="352"/>
      <c r="K329" s="352"/>
      <c r="L329" s="18"/>
    </row>
    <row r="330" spans="1:12" ht="16">
      <c r="A330" s="18"/>
      <c r="B330" s="352"/>
      <c r="C330" s="352"/>
      <c r="D330" s="352"/>
      <c r="E330" s="352"/>
      <c r="F330" s="352"/>
      <c r="G330" s="352"/>
      <c r="H330" s="352"/>
      <c r="I330" s="352"/>
      <c r="J330" s="352"/>
      <c r="K330" s="352"/>
      <c r="L330" s="18"/>
    </row>
    <row r="331" spans="1:12" ht="16">
      <c r="A331" s="18"/>
      <c r="B331" s="352"/>
      <c r="C331" s="352"/>
      <c r="D331" s="352"/>
      <c r="E331" s="352"/>
      <c r="F331" s="352"/>
      <c r="G331" s="352"/>
      <c r="H331" s="352"/>
      <c r="I331" s="352"/>
      <c r="J331" s="352"/>
      <c r="K331" s="352"/>
      <c r="L331" s="18"/>
    </row>
    <row r="332" spans="1:12" ht="16">
      <c r="A332" s="18"/>
      <c r="B332" s="352"/>
      <c r="C332" s="352"/>
      <c r="D332" s="352"/>
      <c r="E332" s="352"/>
      <c r="F332" s="352"/>
      <c r="G332" s="352"/>
      <c r="H332" s="352"/>
      <c r="I332" s="352"/>
      <c r="J332" s="352"/>
      <c r="K332" s="352"/>
      <c r="L332" s="18"/>
    </row>
    <row r="333" spans="1:12" ht="16">
      <c r="A333" s="18"/>
      <c r="B333" s="352"/>
      <c r="C333" s="352"/>
      <c r="D333" s="352"/>
      <c r="E333" s="352"/>
      <c r="F333" s="352"/>
      <c r="G333" s="352"/>
      <c r="H333" s="352"/>
      <c r="I333" s="352"/>
      <c r="J333" s="352"/>
      <c r="K333" s="352"/>
      <c r="L333" s="18"/>
    </row>
    <row r="334" spans="1:12" ht="16">
      <c r="A334" s="18"/>
      <c r="B334" s="352"/>
      <c r="C334" s="352"/>
      <c r="D334" s="352"/>
      <c r="E334" s="352"/>
      <c r="F334" s="352"/>
      <c r="G334" s="352"/>
      <c r="H334" s="352"/>
      <c r="I334" s="352"/>
      <c r="J334" s="352"/>
      <c r="K334" s="352"/>
      <c r="L334" s="18"/>
    </row>
    <row r="335" spans="1:12" ht="16">
      <c r="A335" s="18"/>
      <c r="B335" s="352"/>
      <c r="C335" s="352"/>
      <c r="D335" s="352"/>
      <c r="E335" s="352"/>
      <c r="F335" s="352"/>
      <c r="G335" s="352"/>
      <c r="H335" s="352"/>
      <c r="I335" s="352"/>
      <c r="J335" s="352"/>
      <c r="K335" s="352"/>
      <c r="L335" s="18"/>
    </row>
    <row r="336" spans="1:12" ht="16">
      <c r="A336" s="18"/>
      <c r="B336" s="352"/>
      <c r="C336" s="352"/>
      <c r="D336" s="352"/>
      <c r="E336" s="352"/>
      <c r="F336" s="352"/>
      <c r="G336" s="352"/>
      <c r="H336" s="352"/>
      <c r="I336" s="352"/>
      <c r="J336" s="352"/>
      <c r="K336" s="352"/>
      <c r="L336" s="18"/>
    </row>
    <row r="337" spans="1:12" ht="16">
      <c r="A337" s="18"/>
      <c r="B337" s="352"/>
      <c r="C337" s="352"/>
      <c r="D337" s="352"/>
      <c r="E337" s="352"/>
      <c r="F337" s="352"/>
      <c r="G337" s="352"/>
      <c r="H337" s="352"/>
      <c r="I337" s="352"/>
      <c r="J337" s="352"/>
      <c r="K337" s="352"/>
      <c r="L337" s="18"/>
    </row>
    <row r="338" spans="1:12" ht="16">
      <c r="A338" s="18"/>
      <c r="B338" s="352"/>
      <c r="C338" s="352"/>
      <c r="D338" s="352"/>
      <c r="E338" s="352"/>
      <c r="F338" s="352"/>
      <c r="G338" s="352"/>
      <c r="H338" s="352"/>
      <c r="I338" s="352"/>
      <c r="J338" s="352"/>
      <c r="K338" s="352"/>
      <c r="L338" s="18"/>
    </row>
    <row r="339" spans="1:12" ht="16">
      <c r="A339" s="18"/>
      <c r="B339" s="352"/>
      <c r="C339" s="352"/>
      <c r="D339" s="352"/>
      <c r="E339" s="352"/>
      <c r="F339" s="352"/>
      <c r="G339" s="352"/>
      <c r="H339" s="352"/>
      <c r="I339" s="352"/>
      <c r="J339" s="352"/>
      <c r="K339" s="352"/>
      <c r="L339" s="18"/>
    </row>
    <row r="340" spans="1:12" ht="16">
      <c r="A340" s="18"/>
      <c r="B340" s="352"/>
      <c r="C340" s="352"/>
      <c r="D340" s="352"/>
      <c r="E340" s="352"/>
      <c r="F340" s="352"/>
      <c r="G340" s="352"/>
      <c r="H340" s="352"/>
      <c r="I340" s="352"/>
      <c r="J340" s="352"/>
      <c r="K340" s="352"/>
      <c r="L340" s="18"/>
    </row>
    <row r="341" spans="1:12" ht="16">
      <c r="A341" s="18"/>
      <c r="B341" s="352"/>
      <c r="C341" s="352"/>
      <c r="D341" s="352"/>
      <c r="E341" s="352"/>
      <c r="F341" s="352"/>
      <c r="G341" s="352"/>
      <c r="H341" s="352"/>
      <c r="I341" s="352"/>
      <c r="J341" s="352"/>
      <c r="K341" s="352"/>
      <c r="L341" s="18"/>
    </row>
    <row r="342" spans="1:12" ht="16">
      <c r="A342" s="18"/>
      <c r="B342" s="352"/>
      <c r="C342" s="352"/>
      <c r="D342" s="352"/>
      <c r="E342" s="352"/>
      <c r="F342" s="352"/>
      <c r="G342" s="352"/>
      <c r="H342" s="352"/>
      <c r="I342" s="352"/>
      <c r="J342" s="352"/>
      <c r="K342" s="352"/>
      <c r="L342" s="18"/>
    </row>
    <row r="343" spans="1:12" ht="16">
      <c r="A343" s="18"/>
      <c r="B343" s="352"/>
      <c r="C343" s="352"/>
      <c r="D343" s="352"/>
      <c r="E343" s="352"/>
      <c r="F343" s="352"/>
      <c r="G343" s="352"/>
      <c r="H343" s="352"/>
      <c r="I343" s="352"/>
      <c r="J343" s="352"/>
      <c r="K343" s="352"/>
      <c r="L343" s="18"/>
    </row>
    <row r="344" spans="1:12" ht="16">
      <c r="A344" s="18"/>
      <c r="B344" s="352"/>
      <c r="C344" s="352"/>
      <c r="D344" s="352"/>
      <c r="E344" s="352"/>
      <c r="F344" s="352"/>
      <c r="G344" s="352"/>
      <c r="H344" s="352"/>
      <c r="I344" s="352"/>
      <c r="J344" s="352"/>
      <c r="K344" s="352"/>
      <c r="L344" s="18"/>
    </row>
    <row r="345" spans="1:12" ht="16">
      <c r="A345" s="18"/>
      <c r="B345" s="352"/>
      <c r="C345" s="352"/>
      <c r="D345" s="352"/>
      <c r="E345" s="352"/>
      <c r="F345" s="352"/>
      <c r="G345" s="352"/>
      <c r="H345" s="352"/>
      <c r="I345" s="352"/>
      <c r="J345" s="352"/>
      <c r="K345" s="352"/>
      <c r="L345" s="18"/>
    </row>
    <row r="346" spans="1:12" ht="16">
      <c r="A346" s="18"/>
      <c r="B346" s="352"/>
      <c r="C346" s="352"/>
      <c r="D346" s="352"/>
      <c r="E346" s="352"/>
      <c r="F346" s="352"/>
      <c r="G346" s="352"/>
      <c r="H346" s="352"/>
      <c r="I346" s="352"/>
      <c r="J346" s="352"/>
      <c r="K346" s="352"/>
      <c r="L346" s="18"/>
    </row>
    <row r="347" spans="1:12" ht="16">
      <c r="A347" s="18"/>
      <c r="B347" s="352"/>
      <c r="C347" s="352"/>
      <c r="D347" s="352"/>
      <c r="E347" s="352"/>
      <c r="F347" s="352"/>
      <c r="G347" s="352"/>
      <c r="H347" s="352"/>
      <c r="I347" s="352"/>
      <c r="J347" s="352"/>
      <c r="K347" s="352"/>
      <c r="L347" s="18"/>
    </row>
    <row r="348" spans="1:12" ht="16">
      <c r="A348" s="18"/>
      <c r="B348" s="352"/>
      <c r="C348" s="352"/>
      <c r="D348" s="352"/>
      <c r="E348" s="352"/>
      <c r="F348" s="352"/>
      <c r="G348" s="352"/>
      <c r="H348" s="352"/>
      <c r="I348" s="352"/>
      <c r="J348" s="352"/>
      <c r="K348" s="352"/>
      <c r="L348" s="18"/>
    </row>
    <row r="349" spans="1:12" ht="16">
      <c r="A349" s="18"/>
      <c r="B349" s="352"/>
      <c r="C349" s="352"/>
      <c r="D349" s="352"/>
      <c r="E349" s="352"/>
      <c r="F349" s="352"/>
      <c r="G349" s="352"/>
      <c r="H349" s="352"/>
      <c r="I349" s="352"/>
      <c r="J349" s="352"/>
      <c r="K349" s="352"/>
      <c r="L349" s="18"/>
    </row>
    <row r="350" spans="1:12" ht="16">
      <c r="A350" s="18"/>
      <c r="B350" s="352"/>
      <c r="C350" s="352"/>
      <c r="D350" s="352"/>
      <c r="E350" s="352"/>
      <c r="F350" s="352"/>
      <c r="G350" s="352"/>
      <c r="H350" s="352"/>
      <c r="I350" s="352"/>
      <c r="J350" s="352"/>
      <c r="K350" s="352"/>
      <c r="L350" s="18"/>
    </row>
    <row r="351" spans="1:12" ht="16">
      <c r="A351" s="18"/>
      <c r="B351" s="352"/>
      <c r="C351" s="352"/>
      <c r="D351" s="352"/>
      <c r="E351" s="352"/>
      <c r="F351" s="352"/>
      <c r="G351" s="352"/>
      <c r="H351" s="352"/>
      <c r="I351" s="352"/>
      <c r="J351" s="352"/>
      <c r="K351" s="352"/>
      <c r="L351" s="18"/>
    </row>
    <row r="352" spans="1:12" ht="16">
      <c r="A352" s="18"/>
      <c r="B352" s="352"/>
      <c r="C352" s="352"/>
      <c r="D352" s="352"/>
      <c r="E352" s="352"/>
      <c r="F352" s="352"/>
      <c r="G352" s="352"/>
      <c r="H352" s="352"/>
      <c r="I352" s="352"/>
      <c r="J352" s="352"/>
      <c r="K352" s="352"/>
      <c r="L352" s="18"/>
    </row>
    <row r="353" spans="1:12" ht="16">
      <c r="A353" s="18"/>
      <c r="B353" s="352"/>
      <c r="C353" s="352"/>
      <c r="D353" s="352"/>
      <c r="E353" s="352"/>
      <c r="F353" s="352"/>
      <c r="G353" s="352"/>
      <c r="H353" s="352"/>
      <c r="I353" s="352"/>
      <c r="J353" s="352"/>
      <c r="K353" s="352"/>
      <c r="L353" s="18"/>
    </row>
    <row r="354" spans="1:12" ht="16">
      <c r="A354" s="18"/>
      <c r="B354" s="352"/>
      <c r="C354" s="352"/>
      <c r="D354" s="352"/>
      <c r="E354" s="352"/>
      <c r="F354" s="352"/>
      <c r="G354" s="352"/>
      <c r="H354" s="352"/>
      <c r="I354" s="352"/>
      <c r="J354" s="352"/>
      <c r="K354" s="352"/>
      <c r="L354" s="18"/>
    </row>
    <row r="355" spans="1:12" ht="16">
      <c r="A355" s="18"/>
      <c r="B355" s="352"/>
      <c r="C355" s="352"/>
      <c r="D355" s="352"/>
      <c r="E355" s="352"/>
      <c r="F355" s="352"/>
      <c r="G355" s="352"/>
      <c r="H355" s="352"/>
      <c r="I355" s="352"/>
      <c r="J355" s="352"/>
      <c r="K355" s="352"/>
      <c r="L355" s="18"/>
    </row>
    <row r="356" spans="1:12" ht="16">
      <c r="A356" s="18"/>
      <c r="B356" s="352"/>
      <c r="C356" s="352"/>
      <c r="D356" s="352"/>
      <c r="E356" s="352"/>
      <c r="F356" s="352"/>
      <c r="G356" s="352"/>
      <c r="H356" s="352"/>
      <c r="I356" s="352"/>
      <c r="J356" s="352"/>
      <c r="K356" s="352"/>
      <c r="L356" s="18"/>
    </row>
    <row r="357" spans="1:12" ht="16">
      <c r="A357" s="18"/>
      <c r="B357" s="352"/>
      <c r="C357" s="352"/>
      <c r="D357" s="352"/>
      <c r="E357" s="352"/>
      <c r="F357" s="352"/>
      <c r="G357" s="352"/>
      <c r="H357" s="352"/>
      <c r="I357" s="352"/>
      <c r="J357" s="352"/>
      <c r="K357" s="352"/>
      <c r="L357" s="18"/>
    </row>
    <row r="358" spans="1:12" ht="16">
      <c r="A358" s="18"/>
      <c r="B358" s="352"/>
      <c r="C358" s="352"/>
      <c r="D358" s="352"/>
      <c r="E358" s="352"/>
      <c r="F358" s="352"/>
      <c r="G358" s="352"/>
      <c r="H358" s="352"/>
      <c r="I358" s="352"/>
      <c r="J358" s="352"/>
      <c r="K358" s="352"/>
      <c r="L358" s="18"/>
    </row>
    <row r="359" spans="1:12" ht="16">
      <c r="A359" s="18"/>
      <c r="B359" s="352"/>
      <c r="C359" s="352"/>
      <c r="D359" s="352"/>
      <c r="E359" s="352"/>
      <c r="F359" s="352"/>
      <c r="G359" s="352"/>
      <c r="H359" s="352"/>
      <c r="I359" s="352"/>
      <c r="J359" s="352"/>
      <c r="K359" s="352"/>
      <c r="L359" s="18"/>
    </row>
    <row r="360" spans="1:12" ht="16">
      <c r="A360" s="18"/>
      <c r="B360" s="352"/>
      <c r="C360" s="352"/>
      <c r="D360" s="352"/>
      <c r="E360" s="352"/>
      <c r="F360" s="352"/>
      <c r="G360" s="352"/>
      <c r="H360" s="352"/>
      <c r="I360" s="352"/>
      <c r="J360" s="352"/>
      <c r="K360" s="352"/>
      <c r="L360" s="18"/>
    </row>
    <row r="361" spans="1:12" ht="16">
      <c r="A361" s="18"/>
      <c r="B361" s="352"/>
      <c r="C361" s="352"/>
      <c r="D361" s="352"/>
      <c r="E361" s="352"/>
      <c r="F361" s="352"/>
      <c r="G361" s="352"/>
      <c r="H361" s="352"/>
      <c r="I361" s="352"/>
      <c r="J361" s="352"/>
      <c r="K361" s="352"/>
      <c r="L361" s="18"/>
    </row>
    <row r="362" spans="1:12" ht="16">
      <c r="A362" s="18"/>
      <c r="B362" s="352"/>
      <c r="C362" s="352"/>
      <c r="D362" s="352"/>
      <c r="E362" s="352"/>
      <c r="F362" s="352"/>
      <c r="G362" s="352"/>
      <c r="H362" s="352"/>
      <c r="I362" s="352"/>
      <c r="J362" s="352"/>
      <c r="K362" s="352"/>
      <c r="L362" s="18"/>
    </row>
    <row r="363" spans="1:12" ht="16">
      <c r="A363" s="18"/>
      <c r="B363" s="352"/>
      <c r="C363" s="352"/>
      <c r="D363" s="352"/>
      <c r="E363" s="352"/>
      <c r="F363" s="352"/>
      <c r="G363" s="352"/>
      <c r="H363" s="352"/>
      <c r="I363" s="352"/>
      <c r="J363" s="352"/>
      <c r="K363" s="352"/>
      <c r="L363" s="18"/>
    </row>
    <row r="364" spans="1:12" ht="16">
      <c r="A364" s="18"/>
      <c r="B364" s="352"/>
      <c r="C364" s="352"/>
      <c r="D364" s="352"/>
      <c r="E364" s="352"/>
      <c r="F364" s="352"/>
      <c r="G364" s="352"/>
      <c r="H364" s="352"/>
      <c r="I364" s="352"/>
      <c r="J364" s="352"/>
      <c r="K364" s="352"/>
      <c r="L364" s="18"/>
    </row>
    <row r="365" spans="1:12" ht="16">
      <c r="A365" s="18"/>
      <c r="B365" s="352"/>
      <c r="C365" s="352"/>
      <c r="D365" s="352"/>
      <c r="E365" s="352"/>
      <c r="F365" s="352"/>
      <c r="G365" s="352"/>
      <c r="H365" s="352"/>
      <c r="I365" s="352"/>
      <c r="J365" s="352"/>
      <c r="K365" s="352"/>
      <c r="L365" s="18"/>
    </row>
    <row r="366" spans="1:12" ht="16">
      <c r="A366" s="18"/>
      <c r="B366" s="352"/>
      <c r="C366" s="352"/>
      <c r="D366" s="352"/>
      <c r="E366" s="352"/>
      <c r="F366" s="352"/>
      <c r="G366" s="352"/>
      <c r="H366" s="352"/>
      <c r="I366" s="352"/>
      <c r="J366" s="352"/>
      <c r="K366" s="352"/>
      <c r="L366" s="18"/>
    </row>
    <row r="367" spans="1:12" ht="16">
      <c r="A367" s="18"/>
      <c r="B367" s="352"/>
      <c r="C367" s="352"/>
      <c r="D367" s="352"/>
      <c r="E367" s="352"/>
      <c r="F367" s="352"/>
      <c r="G367" s="352"/>
      <c r="H367" s="352"/>
      <c r="I367" s="352"/>
      <c r="J367" s="352"/>
      <c r="K367" s="352"/>
      <c r="L367" s="18"/>
    </row>
    <row r="368" spans="1:12" ht="16">
      <c r="A368" s="18"/>
      <c r="B368" s="352"/>
      <c r="C368" s="352"/>
      <c r="D368" s="352"/>
      <c r="E368" s="352"/>
      <c r="F368" s="352"/>
      <c r="G368" s="352"/>
      <c r="H368" s="352"/>
      <c r="I368" s="352"/>
      <c r="J368" s="352"/>
      <c r="K368" s="352"/>
      <c r="L368" s="18"/>
    </row>
    <row r="369" spans="1:12" ht="16">
      <c r="A369" s="18"/>
      <c r="B369" s="352"/>
      <c r="C369" s="352"/>
      <c r="D369" s="352"/>
      <c r="E369" s="352"/>
      <c r="F369" s="352"/>
      <c r="G369" s="352"/>
      <c r="H369" s="352"/>
      <c r="I369" s="352"/>
      <c r="J369" s="352"/>
      <c r="K369" s="352"/>
      <c r="L369" s="18"/>
    </row>
    <row r="370" spans="1:12" ht="16">
      <c r="A370" s="18"/>
      <c r="B370" s="352"/>
      <c r="C370" s="352"/>
      <c r="D370" s="352"/>
      <c r="E370" s="352"/>
      <c r="F370" s="352"/>
      <c r="G370" s="352"/>
      <c r="H370" s="352"/>
      <c r="I370" s="352"/>
      <c r="J370" s="352"/>
      <c r="K370" s="352"/>
      <c r="L370" s="18"/>
    </row>
    <row r="371" spans="1:12" ht="16">
      <c r="A371" s="18"/>
      <c r="B371" s="352"/>
      <c r="C371" s="352"/>
      <c r="D371" s="352"/>
      <c r="E371" s="352"/>
      <c r="F371" s="352"/>
      <c r="G371" s="352"/>
      <c r="H371" s="352"/>
      <c r="I371" s="352"/>
      <c r="J371" s="352"/>
      <c r="K371" s="352"/>
      <c r="L371" s="18"/>
    </row>
    <row r="372" spans="1:12" ht="16">
      <c r="A372" s="18"/>
      <c r="B372" s="352"/>
      <c r="C372" s="352"/>
      <c r="D372" s="352"/>
      <c r="E372" s="352"/>
      <c r="F372" s="352"/>
      <c r="G372" s="352"/>
      <c r="H372" s="352"/>
      <c r="I372" s="352"/>
      <c r="J372" s="352"/>
      <c r="K372" s="352"/>
      <c r="L372" s="18"/>
    </row>
    <row r="373" spans="1:12" ht="16">
      <c r="A373" s="18"/>
      <c r="B373" s="352"/>
      <c r="C373" s="352"/>
      <c r="D373" s="352"/>
      <c r="E373" s="352"/>
      <c r="F373" s="352"/>
      <c r="G373" s="352"/>
      <c r="H373" s="352"/>
      <c r="I373" s="352"/>
      <c r="J373" s="352"/>
      <c r="K373" s="352"/>
      <c r="L373" s="18"/>
    </row>
    <row r="374" spans="1:12" ht="16">
      <c r="A374" s="18"/>
      <c r="B374" s="352"/>
      <c r="C374" s="352"/>
      <c r="D374" s="352"/>
      <c r="E374" s="352"/>
      <c r="F374" s="352"/>
      <c r="G374" s="352"/>
      <c r="H374" s="352"/>
      <c r="I374" s="352"/>
      <c r="J374" s="352"/>
      <c r="K374" s="352"/>
      <c r="L374" s="18"/>
    </row>
    <row r="375" spans="1:12" ht="16">
      <c r="A375" s="18"/>
      <c r="B375" s="352"/>
      <c r="C375" s="352"/>
      <c r="D375" s="352"/>
      <c r="E375" s="352"/>
      <c r="F375" s="352"/>
      <c r="G375" s="352"/>
      <c r="H375" s="352"/>
      <c r="I375" s="352"/>
      <c r="J375" s="352"/>
      <c r="K375" s="352"/>
      <c r="L375" s="18"/>
    </row>
    <row r="376" spans="1:12" ht="16">
      <c r="A376" s="18"/>
      <c r="B376" s="352"/>
      <c r="C376" s="352"/>
      <c r="D376" s="352"/>
      <c r="E376" s="352"/>
      <c r="F376" s="352"/>
      <c r="G376" s="352"/>
      <c r="H376" s="352"/>
      <c r="I376" s="352"/>
      <c r="J376" s="352"/>
      <c r="K376" s="352"/>
      <c r="L376" s="18"/>
    </row>
    <row r="377" spans="1:12" ht="16">
      <c r="A377" s="18"/>
      <c r="B377" s="352"/>
      <c r="C377" s="352"/>
      <c r="D377" s="352"/>
      <c r="E377" s="352"/>
      <c r="F377" s="352"/>
      <c r="G377" s="352"/>
      <c r="H377" s="352"/>
      <c r="I377" s="352"/>
      <c r="J377" s="352"/>
      <c r="K377" s="352"/>
      <c r="L377" s="18"/>
    </row>
    <row r="378" spans="1:12" ht="16">
      <c r="A378" s="18"/>
      <c r="B378" s="352"/>
      <c r="C378" s="352"/>
      <c r="D378" s="352"/>
      <c r="E378" s="352"/>
      <c r="F378" s="352"/>
      <c r="G378" s="352"/>
      <c r="H378" s="352"/>
      <c r="I378" s="352"/>
      <c r="J378" s="352"/>
      <c r="K378" s="352"/>
      <c r="L378" s="18"/>
    </row>
    <row r="379" spans="1:12" ht="16">
      <c r="A379" s="18"/>
      <c r="B379" s="352"/>
      <c r="C379" s="352"/>
      <c r="D379" s="352"/>
      <c r="E379" s="352"/>
      <c r="F379" s="352"/>
      <c r="G379" s="352"/>
      <c r="H379" s="352"/>
      <c r="I379" s="352"/>
      <c r="J379" s="352"/>
      <c r="K379" s="352"/>
      <c r="L379" s="18"/>
    </row>
    <row r="380" spans="1:12" ht="16">
      <c r="A380" s="18"/>
      <c r="B380" s="352"/>
      <c r="C380" s="352"/>
      <c r="D380" s="352"/>
      <c r="E380" s="352"/>
      <c r="F380" s="352"/>
      <c r="G380" s="352"/>
      <c r="H380" s="352"/>
      <c r="I380" s="352"/>
      <c r="J380" s="352"/>
      <c r="K380" s="352"/>
      <c r="L380" s="18"/>
    </row>
    <row r="381" spans="1:12" ht="16">
      <c r="A381" s="18"/>
      <c r="B381" s="352"/>
      <c r="C381" s="352"/>
      <c r="D381" s="352"/>
      <c r="E381" s="352"/>
      <c r="F381" s="352"/>
      <c r="G381" s="352"/>
      <c r="H381" s="352"/>
      <c r="I381" s="352"/>
      <c r="J381" s="352"/>
      <c r="K381" s="352"/>
      <c r="L381" s="18"/>
    </row>
    <row r="382" spans="1:12" ht="16">
      <c r="A382" s="18"/>
      <c r="B382" s="352"/>
      <c r="C382" s="352"/>
      <c r="D382" s="352"/>
      <c r="E382" s="352"/>
      <c r="F382" s="352"/>
      <c r="G382" s="352"/>
      <c r="H382" s="352"/>
      <c r="I382" s="352"/>
      <c r="J382" s="352"/>
      <c r="K382" s="352"/>
      <c r="L382" s="18"/>
    </row>
    <row r="383" spans="1:12" ht="16">
      <c r="A383" s="18"/>
      <c r="B383" s="352"/>
      <c r="C383" s="352"/>
      <c r="D383" s="352"/>
      <c r="E383" s="352"/>
      <c r="F383" s="352"/>
      <c r="G383" s="352"/>
      <c r="H383" s="352"/>
      <c r="I383" s="352"/>
      <c r="J383" s="352"/>
      <c r="K383" s="352"/>
      <c r="L383" s="18"/>
    </row>
    <row r="384" spans="1:12" ht="16">
      <c r="A384" s="18"/>
      <c r="B384" s="352"/>
      <c r="C384" s="352"/>
      <c r="D384" s="352"/>
      <c r="E384" s="352"/>
      <c r="F384" s="352"/>
      <c r="G384" s="352"/>
      <c r="H384" s="352"/>
      <c r="I384" s="352"/>
      <c r="J384" s="352"/>
      <c r="K384" s="352"/>
      <c r="L384" s="18"/>
    </row>
    <row r="385" spans="1:12" ht="16">
      <c r="A385" s="18"/>
      <c r="B385" s="352"/>
      <c r="C385" s="352"/>
      <c r="D385" s="352"/>
      <c r="E385" s="352"/>
      <c r="F385" s="352"/>
      <c r="G385" s="352"/>
      <c r="H385" s="352"/>
      <c r="I385" s="352"/>
      <c r="J385" s="352"/>
      <c r="K385" s="352"/>
      <c r="L385" s="18"/>
    </row>
    <row r="386" spans="1:12" ht="16">
      <c r="A386" s="18"/>
      <c r="B386" s="352"/>
      <c r="C386" s="352"/>
      <c r="D386" s="352"/>
      <c r="E386" s="352"/>
      <c r="F386" s="352"/>
      <c r="G386" s="352"/>
      <c r="H386" s="352"/>
      <c r="I386" s="352"/>
      <c r="J386" s="352"/>
      <c r="K386" s="352"/>
      <c r="L386" s="18"/>
    </row>
    <row r="387" spans="1:12" ht="16">
      <c r="A387" s="18"/>
      <c r="B387" s="352"/>
      <c r="C387" s="352"/>
      <c r="D387" s="352"/>
      <c r="E387" s="352"/>
      <c r="F387" s="352"/>
      <c r="G387" s="352"/>
      <c r="H387" s="352"/>
      <c r="I387" s="352"/>
      <c r="J387" s="352"/>
      <c r="K387" s="352"/>
      <c r="L387" s="18"/>
    </row>
    <row r="388" spans="1:12" ht="16">
      <c r="A388" s="18"/>
      <c r="B388" s="352"/>
      <c r="C388" s="352"/>
      <c r="D388" s="352"/>
      <c r="E388" s="352"/>
      <c r="F388" s="352"/>
      <c r="G388" s="352"/>
      <c r="H388" s="352"/>
      <c r="I388" s="352"/>
      <c r="J388" s="352"/>
      <c r="K388" s="352"/>
      <c r="L388" s="18"/>
    </row>
    <row r="389" spans="1:12" ht="16">
      <c r="A389" s="18"/>
      <c r="B389" s="352"/>
      <c r="C389" s="352"/>
      <c r="D389" s="352"/>
      <c r="E389" s="352"/>
      <c r="F389" s="352"/>
      <c r="G389" s="352"/>
      <c r="H389" s="352"/>
      <c r="I389" s="352"/>
      <c r="J389" s="352"/>
      <c r="K389" s="352"/>
      <c r="L389" s="18"/>
    </row>
    <row r="390" spans="1:12" ht="16">
      <c r="A390" s="18"/>
      <c r="B390" s="352"/>
      <c r="C390" s="352"/>
      <c r="D390" s="352"/>
      <c r="E390" s="352"/>
      <c r="F390" s="352"/>
      <c r="G390" s="352"/>
      <c r="H390" s="352"/>
      <c r="I390" s="352"/>
      <c r="J390" s="352"/>
      <c r="K390" s="352"/>
      <c r="L390" s="18"/>
    </row>
    <row r="391" spans="1:12" ht="16">
      <c r="A391" s="18"/>
      <c r="B391" s="352"/>
      <c r="C391" s="352"/>
      <c r="D391" s="352"/>
      <c r="E391" s="352"/>
      <c r="F391" s="352"/>
      <c r="G391" s="352"/>
      <c r="H391" s="352"/>
      <c r="I391" s="352"/>
      <c r="J391" s="352"/>
      <c r="K391" s="352"/>
      <c r="L391" s="18"/>
    </row>
    <row r="392" spans="1:12" ht="16">
      <c r="A392" s="18"/>
      <c r="B392" s="352"/>
      <c r="C392" s="352"/>
      <c r="D392" s="352"/>
      <c r="E392" s="352"/>
      <c r="F392" s="352"/>
      <c r="G392" s="352"/>
      <c r="H392" s="352"/>
      <c r="I392" s="352"/>
      <c r="J392" s="352"/>
      <c r="K392" s="352"/>
      <c r="L392" s="18"/>
    </row>
    <row r="393" spans="1:12" ht="16">
      <c r="A393" s="18"/>
      <c r="B393" s="352"/>
      <c r="C393" s="352"/>
      <c r="D393" s="352"/>
      <c r="E393" s="352"/>
      <c r="F393" s="352"/>
      <c r="G393" s="352"/>
      <c r="H393" s="352"/>
      <c r="I393" s="352"/>
      <c r="J393" s="352"/>
      <c r="K393" s="352"/>
      <c r="L393" s="18"/>
    </row>
    <row r="394" spans="1:12" ht="16">
      <c r="A394" s="18"/>
      <c r="B394" s="352"/>
      <c r="C394" s="352"/>
      <c r="D394" s="352"/>
      <c r="E394" s="352"/>
      <c r="F394" s="352"/>
      <c r="G394" s="352"/>
      <c r="H394" s="352"/>
      <c r="I394" s="352"/>
      <c r="J394" s="352"/>
      <c r="K394" s="352"/>
      <c r="L394" s="18"/>
    </row>
    <row r="395" spans="1:12" ht="16">
      <c r="A395" s="18"/>
      <c r="B395" s="352"/>
      <c r="C395" s="352"/>
      <c r="D395" s="352"/>
      <c r="E395" s="352"/>
      <c r="F395" s="352"/>
      <c r="G395" s="352"/>
      <c r="H395" s="352"/>
      <c r="I395" s="352"/>
      <c r="J395" s="352"/>
      <c r="K395" s="352"/>
      <c r="L395" s="18"/>
    </row>
    <row r="396" spans="1:12" ht="16">
      <c r="A396" s="18"/>
      <c r="B396" s="352"/>
      <c r="C396" s="352"/>
      <c r="D396" s="352"/>
      <c r="E396" s="352"/>
      <c r="F396" s="352"/>
      <c r="G396" s="352"/>
      <c r="H396" s="352"/>
      <c r="I396" s="352"/>
      <c r="J396" s="352"/>
      <c r="K396" s="352"/>
      <c r="L396" s="18"/>
    </row>
    <row r="397" spans="1:12" ht="16">
      <c r="A397" s="18"/>
      <c r="B397" s="352"/>
      <c r="C397" s="352"/>
      <c r="D397" s="352"/>
      <c r="E397" s="352"/>
      <c r="F397" s="352"/>
      <c r="G397" s="352"/>
      <c r="H397" s="352"/>
      <c r="I397" s="352"/>
      <c r="J397" s="352"/>
      <c r="K397" s="352"/>
      <c r="L397" s="18"/>
    </row>
    <row r="398" spans="1:12" ht="16">
      <c r="A398" s="18"/>
      <c r="B398" s="352"/>
      <c r="C398" s="352"/>
      <c r="D398" s="352"/>
      <c r="E398" s="352"/>
      <c r="F398" s="352"/>
      <c r="G398" s="352"/>
      <c r="H398" s="352"/>
      <c r="I398" s="352"/>
      <c r="J398" s="352"/>
      <c r="K398" s="352"/>
      <c r="L398" s="18"/>
    </row>
    <row r="399" spans="1:12" ht="16">
      <c r="A399" s="18"/>
      <c r="B399" s="352"/>
      <c r="C399" s="352"/>
      <c r="D399" s="352"/>
      <c r="E399" s="352"/>
      <c r="F399" s="352"/>
      <c r="G399" s="352"/>
      <c r="H399" s="352"/>
      <c r="I399" s="352"/>
      <c r="J399" s="352"/>
      <c r="K399" s="352"/>
      <c r="L399" s="18"/>
    </row>
    <row r="400" spans="1:12" ht="16">
      <c r="A400" s="18"/>
      <c r="B400" s="352"/>
      <c r="C400" s="352"/>
      <c r="D400" s="352"/>
      <c r="E400" s="352"/>
      <c r="F400" s="352"/>
      <c r="G400" s="352"/>
      <c r="H400" s="352"/>
      <c r="I400" s="352"/>
      <c r="J400" s="352"/>
      <c r="K400" s="352"/>
      <c r="L400" s="18"/>
    </row>
    <row r="401" spans="1:12" ht="16">
      <c r="A401" s="18"/>
      <c r="B401" s="352"/>
      <c r="C401" s="352"/>
      <c r="D401" s="352"/>
      <c r="E401" s="352"/>
      <c r="F401" s="352"/>
      <c r="G401" s="352"/>
      <c r="H401" s="352"/>
      <c r="I401" s="352"/>
      <c r="J401" s="352"/>
      <c r="K401" s="352"/>
      <c r="L401" s="18"/>
    </row>
    <row r="402" spans="1:12" ht="16">
      <c r="A402" s="18"/>
      <c r="B402" s="352"/>
      <c r="C402" s="352"/>
      <c r="D402" s="352"/>
      <c r="E402" s="352"/>
      <c r="F402" s="352"/>
      <c r="G402" s="352"/>
      <c r="H402" s="352"/>
      <c r="I402" s="352"/>
      <c r="J402" s="352"/>
      <c r="K402" s="352"/>
      <c r="L402" s="18"/>
    </row>
    <row r="403" spans="1:12" ht="16">
      <c r="A403" s="18"/>
      <c r="B403" s="352"/>
      <c r="C403" s="352"/>
      <c r="D403" s="352"/>
      <c r="E403" s="352"/>
      <c r="F403" s="352"/>
      <c r="G403" s="352"/>
      <c r="H403" s="352"/>
      <c r="I403" s="352"/>
      <c r="J403" s="352"/>
      <c r="K403" s="352"/>
      <c r="L403" s="18"/>
    </row>
    <row r="404" spans="1:12" ht="16">
      <c r="A404" s="18"/>
      <c r="B404" s="352"/>
      <c r="C404" s="352"/>
      <c r="D404" s="352"/>
      <c r="E404" s="352"/>
      <c r="F404" s="352"/>
      <c r="G404" s="352"/>
      <c r="H404" s="352"/>
      <c r="I404" s="352"/>
      <c r="J404" s="352"/>
      <c r="K404" s="352"/>
      <c r="L404" s="18"/>
    </row>
    <row r="405" spans="1:12" ht="16">
      <c r="A405" s="18"/>
      <c r="B405" s="352"/>
      <c r="C405" s="352"/>
      <c r="D405" s="352"/>
      <c r="E405" s="352"/>
      <c r="F405" s="352"/>
      <c r="G405" s="352"/>
      <c r="H405" s="352"/>
      <c r="I405" s="352"/>
      <c r="J405" s="352"/>
      <c r="K405" s="352"/>
      <c r="L405" s="18"/>
    </row>
    <row r="406" spans="1:12" ht="16">
      <c r="A406" s="18"/>
      <c r="B406" s="352"/>
      <c r="C406" s="352"/>
      <c r="D406" s="352"/>
      <c r="E406" s="352"/>
      <c r="F406" s="352"/>
      <c r="G406" s="352"/>
      <c r="H406" s="352"/>
      <c r="I406" s="352"/>
      <c r="J406" s="352"/>
      <c r="K406" s="352"/>
      <c r="L406" s="18"/>
    </row>
    <row r="407" spans="1:12" ht="16">
      <c r="A407" s="18"/>
      <c r="B407" s="352"/>
      <c r="C407" s="352"/>
      <c r="D407" s="352"/>
      <c r="E407" s="352"/>
      <c r="F407" s="352"/>
      <c r="G407" s="352"/>
      <c r="H407" s="352"/>
      <c r="I407" s="352"/>
      <c r="J407" s="352"/>
      <c r="K407" s="352"/>
      <c r="L407" s="18"/>
    </row>
    <row r="408" spans="1:12" ht="16">
      <c r="A408" s="18"/>
      <c r="B408" s="352"/>
      <c r="C408" s="352"/>
      <c r="D408" s="352"/>
      <c r="E408" s="352"/>
      <c r="F408" s="352"/>
      <c r="G408" s="352"/>
      <c r="H408" s="352"/>
      <c r="I408" s="352"/>
      <c r="J408" s="352"/>
      <c r="K408" s="352"/>
      <c r="L408" s="18"/>
    </row>
    <row r="409" spans="1:12" ht="16">
      <c r="A409" s="18"/>
      <c r="B409" s="352"/>
      <c r="C409" s="352"/>
      <c r="D409" s="352"/>
      <c r="E409" s="352"/>
      <c r="F409" s="352"/>
      <c r="G409" s="352"/>
      <c r="H409" s="352"/>
      <c r="I409" s="352"/>
      <c r="J409" s="352"/>
      <c r="K409" s="352"/>
      <c r="L409" s="18"/>
    </row>
    <row r="410" spans="1:12" ht="16">
      <c r="A410" s="18"/>
      <c r="B410" s="352"/>
      <c r="C410" s="352"/>
      <c r="D410" s="352"/>
      <c r="E410" s="352"/>
      <c r="F410" s="352"/>
      <c r="G410" s="352"/>
      <c r="H410" s="352"/>
      <c r="I410" s="352"/>
      <c r="J410" s="352"/>
      <c r="K410" s="352"/>
      <c r="L410" s="18"/>
    </row>
    <row r="411" spans="1:12" ht="16">
      <c r="A411" s="18"/>
      <c r="B411" s="352"/>
      <c r="C411" s="352"/>
      <c r="D411" s="352"/>
      <c r="E411" s="352"/>
      <c r="F411" s="352"/>
      <c r="G411" s="352"/>
      <c r="H411" s="352"/>
      <c r="I411" s="352"/>
      <c r="J411" s="352"/>
      <c r="K411" s="352"/>
      <c r="L411" s="18"/>
    </row>
    <row r="412" spans="1:12" ht="16">
      <c r="A412" s="18"/>
      <c r="B412" s="352"/>
      <c r="C412" s="352"/>
      <c r="D412" s="352"/>
      <c r="E412" s="352"/>
      <c r="F412" s="352"/>
      <c r="G412" s="352"/>
      <c r="H412" s="352"/>
      <c r="I412" s="352"/>
      <c r="J412" s="352"/>
      <c r="K412" s="352"/>
      <c r="L412" s="18"/>
    </row>
    <row r="413" spans="1:12" ht="16">
      <c r="A413" s="18"/>
      <c r="B413" s="352"/>
      <c r="C413" s="352"/>
      <c r="D413" s="352"/>
      <c r="E413" s="352"/>
      <c r="F413" s="352"/>
      <c r="G413" s="352"/>
      <c r="H413" s="352"/>
      <c r="I413" s="352"/>
      <c r="J413" s="352"/>
      <c r="K413" s="352"/>
      <c r="L413" s="18"/>
    </row>
    <row r="414" spans="1:12" ht="16">
      <c r="A414" s="18"/>
      <c r="B414" s="352"/>
      <c r="C414" s="352"/>
      <c r="D414" s="352"/>
      <c r="E414" s="352"/>
      <c r="F414" s="352"/>
      <c r="G414" s="352"/>
      <c r="H414" s="352"/>
      <c r="I414" s="352"/>
      <c r="J414" s="352"/>
      <c r="K414" s="352"/>
      <c r="L414" s="18"/>
    </row>
    <row r="415" spans="1:12" ht="16">
      <c r="A415" s="18"/>
      <c r="B415" s="352"/>
      <c r="C415" s="352"/>
      <c r="D415" s="352"/>
      <c r="E415" s="352"/>
      <c r="F415" s="352"/>
      <c r="G415" s="352"/>
      <c r="H415" s="352"/>
      <c r="I415" s="352"/>
      <c r="J415" s="352"/>
      <c r="K415" s="352"/>
      <c r="L415" s="18"/>
    </row>
    <row r="416" spans="1:12" ht="16">
      <c r="A416" s="18"/>
      <c r="B416" s="352"/>
      <c r="C416" s="352"/>
      <c r="D416" s="352"/>
      <c r="E416" s="352"/>
      <c r="F416" s="352"/>
      <c r="G416" s="352"/>
      <c r="H416" s="352"/>
      <c r="I416" s="352"/>
      <c r="J416" s="352"/>
      <c r="K416" s="352"/>
      <c r="L416" s="18"/>
    </row>
    <row r="417" spans="1:12" ht="16">
      <c r="A417" s="18"/>
      <c r="B417" s="352"/>
      <c r="C417" s="352"/>
      <c r="D417" s="352"/>
      <c r="E417" s="352"/>
      <c r="F417" s="352"/>
      <c r="G417" s="352"/>
      <c r="H417" s="352"/>
      <c r="I417" s="352"/>
      <c r="J417" s="352"/>
      <c r="K417" s="352"/>
      <c r="L417" s="18"/>
    </row>
    <row r="418" spans="1:12" ht="16">
      <c r="A418" s="18"/>
      <c r="B418" s="352"/>
      <c r="C418" s="352"/>
      <c r="D418" s="352"/>
      <c r="E418" s="352"/>
      <c r="F418" s="352"/>
      <c r="G418" s="352"/>
      <c r="H418" s="352"/>
      <c r="I418" s="352"/>
      <c r="J418" s="352"/>
      <c r="K418" s="352"/>
      <c r="L418" s="18"/>
    </row>
    <row r="419" spans="1:12" ht="16">
      <c r="A419" s="18"/>
      <c r="B419" s="352"/>
      <c r="C419" s="352"/>
      <c r="D419" s="352"/>
      <c r="E419" s="352"/>
      <c r="F419" s="352"/>
      <c r="G419" s="352"/>
      <c r="H419" s="352"/>
      <c r="I419" s="352"/>
      <c r="J419" s="352"/>
      <c r="K419" s="352"/>
      <c r="L419" s="18"/>
    </row>
    <row r="420" spans="1:12" ht="16">
      <c r="A420" s="18"/>
      <c r="B420" s="352"/>
      <c r="C420" s="352"/>
      <c r="D420" s="352"/>
      <c r="E420" s="352"/>
      <c r="F420" s="352"/>
      <c r="G420" s="352"/>
      <c r="H420" s="352"/>
      <c r="I420" s="352"/>
      <c r="J420" s="352"/>
      <c r="K420" s="352"/>
      <c r="L420" s="18"/>
    </row>
    <row r="421" spans="1:12" ht="16">
      <c r="A421" s="18"/>
      <c r="B421" s="352"/>
      <c r="C421" s="352"/>
      <c r="D421" s="352"/>
      <c r="E421" s="352"/>
      <c r="F421" s="352"/>
      <c r="G421" s="352"/>
      <c r="H421" s="352"/>
      <c r="I421" s="352"/>
      <c r="J421" s="352"/>
      <c r="K421" s="352"/>
      <c r="L421" s="18"/>
    </row>
    <row r="422" spans="1:12" ht="16">
      <c r="A422" s="18"/>
      <c r="B422" s="352"/>
      <c r="C422" s="352"/>
      <c r="D422" s="352"/>
      <c r="E422" s="352"/>
      <c r="F422" s="352"/>
      <c r="G422" s="352"/>
      <c r="H422" s="352"/>
      <c r="I422" s="352"/>
      <c r="J422" s="352"/>
      <c r="K422" s="352"/>
      <c r="L422" s="18"/>
    </row>
    <row r="423" spans="1:12" ht="16">
      <c r="A423" s="18"/>
      <c r="B423" s="352"/>
      <c r="C423" s="352"/>
      <c r="D423" s="352"/>
      <c r="E423" s="352"/>
      <c r="F423" s="352"/>
      <c r="G423" s="352"/>
      <c r="H423" s="352"/>
      <c r="I423" s="352"/>
      <c r="J423" s="352"/>
      <c r="K423" s="352"/>
      <c r="L423" s="18"/>
    </row>
    <row r="424" spans="1:12" ht="16">
      <c r="A424" s="18"/>
      <c r="B424" s="352"/>
      <c r="C424" s="352"/>
      <c r="D424" s="352"/>
      <c r="E424" s="352"/>
      <c r="F424" s="352"/>
      <c r="G424" s="352"/>
      <c r="H424" s="352"/>
      <c r="I424" s="352"/>
      <c r="J424" s="352"/>
      <c r="K424" s="352"/>
      <c r="L424" s="18"/>
    </row>
    <row r="425" spans="1:12" ht="16">
      <c r="A425" s="18"/>
      <c r="B425" s="352"/>
      <c r="C425" s="352"/>
      <c r="D425" s="352"/>
      <c r="E425" s="352"/>
      <c r="F425" s="352"/>
      <c r="G425" s="352"/>
      <c r="H425" s="352"/>
      <c r="I425" s="352"/>
      <c r="J425" s="352"/>
      <c r="K425" s="352"/>
      <c r="L425" s="18"/>
    </row>
    <row r="426" spans="1:12" ht="16">
      <c r="A426" s="18"/>
      <c r="B426" s="352"/>
      <c r="C426" s="352"/>
      <c r="D426" s="352"/>
      <c r="E426" s="352"/>
      <c r="F426" s="352"/>
      <c r="G426" s="352"/>
      <c r="H426" s="352"/>
      <c r="I426" s="352"/>
      <c r="J426" s="352"/>
      <c r="K426" s="352"/>
      <c r="L426" s="18"/>
    </row>
    <row r="427" spans="1:12" ht="16">
      <c r="A427" s="18"/>
      <c r="B427" s="352"/>
      <c r="C427" s="352"/>
      <c r="D427" s="352"/>
      <c r="E427" s="352"/>
      <c r="F427" s="352"/>
      <c r="G427" s="352"/>
      <c r="H427" s="352"/>
      <c r="I427" s="352"/>
      <c r="J427" s="352"/>
      <c r="K427" s="352"/>
      <c r="L427" s="18"/>
    </row>
    <row r="428" spans="1:12" ht="16">
      <c r="A428" s="18"/>
      <c r="B428" s="352"/>
      <c r="C428" s="352"/>
      <c r="D428" s="352"/>
      <c r="E428" s="352"/>
      <c r="F428" s="352"/>
      <c r="G428" s="352"/>
      <c r="H428" s="352"/>
      <c r="I428" s="352"/>
      <c r="J428" s="352"/>
      <c r="K428" s="352"/>
      <c r="L428" s="18"/>
    </row>
    <row r="429" spans="1:12" ht="16">
      <c r="A429" s="18"/>
      <c r="B429" s="352"/>
      <c r="C429" s="352"/>
      <c r="D429" s="352"/>
      <c r="E429" s="352"/>
      <c r="F429" s="352"/>
      <c r="G429" s="352"/>
      <c r="H429" s="352"/>
      <c r="I429" s="352"/>
      <c r="J429" s="352"/>
      <c r="K429" s="352"/>
      <c r="L429" s="18"/>
    </row>
    <row r="430" spans="1:12" ht="16">
      <c r="A430" s="18"/>
      <c r="B430" s="352"/>
      <c r="C430" s="352"/>
      <c r="D430" s="352"/>
      <c r="E430" s="352"/>
      <c r="F430" s="352"/>
      <c r="G430" s="352"/>
      <c r="H430" s="352"/>
      <c r="I430" s="352"/>
      <c r="J430" s="352"/>
      <c r="K430" s="352"/>
      <c r="L430" s="18"/>
    </row>
    <row r="431" spans="1:12" ht="16">
      <c r="A431" s="18"/>
      <c r="B431" s="352"/>
      <c r="C431" s="352"/>
      <c r="D431" s="352"/>
      <c r="E431" s="352"/>
      <c r="F431" s="352"/>
      <c r="G431" s="352"/>
      <c r="H431" s="352"/>
      <c r="I431" s="352"/>
      <c r="J431" s="352"/>
      <c r="K431" s="352"/>
      <c r="L431" s="18"/>
    </row>
    <row r="432" spans="1:12" ht="16">
      <c r="A432" s="18"/>
      <c r="B432" s="352"/>
      <c r="C432" s="352"/>
      <c r="D432" s="352"/>
      <c r="E432" s="352"/>
      <c r="F432" s="352"/>
      <c r="G432" s="352"/>
      <c r="H432" s="352"/>
      <c r="I432" s="352"/>
      <c r="J432" s="352"/>
      <c r="K432" s="352"/>
      <c r="L432" s="18"/>
    </row>
    <row r="433" spans="1:12" ht="16">
      <c r="A433" s="18"/>
      <c r="B433" s="352"/>
      <c r="C433" s="352"/>
      <c r="D433" s="352"/>
      <c r="E433" s="352"/>
      <c r="F433" s="352"/>
      <c r="G433" s="352"/>
      <c r="H433" s="352"/>
      <c r="I433" s="352"/>
      <c r="J433" s="352"/>
      <c r="K433" s="352"/>
      <c r="L433" s="18"/>
    </row>
    <row r="434" spans="1:12" ht="16">
      <c r="A434" s="18"/>
      <c r="B434" s="352"/>
      <c r="C434" s="352"/>
      <c r="D434" s="352"/>
      <c r="E434" s="352"/>
      <c r="F434" s="352"/>
      <c r="G434" s="352"/>
      <c r="H434" s="352"/>
      <c r="I434" s="352"/>
      <c r="J434" s="352"/>
      <c r="K434" s="352"/>
      <c r="L434" s="18"/>
    </row>
    <row r="435" spans="1:12" ht="16">
      <c r="A435" s="18"/>
      <c r="B435" s="352"/>
      <c r="C435" s="352"/>
      <c r="D435" s="352"/>
      <c r="E435" s="352"/>
      <c r="F435" s="352"/>
      <c r="G435" s="352"/>
      <c r="H435" s="352"/>
      <c r="I435" s="352"/>
      <c r="J435" s="352"/>
      <c r="K435" s="352"/>
      <c r="L435" s="18"/>
    </row>
    <row r="436" spans="1:12" ht="16">
      <c r="A436" s="18"/>
      <c r="B436" s="352"/>
      <c r="C436" s="352"/>
      <c r="D436" s="352"/>
      <c r="E436" s="352"/>
      <c r="F436" s="352"/>
      <c r="G436" s="352"/>
      <c r="H436" s="352"/>
      <c r="I436" s="352"/>
      <c r="J436" s="352"/>
      <c r="K436" s="352"/>
      <c r="L436" s="18"/>
    </row>
    <row r="437" spans="1:12" ht="16">
      <c r="A437" s="18"/>
      <c r="B437" s="352"/>
      <c r="C437" s="352"/>
      <c r="D437" s="352"/>
      <c r="E437" s="352"/>
      <c r="F437" s="352"/>
      <c r="G437" s="352"/>
      <c r="H437" s="352"/>
      <c r="I437" s="352"/>
      <c r="J437" s="352"/>
      <c r="K437" s="352"/>
      <c r="L437" s="18"/>
    </row>
    <row r="438" spans="1:12" ht="16">
      <c r="A438" s="18"/>
      <c r="B438" s="352"/>
      <c r="C438" s="352"/>
      <c r="D438" s="352"/>
      <c r="E438" s="352"/>
      <c r="F438" s="352"/>
      <c r="G438" s="352"/>
      <c r="H438" s="352"/>
      <c r="I438" s="352"/>
      <c r="J438" s="352"/>
      <c r="K438" s="352"/>
      <c r="L438" s="18"/>
    </row>
    <row r="439" spans="1:12" ht="16">
      <c r="A439" s="18"/>
      <c r="B439" s="352"/>
      <c r="C439" s="352"/>
      <c r="D439" s="352"/>
      <c r="E439" s="352"/>
      <c r="F439" s="352"/>
      <c r="G439" s="352"/>
      <c r="H439" s="352"/>
      <c r="I439" s="352"/>
      <c r="J439" s="352"/>
      <c r="K439" s="352"/>
      <c r="L439" s="18"/>
    </row>
    <row r="440" spans="1:12" ht="16">
      <c r="A440" s="18"/>
      <c r="B440" s="352"/>
      <c r="C440" s="352"/>
      <c r="D440" s="352"/>
      <c r="E440" s="352"/>
      <c r="F440" s="352"/>
      <c r="G440" s="352"/>
      <c r="H440" s="352"/>
      <c r="I440" s="352"/>
      <c r="J440" s="352"/>
      <c r="K440" s="352"/>
      <c r="L440" s="18"/>
    </row>
    <row r="441" spans="1:12" ht="16">
      <c r="A441" s="18"/>
      <c r="B441" s="352"/>
      <c r="C441" s="352"/>
      <c r="D441" s="352"/>
      <c r="E441" s="352"/>
      <c r="F441" s="352"/>
      <c r="G441" s="352"/>
      <c r="H441" s="352"/>
      <c r="I441" s="352"/>
      <c r="J441" s="352"/>
      <c r="K441" s="352"/>
      <c r="L441" s="18"/>
    </row>
    <row r="442" spans="1:12" ht="16">
      <c r="A442" s="18"/>
      <c r="B442" s="352"/>
      <c r="C442" s="352"/>
      <c r="D442" s="352"/>
      <c r="E442" s="352"/>
      <c r="F442" s="352"/>
      <c r="G442" s="352"/>
      <c r="H442" s="352"/>
      <c r="I442" s="352"/>
      <c r="J442" s="352"/>
      <c r="K442" s="352"/>
      <c r="L442" s="18"/>
    </row>
    <row r="443" spans="1:12" ht="16">
      <c r="A443" s="18"/>
      <c r="B443" s="352"/>
      <c r="C443" s="352"/>
      <c r="D443" s="352"/>
      <c r="E443" s="352"/>
      <c r="F443" s="352"/>
      <c r="G443" s="352"/>
      <c r="H443" s="352"/>
      <c r="I443" s="352"/>
      <c r="J443" s="352"/>
      <c r="K443" s="352"/>
      <c r="L443" s="18"/>
    </row>
    <row r="444" spans="1:12" ht="16">
      <c r="A444" s="18"/>
      <c r="B444" s="352"/>
      <c r="C444" s="352"/>
      <c r="D444" s="352"/>
      <c r="E444" s="352"/>
      <c r="F444" s="352"/>
      <c r="G444" s="352"/>
      <c r="H444" s="352"/>
      <c r="I444" s="352"/>
      <c r="J444" s="352"/>
      <c r="K444" s="352"/>
      <c r="L444" s="18"/>
    </row>
    <row r="445" spans="1:12" ht="16">
      <c r="A445" s="18"/>
      <c r="B445" s="352"/>
      <c r="C445" s="352"/>
      <c r="D445" s="352"/>
      <c r="E445" s="352"/>
      <c r="F445" s="352"/>
      <c r="G445" s="352"/>
      <c r="H445" s="352"/>
      <c r="I445" s="352"/>
      <c r="J445" s="352"/>
      <c r="K445" s="352"/>
      <c r="L445" s="18"/>
    </row>
    <row r="446" spans="1:12" ht="16">
      <c r="A446" s="18"/>
      <c r="B446" s="352"/>
      <c r="C446" s="352"/>
      <c r="D446" s="352"/>
      <c r="E446" s="352"/>
      <c r="F446" s="352"/>
      <c r="G446" s="352"/>
      <c r="H446" s="352"/>
      <c r="I446" s="352"/>
      <c r="J446" s="352"/>
      <c r="K446" s="352"/>
      <c r="L446" s="18"/>
    </row>
    <row r="447" spans="1:12" ht="16">
      <c r="A447" s="18"/>
      <c r="B447" s="352"/>
      <c r="C447" s="352"/>
      <c r="D447" s="352"/>
      <c r="E447" s="352"/>
      <c r="F447" s="352"/>
      <c r="G447" s="352"/>
      <c r="H447" s="352"/>
      <c r="I447" s="352"/>
      <c r="J447" s="352"/>
      <c r="K447" s="352"/>
      <c r="L447" s="18"/>
    </row>
    <row r="448" spans="1:12" ht="16">
      <c r="A448" s="18"/>
      <c r="B448" s="352"/>
      <c r="C448" s="352"/>
      <c r="D448" s="352"/>
      <c r="E448" s="352"/>
      <c r="F448" s="352"/>
      <c r="G448" s="352"/>
      <c r="H448" s="352"/>
      <c r="I448" s="352"/>
      <c r="J448" s="352"/>
      <c r="K448" s="352"/>
      <c r="L448" s="18"/>
    </row>
    <row r="449" spans="1:12" ht="16">
      <c r="A449" s="18"/>
      <c r="B449" s="352"/>
      <c r="C449" s="352"/>
      <c r="D449" s="352"/>
      <c r="E449" s="352"/>
      <c r="F449" s="352"/>
      <c r="G449" s="352"/>
      <c r="H449" s="352"/>
      <c r="I449" s="352"/>
      <c r="J449" s="352"/>
      <c r="K449" s="352"/>
      <c r="L449" s="18"/>
    </row>
    <row r="450" spans="1:12" ht="16">
      <c r="A450" s="18"/>
      <c r="B450" s="352"/>
      <c r="C450" s="352"/>
      <c r="D450" s="352"/>
      <c r="E450" s="352"/>
      <c r="F450" s="352"/>
      <c r="G450" s="352"/>
      <c r="H450" s="352"/>
      <c r="I450" s="352"/>
      <c r="J450" s="352"/>
      <c r="K450" s="352"/>
      <c r="L450" s="18"/>
    </row>
    <row r="451" spans="1:12" ht="16">
      <c r="A451" s="18"/>
      <c r="B451" s="352"/>
      <c r="C451" s="352"/>
      <c r="D451" s="352"/>
      <c r="E451" s="352"/>
      <c r="F451" s="352"/>
      <c r="G451" s="352"/>
      <c r="H451" s="352"/>
      <c r="I451" s="352"/>
      <c r="J451" s="352"/>
      <c r="K451" s="352"/>
      <c r="L451" s="18"/>
    </row>
    <row r="452" spans="1:12" ht="16">
      <c r="A452" s="18"/>
      <c r="B452" s="352"/>
      <c r="C452" s="352"/>
      <c r="D452" s="352"/>
      <c r="E452" s="352"/>
      <c r="F452" s="352"/>
      <c r="G452" s="352"/>
      <c r="H452" s="352"/>
      <c r="I452" s="352"/>
      <c r="J452" s="352"/>
      <c r="K452" s="352"/>
      <c r="L452" s="18"/>
    </row>
    <row r="453" spans="1:12" ht="16">
      <c r="A453" s="18"/>
      <c r="B453" s="352"/>
      <c r="C453" s="352"/>
      <c r="D453" s="352"/>
      <c r="E453" s="352"/>
      <c r="F453" s="352"/>
      <c r="G453" s="352"/>
      <c r="H453" s="352"/>
      <c r="I453" s="352"/>
      <c r="J453" s="352"/>
      <c r="K453" s="352"/>
      <c r="L453" s="18"/>
    </row>
    <row r="454" spans="1:12" ht="16">
      <c r="A454" s="18"/>
      <c r="B454" s="352"/>
      <c r="C454" s="352"/>
      <c r="D454" s="352"/>
      <c r="E454" s="352"/>
      <c r="F454" s="352"/>
      <c r="G454" s="352"/>
      <c r="H454" s="352"/>
      <c r="I454" s="352"/>
      <c r="J454" s="352"/>
      <c r="K454" s="352"/>
      <c r="L454" s="18"/>
    </row>
    <row r="455" spans="1:12" ht="16">
      <c r="A455" s="18"/>
      <c r="B455" s="352"/>
      <c r="C455" s="352"/>
      <c r="D455" s="352"/>
      <c r="E455" s="352"/>
      <c r="F455" s="352"/>
      <c r="G455" s="352"/>
      <c r="H455" s="352"/>
      <c r="I455" s="352"/>
      <c r="J455" s="352"/>
      <c r="K455" s="352"/>
      <c r="L455" s="18"/>
    </row>
    <row r="456" spans="1:12" ht="16">
      <c r="A456" s="18"/>
      <c r="B456" s="352"/>
      <c r="C456" s="352"/>
      <c r="D456" s="352"/>
      <c r="E456" s="352"/>
      <c r="F456" s="352"/>
      <c r="G456" s="352"/>
      <c r="H456" s="352"/>
      <c r="I456" s="352"/>
      <c r="J456" s="352"/>
      <c r="K456" s="352"/>
      <c r="L456" s="18"/>
    </row>
    <row r="457" spans="1:12" ht="16">
      <c r="A457" s="18"/>
      <c r="B457" s="352"/>
      <c r="C457" s="352"/>
      <c r="D457" s="352"/>
      <c r="E457" s="352"/>
      <c r="F457" s="352"/>
      <c r="G457" s="352"/>
      <c r="H457" s="352"/>
      <c r="I457" s="352"/>
      <c r="J457" s="352"/>
      <c r="K457" s="352"/>
      <c r="L457" s="18"/>
    </row>
    <row r="458" spans="1:12" ht="16">
      <c r="A458" s="18"/>
      <c r="B458" s="352"/>
      <c r="C458" s="352"/>
      <c r="D458" s="352"/>
      <c r="E458" s="352"/>
      <c r="F458" s="352"/>
      <c r="G458" s="352"/>
      <c r="H458" s="352"/>
      <c r="I458" s="352"/>
      <c r="J458" s="352"/>
      <c r="K458" s="352"/>
      <c r="L458" s="18"/>
    </row>
    <row r="459" spans="1:12" ht="16">
      <c r="A459" s="18"/>
      <c r="B459" s="352"/>
      <c r="C459" s="352"/>
      <c r="D459" s="352"/>
      <c r="E459" s="352"/>
      <c r="F459" s="352"/>
      <c r="G459" s="352"/>
      <c r="H459" s="352"/>
      <c r="I459" s="352"/>
      <c r="J459" s="352"/>
      <c r="K459" s="352"/>
      <c r="L459" s="18"/>
    </row>
    <row r="460" spans="1:12" ht="16">
      <c r="A460" s="18"/>
      <c r="B460" s="352"/>
      <c r="C460" s="352"/>
      <c r="D460" s="352"/>
      <c r="E460" s="352"/>
      <c r="F460" s="352"/>
      <c r="G460" s="352"/>
      <c r="H460" s="352"/>
      <c r="I460" s="352"/>
      <c r="J460" s="352"/>
      <c r="K460" s="352"/>
      <c r="L460" s="18"/>
    </row>
    <row r="461" spans="1:12" ht="16">
      <c r="A461" s="18"/>
      <c r="B461" s="352"/>
      <c r="C461" s="352"/>
      <c r="D461" s="352"/>
      <c r="E461" s="352"/>
      <c r="F461" s="352"/>
      <c r="G461" s="352"/>
      <c r="H461" s="352"/>
      <c r="I461" s="352"/>
      <c r="J461" s="352"/>
      <c r="K461" s="352"/>
      <c r="L461" s="18"/>
    </row>
    <row r="462" spans="1:12" ht="16">
      <c r="A462" s="18"/>
      <c r="B462" s="352"/>
      <c r="C462" s="352"/>
      <c r="D462" s="352"/>
      <c r="E462" s="352"/>
      <c r="F462" s="352"/>
      <c r="G462" s="352"/>
      <c r="H462" s="352"/>
      <c r="I462" s="352"/>
      <c r="J462" s="352"/>
      <c r="K462" s="352"/>
      <c r="L462" s="18"/>
    </row>
    <row r="463" spans="1:12" ht="16">
      <c r="A463" s="18"/>
      <c r="B463" s="352"/>
      <c r="C463" s="352"/>
      <c r="D463" s="352"/>
      <c r="E463" s="352"/>
      <c r="F463" s="352"/>
      <c r="G463" s="352"/>
      <c r="H463" s="352"/>
      <c r="I463" s="352"/>
      <c r="J463" s="352"/>
      <c r="K463" s="352"/>
      <c r="L463" s="18"/>
    </row>
    <row r="464" spans="1:12" ht="16">
      <c r="A464" s="18"/>
      <c r="B464" s="352"/>
      <c r="C464" s="352"/>
      <c r="D464" s="352"/>
      <c r="E464" s="352"/>
      <c r="F464" s="352"/>
      <c r="G464" s="352"/>
      <c r="H464" s="352"/>
      <c r="I464" s="352"/>
      <c r="J464" s="352"/>
      <c r="K464" s="352"/>
      <c r="L464" s="18"/>
    </row>
    <row r="465" spans="1:12" ht="16">
      <c r="A465" s="18"/>
      <c r="B465" s="352"/>
      <c r="C465" s="352"/>
      <c r="D465" s="352"/>
      <c r="E465" s="352"/>
      <c r="F465" s="352"/>
      <c r="G465" s="352"/>
      <c r="H465" s="352"/>
      <c r="I465" s="352"/>
      <c r="J465" s="352"/>
      <c r="K465" s="352"/>
      <c r="L465" s="18"/>
    </row>
    <row r="466" spans="1:12" ht="16">
      <c r="A466" s="18"/>
      <c r="B466" s="352"/>
      <c r="C466" s="352"/>
      <c r="D466" s="352"/>
      <c r="E466" s="352"/>
      <c r="F466" s="352"/>
      <c r="G466" s="352"/>
      <c r="H466" s="352"/>
      <c r="I466" s="352"/>
      <c r="J466" s="352"/>
      <c r="K466" s="352"/>
      <c r="L466" s="18"/>
    </row>
    <row r="467" spans="1:12" ht="16">
      <c r="A467" s="18"/>
      <c r="B467" s="352"/>
      <c r="C467" s="352"/>
      <c r="D467" s="352"/>
      <c r="E467" s="352"/>
      <c r="F467" s="352"/>
      <c r="G467" s="352"/>
      <c r="H467" s="352"/>
      <c r="I467" s="352"/>
      <c r="J467" s="352"/>
      <c r="K467" s="352"/>
      <c r="L467" s="18"/>
    </row>
    <row r="468" spans="1:12" ht="16">
      <c r="A468" s="18"/>
      <c r="B468" s="352"/>
      <c r="C468" s="352"/>
      <c r="D468" s="352"/>
      <c r="E468" s="352"/>
      <c r="F468" s="352"/>
      <c r="G468" s="352"/>
      <c r="H468" s="352"/>
      <c r="I468" s="352"/>
      <c r="J468" s="352"/>
      <c r="K468" s="352"/>
      <c r="L468" s="18"/>
    </row>
    <row r="469" spans="1:12" ht="16">
      <c r="A469" s="18"/>
      <c r="B469" s="352"/>
      <c r="C469" s="352"/>
      <c r="D469" s="352"/>
      <c r="E469" s="352"/>
      <c r="F469" s="352"/>
      <c r="G469" s="352"/>
      <c r="H469" s="352"/>
      <c r="I469" s="352"/>
      <c r="J469" s="352"/>
      <c r="K469" s="352"/>
      <c r="L469" s="18"/>
    </row>
    <row r="470" spans="1:12" ht="16">
      <c r="A470" s="18"/>
      <c r="B470" s="352"/>
      <c r="C470" s="352"/>
      <c r="D470" s="352"/>
      <c r="E470" s="352"/>
      <c r="F470" s="352"/>
      <c r="G470" s="352"/>
      <c r="H470" s="352"/>
      <c r="I470" s="352"/>
      <c r="J470" s="352"/>
      <c r="K470" s="352"/>
      <c r="L470" s="18"/>
    </row>
    <row r="471" spans="1:12" ht="16">
      <c r="A471" s="18"/>
      <c r="B471" s="352"/>
      <c r="C471" s="352"/>
      <c r="D471" s="352"/>
      <c r="E471" s="352"/>
      <c r="F471" s="352"/>
      <c r="G471" s="352"/>
      <c r="H471" s="352"/>
      <c r="I471" s="352"/>
      <c r="J471" s="352"/>
      <c r="K471" s="352"/>
      <c r="L471" s="18"/>
    </row>
    <row r="472" spans="1:12" ht="16">
      <c r="A472" s="18"/>
      <c r="B472" s="352"/>
      <c r="C472" s="352"/>
      <c r="D472" s="352"/>
      <c r="E472" s="352"/>
      <c r="F472" s="352"/>
      <c r="G472" s="352"/>
      <c r="H472" s="352"/>
      <c r="I472" s="352"/>
      <c r="J472" s="352"/>
      <c r="K472" s="352"/>
      <c r="L472" s="18"/>
    </row>
    <row r="473" spans="1:12" ht="16">
      <c r="A473" s="18"/>
      <c r="B473" s="352"/>
      <c r="C473" s="352"/>
      <c r="D473" s="352"/>
      <c r="E473" s="352"/>
      <c r="F473" s="352"/>
      <c r="G473" s="352"/>
      <c r="H473" s="352"/>
      <c r="I473" s="352"/>
      <c r="J473" s="352"/>
      <c r="K473" s="352"/>
      <c r="L473" s="18"/>
    </row>
    <row r="474" spans="1:12" ht="16">
      <c r="A474" s="18"/>
      <c r="B474" s="352"/>
      <c r="C474" s="352"/>
      <c r="D474" s="352"/>
      <c r="E474" s="352"/>
      <c r="F474" s="352"/>
      <c r="G474" s="352"/>
      <c r="H474" s="352"/>
      <c r="I474" s="352"/>
      <c r="J474" s="352"/>
      <c r="K474" s="352"/>
      <c r="L474" s="18"/>
    </row>
    <row r="475" spans="1:12" ht="16">
      <c r="A475" s="18"/>
      <c r="B475" s="352"/>
      <c r="C475" s="352"/>
      <c r="D475" s="352"/>
      <c r="E475" s="352"/>
      <c r="F475" s="352"/>
      <c r="G475" s="352"/>
      <c r="H475" s="352"/>
      <c r="I475" s="352"/>
      <c r="J475" s="352"/>
      <c r="K475" s="352"/>
      <c r="L475" s="18"/>
    </row>
    <row r="476" spans="1:12" ht="16">
      <c r="A476" s="18"/>
      <c r="B476" s="352"/>
      <c r="C476" s="352"/>
      <c r="D476" s="352"/>
      <c r="E476" s="352"/>
      <c r="F476" s="352"/>
      <c r="G476" s="352"/>
      <c r="H476" s="352"/>
      <c r="I476" s="352"/>
      <c r="J476" s="352"/>
      <c r="K476" s="352"/>
      <c r="L476" s="18"/>
    </row>
    <row r="477" spans="1:12" ht="16">
      <c r="A477" s="18"/>
      <c r="B477" s="352"/>
      <c r="C477" s="352"/>
      <c r="D477" s="352"/>
      <c r="E477" s="352"/>
      <c r="F477" s="352"/>
      <c r="G477" s="352"/>
      <c r="H477" s="352"/>
      <c r="I477" s="352"/>
      <c r="J477" s="352"/>
      <c r="K477" s="352"/>
      <c r="L477" s="18"/>
    </row>
    <row r="478" spans="1:12" ht="16">
      <c r="A478" s="18"/>
      <c r="B478" s="352"/>
      <c r="C478" s="352"/>
      <c r="D478" s="352"/>
      <c r="E478" s="352"/>
      <c r="F478" s="352"/>
      <c r="G478" s="352"/>
      <c r="H478" s="352"/>
      <c r="I478" s="352"/>
      <c r="J478" s="352"/>
      <c r="K478" s="352"/>
      <c r="L478" s="18"/>
    </row>
    <row r="479" spans="1:12" ht="16">
      <c r="A479" s="18"/>
      <c r="B479" s="352"/>
      <c r="C479" s="352"/>
      <c r="D479" s="352"/>
      <c r="E479" s="352"/>
      <c r="F479" s="352"/>
      <c r="G479" s="352"/>
      <c r="H479" s="352"/>
      <c r="I479" s="352"/>
      <c r="J479" s="352"/>
      <c r="K479" s="352"/>
      <c r="L479" s="18"/>
    </row>
    <row r="480" spans="1:12" ht="16">
      <c r="A480" s="18"/>
      <c r="B480" s="352"/>
      <c r="C480" s="352"/>
      <c r="D480" s="352"/>
      <c r="E480" s="352"/>
      <c r="F480" s="352"/>
      <c r="G480" s="352"/>
      <c r="H480" s="352"/>
      <c r="I480" s="352"/>
      <c r="J480" s="352"/>
      <c r="K480" s="352"/>
      <c r="L480" s="18"/>
    </row>
    <row r="481" spans="1:12" ht="16">
      <c r="A481" s="18"/>
      <c r="B481" s="352"/>
      <c r="C481" s="352"/>
      <c r="D481" s="352"/>
      <c r="E481" s="352"/>
      <c r="F481" s="352"/>
      <c r="G481" s="352"/>
      <c r="H481" s="352"/>
      <c r="I481" s="352"/>
      <c r="J481" s="352"/>
      <c r="K481" s="352"/>
      <c r="L481" s="18"/>
    </row>
    <row r="482" spans="1:12" ht="16">
      <c r="A482" s="18"/>
      <c r="B482" s="352"/>
      <c r="C482" s="352"/>
      <c r="D482" s="352"/>
      <c r="E482" s="352"/>
      <c r="F482" s="352"/>
      <c r="G482" s="352"/>
      <c r="H482" s="352"/>
      <c r="I482" s="352"/>
      <c r="J482" s="352"/>
      <c r="K482" s="352"/>
      <c r="L482" s="18"/>
    </row>
    <row r="483" spans="1:12" ht="16">
      <c r="A483" s="18"/>
      <c r="B483" s="352"/>
      <c r="C483" s="352"/>
      <c r="D483" s="352"/>
      <c r="E483" s="352"/>
      <c r="F483" s="352"/>
      <c r="G483" s="352"/>
      <c r="H483" s="352"/>
      <c r="I483" s="352"/>
      <c r="J483" s="352"/>
      <c r="K483" s="352"/>
      <c r="L483" s="18"/>
    </row>
    <row r="484" spans="1:12" ht="16">
      <c r="A484" s="18"/>
      <c r="B484" s="352"/>
      <c r="C484" s="352"/>
      <c r="D484" s="352"/>
      <c r="E484" s="352"/>
      <c r="F484" s="352"/>
      <c r="G484" s="352"/>
      <c r="H484" s="352"/>
      <c r="I484" s="352"/>
      <c r="J484" s="352"/>
      <c r="K484" s="352"/>
      <c r="L484" s="18"/>
    </row>
    <row r="485" spans="1:12" ht="16">
      <c r="A485" s="18"/>
      <c r="B485" s="352"/>
      <c r="C485" s="352"/>
      <c r="D485" s="352"/>
      <c r="E485" s="352"/>
      <c r="F485" s="352"/>
      <c r="G485" s="352"/>
      <c r="H485" s="352"/>
      <c r="I485" s="352"/>
      <c r="J485" s="352"/>
      <c r="K485" s="352"/>
      <c r="L485" s="18"/>
    </row>
    <row r="486" spans="1:12" ht="16">
      <c r="A486" s="18"/>
      <c r="B486" s="352"/>
      <c r="C486" s="352"/>
      <c r="D486" s="352"/>
      <c r="E486" s="352"/>
      <c r="F486" s="352"/>
      <c r="G486" s="352"/>
      <c r="H486" s="352"/>
      <c r="I486" s="352"/>
      <c r="J486" s="352"/>
      <c r="K486" s="352"/>
      <c r="L486" s="18"/>
    </row>
    <row r="487" spans="1:12" ht="16">
      <c r="A487" s="18"/>
      <c r="B487" s="352"/>
      <c r="C487" s="352"/>
      <c r="D487" s="352"/>
      <c r="E487" s="352"/>
      <c r="F487" s="352"/>
      <c r="G487" s="352"/>
      <c r="H487" s="352"/>
      <c r="I487" s="352"/>
      <c r="J487" s="352"/>
      <c r="K487" s="352"/>
      <c r="L487" s="18"/>
    </row>
    <row r="488" spans="1:12" ht="16">
      <c r="A488" s="18"/>
      <c r="B488" s="352"/>
      <c r="C488" s="352"/>
      <c r="D488" s="352"/>
      <c r="E488" s="352"/>
      <c r="F488" s="352"/>
      <c r="G488" s="352"/>
      <c r="H488" s="352"/>
      <c r="I488" s="352"/>
      <c r="J488" s="352"/>
      <c r="K488" s="352"/>
      <c r="L488" s="18"/>
    </row>
    <row r="489" spans="1:12" ht="16">
      <c r="A489" s="18"/>
      <c r="B489" s="352"/>
      <c r="C489" s="352"/>
      <c r="D489" s="352"/>
      <c r="E489" s="352"/>
      <c r="F489" s="352"/>
      <c r="G489" s="352"/>
      <c r="H489" s="352"/>
      <c r="I489" s="352"/>
      <c r="J489" s="352"/>
      <c r="K489" s="352"/>
      <c r="L489" s="18"/>
    </row>
    <row r="490" spans="1:12" ht="16">
      <c r="A490" s="18"/>
      <c r="B490" s="352"/>
      <c r="C490" s="352"/>
      <c r="D490" s="352"/>
      <c r="E490" s="352"/>
      <c r="F490" s="352"/>
      <c r="G490" s="352"/>
      <c r="H490" s="352"/>
      <c r="I490" s="352"/>
      <c r="J490" s="352"/>
      <c r="K490" s="352"/>
      <c r="L490" s="18"/>
    </row>
    <row r="491" spans="1:12" ht="16">
      <c r="A491" s="18"/>
      <c r="B491" s="352"/>
      <c r="C491" s="352"/>
      <c r="D491" s="352"/>
      <c r="E491" s="352"/>
      <c r="F491" s="352"/>
      <c r="G491" s="352"/>
      <c r="H491" s="352"/>
      <c r="I491" s="352"/>
      <c r="J491" s="352"/>
      <c r="K491" s="352"/>
      <c r="L491" s="18"/>
    </row>
    <row r="492" spans="1:12" ht="16">
      <c r="A492" s="18"/>
      <c r="B492" s="352"/>
      <c r="C492" s="352"/>
      <c r="D492" s="352"/>
      <c r="E492" s="352"/>
      <c r="F492" s="352"/>
      <c r="G492" s="352"/>
      <c r="H492" s="352"/>
      <c r="I492" s="352"/>
      <c r="J492" s="352"/>
      <c r="K492" s="352"/>
      <c r="L492" s="18"/>
    </row>
    <row r="493" spans="1:12" ht="16">
      <c r="A493" s="18"/>
      <c r="B493" s="352"/>
      <c r="C493" s="352"/>
      <c r="D493" s="352"/>
      <c r="E493" s="352"/>
      <c r="F493" s="352"/>
      <c r="G493" s="352"/>
      <c r="H493" s="352"/>
      <c r="I493" s="352"/>
      <c r="J493" s="352"/>
      <c r="K493" s="352"/>
      <c r="L493" s="18"/>
    </row>
    <row r="494" spans="1:12" ht="16">
      <c r="A494" s="18"/>
      <c r="B494" s="352"/>
      <c r="C494" s="352"/>
      <c r="D494" s="352"/>
      <c r="E494" s="352"/>
      <c r="F494" s="352"/>
      <c r="G494" s="352"/>
      <c r="H494" s="352"/>
      <c r="I494" s="352"/>
      <c r="J494" s="352"/>
      <c r="K494" s="352"/>
      <c r="L494" s="18"/>
    </row>
    <row r="495" spans="1:12" ht="16">
      <c r="A495" s="18"/>
      <c r="B495" s="352"/>
      <c r="C495" s="352"/>
      <c r="D495" s="352"/>
      <c r="E495" s="352"/>
      <c r="F495" s="352"/>
      <c r="G495" s="352"/>
      <c r="H495" s="352"/>
      <c r="I495" s="352"/>
      <c r="J495" s="352"/>
      <c r="K495" s="352"/>
      <c r="L495" s="18"/>
    </row>
    <row r="496" spans="1:12" ht="16">
      <c r="A496" s="18"/>
      <c r="B496" s="352"/>
      <c r="C496" s="352"/>
      <c r="D496" s="352"/>
      <c r="E496" s="352"/>
      <c r="F496" s="352"/>
      <c r="G496" s="352"/>
      <c r="H496" s="352"/>
      <c r="I496" s="352"/>
      <c r="J496" s="352"/>
      <c r="K496" s="352"/>
      <c r="L496" s="18"/>
    </row>
    <row r="497" spans="1:12" ht="16">
      <c r="A497" s="18"/>
      <c r="B497" s="352"/>
      <c r="C497" s="352"/>
      <c r="D497" s="352"/>
      <c r="E497" s="352"/>
      <c r="F497" s="352"/>
      <c r="G497" s="352"/>
      <c r="H497" s="352"/>
      <c r="I497" s="352"/>
      <c r="J497" s="352"/>
      <c r="K497" s="352"/>
      <c r="L497" s="18"/>
    </row>
    <row r="498" spans="1:12" ht="16">
      <c r="A498" s="18"/>
      <c r="B498" s="352"/>
      <c r="C498" s="352"/>
      <c r="D498" s="352"/>
      <c r="E498" s="352"/>
      <c r="F498" s="352"/>
      <c r="G498" s="352"/>
      <c r="H498" s="352"/>
      <c r="I498" s="352"/>
      <c r="J498" s="352"/>
      <c r="K498" s="352"/>
      <c r="L498" s="18"/>
    </row>
    <row r="499" spans="1:12" ht="16">
      <c r="A499" s="18"/>
      <c r="B499" s="352"/>
      <c r="C499" s="352"/>
      <c r="D499" s="352"/>
      <c r="E499" s="352"/>
      <c r="F499" s="352"/>
      <c r="G499" s="352"/>
      <c r="H499" s="352"/>
      <c r="I499" s="352"/>
      <c r="J499" s="352"/>
      <c r="K499" s="352"/>
      <c r="L499" s="18"/>
    </row>
    <row r="500" spans="1:12" ht="16">
      <c r="A500" s="18"/>
      <c r="B500" s="352"/>
      <c r="C500" s="352"/>
      <c r="D500" s="352"/>
      <c r="E500" s="352"/>
      <c r="F500" s="352"/>
      <c r="G500" s="352"/>
      <c r="H500" s="352"/>
      <c r="I500" s="352"/>
      <c r="J500" s="352"/>
      <c r="K500" s="352"/>
      <c r="L500" s="18"/>
    </row>
    <row r="501" spans="1:12" ht="16">
      <c r="A501" s="18"/>
      <c r="B501" s="352"/>
      <c r="C501" s="352"/>
      <c r="D501" s="352"/>
      <c r="E501" s="352"/>
      <c r="F501" s="352"/>
      <c r="G501" s="352"/>
      <c r="H501" s="352"/>
      <c r="I501" s="352"/>
      <c r="J501" s="352"/>
      <c r="K501" s="352"/>
      <c r="L501" s="18"/>
    </row>
    <row r="502" spans="1:12" ht="16">
      <c r="A502" s="18"/>
      <c r="B502" s="352"/>
      <c r="C502" s="352"/>
      <c r="D502" s="352"/>
      <c r="E502" s="352"/>
      <c r="F502" s="352"/>
      <c r="G502" s="352"/>
      <c r="H502" s="352"/>
      <c r="I502" s="352"/>
      <c r="J502" s="352"/>
      <c r="K502" s="352"/>
      <c r="L502" s="18"/>
    </row>
    <row r="503" spans="1:12" ht="16">
      <c r="A503" s="18"/>
      <c r="B503" s="352"/>
      <c r="C503" s="352"/>
      <c r="D503" s="352"/>
      <c r="E503" s="352"/>
      <c r="F503" s="352"/>
      <c r="G503" s="352"/>
      <c r="H503" s="352"/>
      <c r="I503" s="352"/>
      <c r="J503" s="352"/>
      <c r="K503" s="352"/>
      <c r="L503" s="18"/>
    </row>
    <row r="504" spans="1:12" ht="16">
      <c r="A504" s="18"/>
      <c r="B504" s="352"/>
      <c r="C504" s="352"/>
      <c r="D504" s="352"/>
      <c r="E504" s="352"/>
      <c r="F504" s="352"/>
      <c r="G504" s="352"/>
      <c r="H504" s="352"/>
      <c r="I504" s="352"/>
      <c r="J504" s="352"/>
      <c r="K504" s="352"/>
      <c r="L504" s="18"/>
    </row>
    <row r="505" spans="1:12" ht="16">
      <c r="A505" s="18"/>
      <c r="B505" s="352"/>
      <c r="C505" s="352"/>
      <c r="D505" s="352"/>
      <c r="E505" s="352"/>
      <c r="F505" s="352"/>
      <c r="G505" s="352"/>
      <c r="H505" s="352"/>
      <c r="I505" s="352"/>
      <c r="J505" s="352"/>
      <c r="K505" s="352"/>
      <c r="L505" s="18"/>
    </row>
    <row r="506" spans="1:12" ht="16">
      <c r="A506" s="18"/>
      <c r="B506" s="352"/>
      <c r="C506" s="352"/>
      <c r="D506" s="352"/>
      <c r="E506" s="352"/>
      <c r="F506" s="352"/>
      <c r="G506" s="352"/>
      <c r="H506" s="352"/>
      <c r="I506" s="352"/>
      <c r="J506" s="352"/>
      <c r="K506" s="352"/>
      <c r="L506" s="18"/>
    </row>
    <row r="507" spans="1:12" ht="16">
      <c r="A507" s="18"/>
      <c r="B507" s="352"/>
      <c r="C507" s="352"/>
      <c r="D507" s="352"/>
      <c r="E507" s="352"/>
      <c r="F507" s="352"/>
      <c r="G507" s="352"/>
      <c r="H507" s="352"/>
      <c r="I507" s="352"/>
      <c r="J507" s="352"/>
      <c r="K507" s="352"/>
      <c r="L507" s="18"/>
    </row>
    <row r="508" spans="1:12" ht="16">
      <c r="A508" s="18"/>
      <c r="B508" s="352"/>
      <c r="C508" s="352"/>
      <c r="D508" s="352"/>
      <c r="E508" s="352"/>
      <c r="F508" s="352"/>
      <c r="G508" s="352"/>
      <c r="H508" s="352"/>
      <c r="I508" s="352"/>
      <c r="J508" s="352"/>
      <c r="K508" s="352"/>
      <c r="L508" s="18"/>
    </row>
    <row r="509" spans="1:12" ht="16">
      <c r="A509" s="18"/>
      <c r="B509" s="352"/>
      <c r="C509" s="352"/>
      <c r="D509" s="352"/>
      <c r="E509" s="352"/>
      <c r="F509" s="352"/>
      <c r="G509" s="352"/>
      <c r="H509" s="352"/>
      <c r="I509" s="352"/>
      <c r="J509" s="352"/>
      <c r="K509" s="352"/>
      <c r="L509" s="18"/>
    </row>
    <row r="510" spans="1:12" ht="16">
      <c r="A510" s="18"/>
      <c r="B510" s="352"/>
      <c r="C510" s="352"/>
      <c r="D510" s="352"/>
      <c r="E510" s="352"/>
      <c r="F510" s="352"/>
      <c r="G510" s="352"/>
      <c r="H510" s="352"/>
      <c r="I510" s="352"/>
      <c r="J510" s="352"/>
      <c r="K510" s="352"/>
      <c r="L510" s="18"/>
    </row>
    <row r="511" spans="1:12" ht="16">
      <c r="A511" s="18"/>
      <c r="B511" s="352"/>
      <c r="C511" s="352"/>
      <c r="D511" s="352"/>
      <c r="E511" s="352"/>
      <c r="F511" s="352"/>
      <c r="G511" s="352"/>
      <c r="H511" s="352"/>
      <c r="I511" s="352"/>
      <c r="J511" s="352"/>
      <c r="K511" s="352"/>
      <c r="L511" s="18"/>
    </row>
    <row r="512" spans="1:12" ht="16">
      <c r="A512" s="18"/>
      <c r="B512" s="352"/>
      <c r="C512" s="352"/>
      <c r="D512" s="352"/>
      <c r="E512" s="352"/>
      <c r="F512" s="352"/>
      <c r="G512" s="352"/>
      <c r="H512" s="352"/>
      <c r="I512" s="352"/>
      <c r="J512" s="352"/>
      <c r="K512" s="352"/>
      <c r="L512" s="18"/>
    </row>
    <row r="513" spans="1:12" ht="16">
      <c r="A513" s="18"/>
      <c r="B513" s="352"/>
      <c r="C513" s="352"/>
      <c r="D513" s="352"/>
      <c r="E513" s="352"/>
      <c r="F513" s="352"/>
      <c r="G513" s="352"/>
      <c r="H513" s="352"/>
      <c r="I513" s="352"/>
      <c r="J513" s="352"/>
      <c r="K513" s="352"/>
      <c r="L513" s="18"/>
    </row>
    <row r="514" spans="1:12" ht="16">
      <c r="A514" s="18"/>
      <c r="B514" s="352"/>
      <c r="C514" s="352"/>
      <c r="D514" s="352"/>
      <c r="E514" s="352"/>
      <c r="F514" s="352"/>
      <c r="G514" s="352"/>
      <c r="H514" s="352"/>
      <c r="I514" s="352"/>
      <c r="J514" s="352"/>
      <c r="K514" s="352"/>
      <c r="L514" s="18"/>
    </row>
    <row r="515" spans="1:12" ht="16">
      <c r="A515" s="18"/>
      <c r="B515" s="352"/>
      <c r="C515" s="352"/>
      <c r="D515" s="352"/>
      <c r="E515" s="352"/>
      <c r="F515" s="352"/>
      <c r="G515" s="352"/>
      <c r="H515" s="352"/>
      <c r="I515" s="352"/>
      <c r="J515" s="352"/>
      <c r="K515" s="352"/>
      <c r="L515" s="18"/>
    </row>
    <row r="516" spans="1:12" ht="16">
      <c r="A516" s="18"/>
      <c r="B516" s="352"/>
      <c r="C516" s="352"/>
      <c r="D516" s="352"/>
      <c r="E516" s="352"/>
      <c r="F516" s="352"/>
      <c r="G516" s="352"/>
      <c r="H516" s="352"/>
      <c r="I516" s="352"/>
      <c r="J516" s="352"/>
      <c r="K516" s="352"/>
      <c r="L516" s="18"/>
    </row>
    <row r="517" spans="1:12" ht="16">
      <c r="A517" s="18"/>
      <c r="B517" s="352"/>
      <c r="C517" s="352"/>
      <c r="D517" s="352"/>
      <c r="E517" s="352"/>
      <c r="F517" s="352"/>
      <c r="G517" s="352"/>
      <c r="H517" s="352"/>
      <c r="I517" s="352"/>
      <c r="J517" s="352"/>
      <c r="K517" s="352"/>
      <c r="L517" s="18"/>
    </row>
    <row r="518" spans="1:12" ht="16">
      <c r="A518" s="18"/>
      <c r="B518" s="352"/>
      <c r="C518" s="352"/>
      <c r="D518" s="352"/>
      <c r="E518" s="352"/>
      <c r="F518" s="352"/>
      <c r="G518" s="352"/>
      <c r="H518" s="352"/>
      <c r="I518" s="352"/>
      <c r="J518" s="352"/>
      <c r="K518" s="352"/>
      <c r="L518" s="18"/>
    </row>
    <row r="519" spans="1:12" ht="16">
      <c r="A519" s="18"/>
      <c r="B519" s="352"/>
      <c r="C519" s="352"/>
      <c r="D519" s="352"/>
      <c r="E519" s="352"/>
      <c r="F519" s="352"/>
      <c r="G519" s="352"/>
      <c r="H519" s="352"/>
      <c r="I519" s="352"/>
      <c r="J519" s="352"/>
      <c r="K519" s="352"/>
      <c r="L519" s="18"/>
    </row>
    <row r="520" spans="1:12" ht="16">
      <c r="A520" s="18"/>
      <c r="B520" s="352"/>
      <c r="C520" s="352"/>
      <c r="D520" s="352"/>
      <c r="E520" s="352"/>
      <c r="F520" s="352"/>
      <c r="G520" s="352"/>
      <c r="H520" s="352"/>
      <c r="I520" s="352"/>
      <c r="J520" s="352"/>
      <c r="K520" s="352"/>
      <c r="L520" s="18"/>
    </row>
    <row r="521" spans="1:12" ht="16">
      <c r="A521" s="18"/>
      <c r="B521" s="352"/>
      <c r="C521" s="352"/>
      <c r="D521" s="352"/>
      <c r="E521" s="352"/>
      <c r="F521" s="352"/>
      <c r="G521" s="352"/>
      <c r="H521" s="352"/>
      <c r="I521" s="352"/>
      <c r="J521" s="352"/>
      <c r="K521" s="352"/>
      <c r="L521" s="18"/>
    </row>
    <row r="522" spans="1:12" ht="16">
      <c r="A522" s="18"/>
      <c r="B522" s="352"/>
      <c r="C522" s="352"/>
      <c r="D522" s="352"/>
      <c r="E522" s="352"/>
      <c r="F522" s="352"/>
      <c r="G522" s="352"/>
      <c r="H522" s="352"/>
      <c r="I522" s="352"/>
      <c r="J522" s="352"/>
      <c r="K522" s="352"/>
      <c r="L522" s="18"/>
    </row>
    <row r="523" spans="1:12" ht="16">
      <c r="A523" s="18"/>
      <c r="B523" s="352"/>
      <c r="C523" s="352"/>
      <c r="D523" s="352"/>
      <c r="E523" s="352"/>
      <c r="F523" s="352"/>
      <c r="G523" s="352"/>
      <c r="H523" s="352"/>
      <c r="I523" s="352"/>
      <c r="J523" s="352"/>
      <c r="K523" s="352"/>
      <c r="L523" s="18"/>
    </row>
    <row r="524" spans="1:12" ht="16">
      <c r="A524" s="18"/>
      <c r="B524" s="352"/>
      <c r="C524" s="352"/>
      <c r="D524" s="352"/>
      <c r="E524" s="352"/>
      <c r="F524" s="352"/>
      <c r="G524" s="352"/>
      <c r="H524" s="352"/>
      <c r="I524" s="352"/>
      <c r="J524" s="352"/>
      <c r="K524" s="352"/>
      <c r="L524" s="18"/>
    </row>
    <row r="525" spans="1:12" ht="16">
      <c r="A525" s="18"/>
      <c r="B525" s="352"/>
      <c r="C525" s="352"/>
      <c r="D525" s="352"/>
      <c r="E525" s="352"/>
      <c r="F525" s="352"/>
      <c r="G525" s="352"/>
      <c r="H525" s="352"/>
      <c r="I525" s="352"/>
      <c r="J525" s="352"/>
      <c r="K525" s="352"/>
      <c r="L525" s="18"/>
    </row>
    <row r="526" spans="1:12" ht="16">
      <c r="A526" s="18"/>
      <c r="B526" s="352"/>
      <c r="C526" s="352"/>
      <c r="D526" s="352"/>
      <c r="E526" s="352"/>
      <c r="F526" s="352"/>
      <c r="G526" s="352"/>
      <c r="H526" s="352"/>
      <c r="I526" s="352"/>
      <c r="J526" s="352"/>
      <c r="K526" s="352"/>
      <c r="L526" s="18"/>
    </row>
    <row r="527" spans="1:12" ht="16">
      <c r="A527" s="18"/>
      <c r="B527" s="352"/>
      <c r="C527" s="352"/>
      <c r="D527" s="352"/>
      <c r="E527" s="352"/>
      <c r="F527" s="352"/>
      <c r="G527" s="352"/>
      <c r="H527" s="352"/>
      <c r="I527" s="352"/>
      <c r="J527" s="352"/>
      <c r="K527" s="352"/>
      <c r="L527" s="18"/>
    </row>
    <row r="528" spans="1:12" ht="16">
      <c r="A528" s="18"/>
      <c r="B528" s="352"/>
      <c r="C528" s="352"/>
      <c r="D528" s="352"/>
      <c r="E528" s="352"/>
      <c r="F528" s="352"/>
      <c r="G528" s="352"/>
      <c r="H528" s="352"/>
      <c r="I528" s="352"/>
      <c r="J528" s="352"/>
      <c r="K528" s="352"/>
      <c r="L528" s="18"/>
    </row>
    <row r="529" spans="1:12" ht="16">
      <c r="A529" s="18"/>
      <c r="B529" s="352"/>
      <c r="C529" s="352"/>
      <c r="D529" s="352"/>
      <c r="E529" s="352"/>
      <c r="F529" s="352"/>
      <c r="G529" s="352"/>
      <c r="H529" s="352"/>
      <c r="I529" s="352"/>
      <c r="J529" s="352"/>
      <c r="K529" s="352"/>
      <c r="L529" s="18"/>
    </row>
    <row r="530" spans="1:12" ht="16">
      <c r="A530" s="18"/>
      <c r="B530" s="352"/>
      <c r="C530" s="352"/>
      <c r="D530" s="352"/>
      <c r="E530" s="352"/>
      <c r="F530" s="352"/>
      <c r="G530" s="352"/>
      <c r="H530" s="352"/>
      <c r="I530" s="352"/>
      <c r="J530" s="352"/>
      <c r="K530" s="352"/>
      <c r="L530" s="18"/>
    </row>
    <row r="531" spans="1:12" ht="16">
      <c r="A531" s="18"/>
      <c r="B531" s="352"/>
      <c r="C531" s="352"/>
      <c r="D531" s="352"/>
      <c r="E531" s="352"/>
      <c r="F531" s="352"/>
      <c r="G531" s="352"/>
      <c r="H531" s="352"/>
      <c r="I531" s="352"/>
      <c r="J531" s="352"/>
      <c r="K531" s="352"/>
      <c r="L531" s="18"/>
    </row>
    <row r="532" spans="1:12" ht="16">
      <c r="A532" s="18"/>
      <c r="B532" s="352"/>
      <c r="C532" s="352"/>
      <c r="D532" s="352"/>
      <c r="E532" s="352"/>
      <c r="F532" s="352"/>
      <c r="G532" s="352"/>
      <c r="H532" s="352"/>
      <c r="I532" s="352"/>
      <c r="J532" s="352"/>
      <c r="K532" s="352"/>
      <c r="L532" s="18"/>
    </row>
    <row r="533" spans="1:12" ht="16">
      <c r="A533" s="18"/>
      <c r="B533" s="352"/>
      <c r="C533" s="352"/>
      <c r="D533" s="352"/>
      <c r="E533" s="352"/>
      <c r="F533" s="352"/>
      <c r="G533" s="352"/>
      <c r="H533" s="352"/>
      <c r="I533" s="352"/>
      <c r="J533" s="352"/>
      <c r="K533" s="352"/>
      <c r="L533" s="18"/>
    </row>
    <row r="534" spans="1:12" ht="16">
      <c r="A534" s="18"/>
      <c r="B534" s="352"/>
      <c r="C534" s="352"/>
      <c r="D534" s="352"/>
      <c r="E534" s="352"/>
      <c r="F534" s="352"/>
      <c r="G534" s="352"/>
      <c r="H534" s="352"/>
      <c r="I534" s="352"/>
      <c r="J534" s="352"/>
      <c r="K534" s="352"/>
      <c r="L534" s="18"/>
    </row>
    <row r="535" spans="1:12" ht="16">
      <c r="A535" s="18"/>
      <c r="B535" s="352"/>
      <c r="C535" s="352"/>
      <c r="D535" s="352"/>
      <c r="E535" s="352"/>
      <c r="F535" s="352"/>
      <c r="G535" s="352"/>
      <c r="H535" s="352"/>
      <c r="I535" s="352"/>
      <c r="J535" s="352"/>
      <c r="K535" s="352"/>
      <c r="L535" s="18"/>
    </row>
    <row r="536" spans="1:12" ht="16">
      <c r="A536" s="18"/>
      <c r="B536" s="352"/>
      <c r="C536" s="352"/>
      <c r="D536" s="352"/>
      <c r="E536" s="352"/>
      <c r="F536" s="352"/>
      <c r="G536" s="352"/>
      <c r="H536" s="352"/>
      <c r="I536" s="352"/>
      <c r="J536" s="352"/>
      <c r="K536" s="352"/>
      <c r="L536" s="18"/>
    </row>
    <row r="537" spans="1:12" ht="16">
      <c r="A537" s="18"/>
      <c r="B537" s="352"/>
      <c r="C537" s="352"/>
      <c r="D537" s="352"/>
      <c r="E537" s="352"/>
      <c r="F537" s="352"/>
      <c r="G537" s="352"/>
      <c r="H537" s="352"/>
      <c r="I537" s="352"/>
      <c r="J537" s="352"/>
      <c r="K537" s="352"/>
      <c r="L537" s="18"/>
    </row>
    <row r="538" spans="1:12" ht="16">
      <c r="A538" s="18"/>
      <c r="B538" s="352"/>
      <c r="C538" s="352"/>
      <c r="D538" s="352"/>
      <c r="E538" s="352"/>
      <c r="F538" s="352"/>
      <c r="G538" s="352"/>
      <c r="H538" s="352"/>
      <c r="I538" s="352"/>
      <c r="J538" s="352"/>
      <c r="K538" s="352"/>
      <c r="L538" s="18"/>
    </row>
    <row r="539" spans="1:12" ht="16">
      <c r="A539" s="18"/>
      <c r="B539" s="352"/>
      <c r="C539" s="352"/>
      <c r="D539" s="352"/>
      <c r="E539" s="352"/>
      <c r="F539" s="352"/>
      <c r="G539" s="352"/>
      <c r="H539" s="352"/>
      <c r="I539" s="352"/>
      <c r="J539" s="352"/>
      <c r="K539" s="352"/>
      <c r="L539" s="18"/>
    </row>
    <row r="540" spans="1:12" ht="16">
      <c r="A540" s="18"/>
      <c r="B540" s="352"/>
      <c r="C540" s="352"/>
      <c r="D540" s="352"/>
      <c r="E540" s="352"/>
      <c r="F540" s="352"/>
      <c r="G540" s="352"/>
      <c r="H540" s="352"/>
      <c r="I540" s="352"/>
      <c r="J540" s="352"/>
      <c r="K540" s="352"/>
      <c r="L540" s="18"/>
    </row>
    <row r="541" spans="1:12" ht="16">
      <c r="A541" s="18"/>
      <c r="B541" s="352"/>
      <c r="C541" s="352"/>
      <c r="D541" s="352"/>
      <c r="E541" s="352"/>
      <c r="F541" s="352"/>
      <c r="G541" s="352"/>
      <c r="H541" s="352"/>
      <c r="I541" s="352"/>
      <c r="J541" s="352"/>
      <c r="K541" s="352"/>
      <c r="L541" s="18"/>
    </row>
    <row r="542" spans="1:12" ht="16">
      <c r="A542" s="18"/>
      <c r="B542" s="352"/>
      <c r="C542" s="352"/>
      <c r="D542" s="352"/>
      <c r="E542" s="352"/>
      <c r="F542" s="352"/>
      <c r="G542" s="352"/>
      <c r="H542" s="352"/>
      <c r="I542" s="352"/>
      <c r="J542" s="352"/>
      <c r="K542" s="352"/>
      <c r="L542" s="18"/>
    </row>
    <row r="543" spans="1:12" ht="16">
      <c r="A543" s="18"/>
      <c r="B543" s="352"/>
      <c r="C543" s="352"/>
      <c r="D543" s="352"/>
      <c r="E543" s="352"/>
      <c r="F543" s="352"/>
      <c r="G543" s="352"/>
      <c r="H543" s="352"/>
      <c r="I543" s="352"/>
      <c r="J543" s="352"/>
      <c r="K543" s="352"/>
      <c r="L543" s="18"/>
    </row>
    <row r="544" spans="1:12" ht="16">
      <c r="A544" s="18"/>
      <c r="B544" s="352"/>
      <c r="C544" s="352"/>
      <c r="D544" s="352"/>
      <c r="E544" s="352"/>
      <c r="F544" s="352"/>
      <c r="G544" s="352"/>
      <c r="H544" s="352"/>
      <c r="I544" s="352"/>
      <c r="J544" s="352"/>
      <c r="K544" s="352"/>
      <c r="L544" s="18"/>
    </row>
    <row r="545" spans="1:12" ht="16">
      <c r="A545" s="18"/>
      <c r="B545" s="352"/>
      <c r="C545" s="352"/>
      <c r="D545" s="352"/>
      <c r="E545" s="352"/>
      <c r="F545" s="352"/>
      <c r="G545" s="352"/>
      <c r="H545" s="352"/>
      <c r="I545" s="352"/>
      <c r="J545" s="352"/>
      <c r="K545" s="352"/>
      <c r="L545" s="18"/>
    </row>
    <row r="546" spans="1:12" ht="16">
      <c r="A546" s="18"/>
      <c r="B546" s="352"/>
      <c r="C546" s="352"/>
      <c r="D546" s="352"/>
      <c r="E546" s="352"/>
      <c r="F546" s="352"/>
      <c r="G546" s="352"/>
      <c r="H546" s="352"/>
      <c r="I546" s="352"/>
      <c r="J546" s="352"/>
      <c r="K546" s="352"/>
      <c r="L546" s="18"/>
    </row>
    <row r="547" spans="1:12" ht="16">
      <c r="A547" s="18"/>
      <c r="B547" s="352"/>
      <c r="C547" s="352"/>
      <c r="D547" s="352"/>
      <c r="E547" s="352"/>
      <c r="F547" s="352"/>
      <c r="G547" s="352"/>
      <c r="H547" s="352"/>
      <c r="I547" s="352"/>
      <c r="J547" s="352"/>
      <c r="K547" s="352"/>
      <c r="L547" s="18"/>
    </row>
    <row r="548" spans="1:12" ht="16">
      <c r="A548" s="18"/>
      <c r="B548" s="352"/>
      <c r="C548" s="352"/>
      <c r="D548" s="352"/>
      <c r="E548" s="352"/>
      <c r="F548" s="352"/>
      <c r="G548" s="352"/>
      <c r="H548" s="352"/>
      <c r="I548" s="352"/>
      <c r="J548" s="352"/>
      <c r="K548" s="352"/>
      <c r="L548" s="18"/>
    </row>
    <row r="549" spans="1:12" ht="16">
      <c r="A549" s="18"/>
      <c r="B549" s="352"/>
      <c r="C549" s="352"/>
      <c r="D549" s="352"/>
      <c r="E549" s="352"/>
      <c r="F549" s="352"/>
      <c r="G549" s="352"/>
      <c r="H549" s="352"/>
      <c r="I549" s="352"/>
      <c r="J549" s="352"/>
      <c r="K549" s="352"/>
      <c r="L549" s="18"/>
    </row>
    <row r="550" spans="1:12" ht="16">
      <c r="A550" s="18"/>
      <c r="B550" s="352"/>
      <c r="C550" s="352"/>
      <c r="D550" s="352"/>
      <c r="E550" s="352"/>
      <c r="F550" s="352"/>
      <c r="G550" s="352"/>
      <c r="H550" s="352"/>
      <c r="I550" s="352"/>
      <c r="J550" s="352"/>
      <c r="K550" s="352"/>
      <c r="L550" s="18"/>
    </row>
    <row r="551" spans="1:12" ht="16">
      <c r="A551" s="18"/>
      <c r="B551" s="352"/>
      <c r="C551" s="352"/>
      <c r="D551" s="352"/>
      <c r="E551" s="352"/>
      <c r="F551" s="352"/>
      <c r="G551" s="352"/>
      <c r="H551" s="352"/>
      <c r="I551" s="352"/>
      <c r="J551" s="352"/>
      <c r="K551" s="352"/>
      <c r="L551" s="18"/>
    </row>
    <row r="552" spans="1:12" ht="16">
      <c r="A552" s="18"/>
      <c r="B552" s="352"/>
      <c r="C552" s="352"/>
      <c r="D552" s="352"/>
      <c r="E552" s="352"/>
      <c r="F552" s="352"/>
      <c r="G552" s="352"/>
      <c r="H552" s="352"/>
      <c r="I552" s="352"/>
      <c r="J552" s="352"/>
      <c r="K552" s="352"/>
      <c r="L552" s="18"/>
    </row>
    <row r="553" spans="1:12" ht="16">
      <c r="A553" s="18"/>
      <c r="B553" s="352"/>
      <c r="C553" s="352"/>
      <c r="D553" s="352"/>
      <c r="E553" s="352"/>
      <c r="F553" s="352"/>
      <c r="G553" s="352"/>
      <c r="H553" s="352"/>
      <c r="I553" s="352"/>
      <c r="J553" s="352"/>
      <c r="K553" s="352"/>
      <c r="L553" s="18"/>
    </row>
    <row r="554" spans="1:12" ht="16">
      <c r="A554" s="18"/>
      <c r="B554" s="352"/>
      <c r="C554" s="352"/>
      <c r="D554" s="352"/>
      <c r="E554" s="352"/>
      <c r="F554" s="352"/>
      <c r="G554" s="352"/>
      <c r="H554" s="352"/>
      <c r="I554" s="352"/>
      <c r="J554" s="352"/>
      <c r="K554" s="352"/>
      <c r="L554" s="18"/>
    </row>
    <row r="555" spans="1:12" ht="16">
      <c r="A555" s="18"/>
      <c r="B555" s="352"/>
      <c r="C555" s="352"/>
      <c r="D555" s="352"/>
      <c r="E555" s="352"/>
      <c r="F555" s="352"/>
      <c r="G555" s="352"/>
      <c r="H555" s="352"/>
      <c r="I555" s="352"/>
      <c r="J555" s="352"/>
      <c r="K555" s="352"/>
      <c r="L555" s="18"/>
    </row>
    <row r="556" spans="1:12" ht="16">
      <c r="A556" s="18"/>
      <c r="B556" s="352"/>
      <c r="C556" s="352"/>
      <c r="D556" s="352"/>
      <c r="E556" s="352"/>
      <c r="F556" s="352"/>
      <c r="G556" s="352"/>
      <c r="H556" s="352"/>
      <c r="I556" s="352"/>
      <c r="J556" s="352"/>
      <c r="K556" s="352"/>
      <c r="L556" s="18"/>
    </row>
    <row r="557" spans="1:12" ht="16">
      <c r="A557" s="18"/>
      <c r="B557" s="352"/>
      <c r="C557" s="352"/>
      <c r="D557" s="352"/>
      <c r="E557" s="352"/>
      <c r="F557" s="352"/>
      <c r="G557" s="352"/>
      <c r="H557" s="352"/>
      <c r="I557" s="352"/>
      <c r="J557" s="352"/>
      <c r="K557" s="352"/>
      <c r="L557" s="18"/>
    </row>
    <row r="558" spans="1:12" ht="16">
      <c r="A558" s="18"/>
      <c r="B558" s="352"/>
      <c r="C558" s="352"/>
      <c r="D558" s="352"/>
      <c r="E558" s="352"/>
      <c r="F558" s="352"/>
      <c r="G558" s="352"/>
      <c r="H558" s="352"/>
      <c r="I558" s="352"/>
      <c r="J558" s="352"/>
      <c r="K558" s="352"/>
      <c r="L558" s="18"/>
    </row>
    <row r="559" spans="1:12" ht="16">
      <c r="A559" s="18"/>
      <c r="B559" s="352"/>
      <c r="C559" s="352"/>
      <c r="D559" s="352"/>
      <c r="E559" s="352"/>
      <c r="F559" s="352"/>
      <c r="G559" s="352"/>
      <c r="H559" s="352"/>
      <c r="I559" s="352"/>
      <c r="J559" s="352"/>
      <c r="K559" s="352"/>
      <c r="L559" s="18"/>
    </row>
    <row r="560" spans="1:12" ht="16">
      <c r="A560" s="18"/>
      <c r="B560" s="352"/>
      <c r="C560" s="352"/>
      <c r="D560" s="352"/>
      <c r="E560" s="352"/>
      <c r="F560" s="352"/>
      <c r="G560" s="352"/>
      <c r="H560" s="352"/>
      <c r="I560" s="352"/>
      <c r="J560" s="352"/>
      <c r="K560" s="352"/>
      <c r="L560" s="18"/>
    </row>
    <row r="561" spans="1:12" ht="16">
      <c r="A561" s="18"/>
      <c r="B561" s="352"/>
      <c r="C561" s="352"/>
      <c r="D561" s="352"/>
      <c r="E561" s="352"/>
      <c r="F561" s="352"/>
      <c r="G561" s="352"/>
      <c r="H561" s="352"/>
      <c r="I561" s="352"/>
      <c r="J561" s="352"/>
      <c r="K561" s="352"/>
      <c r="L561" s="18"/>
    </row>
    <row r="562" spans="1:12" ht="16">
      <c r="A562" s="18"/>
      <c r="B562" s="352"/>
      <c r="C562" s="352"/>
      <c r="D562" s="352"/>
      <c r="E562" s="352"/>
      <c r="F562" s="352"/>
      <c r="G562" s="352"/>
      <c r="H562" s="352"/>
      <c r="I562" s="352"/>
      <c r="J562" s="352"/>
      <c r="K562" s="352"/>
      <c r="L562" s="18"/>
    </row>
    <row r="563" spans="1:12" ht="16">
      <c r="A563" s="18"/>
      <c r="B563" s="352"/>
      <c r="C563" s="352"/>
      <c r="D563" s="352"/>
      <c r="E563" s="352"/>
      <c r="F563" s="352"/>
      <c r="G563" s="352"/>
      <c r="H563" s="352"/>
      <c r="I563" s="352"/>
      <c r="J563" s="352"/>
      <c r="K563" s="352"/>
      <c r="L563" s="18"/>
    </row>
    <row r="564" spans="1:12" ht="16">
      <c r="A564" s="18"/>
      <c r="B564" s="352"/>
      <c r="C564" s="352"/>
      <c r="D564" s="352"/>
      <c r="E564" s="352"/>
      <c r="F564" s="352"/>
      <c r="G564" s="352"/>
      <c r="H564" s="352"/>
      <c r="I564" s="352"/>
      <c r="J564" s="352"/>
      <c r="K564" s="352"/>
      <c r="L564" s="18"/>
    </row>
    <row r="565" spans="1:12" ht="16">
      <c r="A565" s="18"/>
      <c r="B565" s="352"/>
      <c r="C565" s="352"/>
      <c r="D565" s="352"/>
      <c r="E565" s="352"/>
      <c r="F565" s="352"/>
      <c r="G565" s="352"/>
      <c r="H565" s="352"/>
      <c r="I565" s="352"/>
      <c r="J565" s="352"/>
      <c r="K565" s="352"/>
      <c r="L565" s="18"/>
    </row>
    <row r="566" spans="1:12" ht="16">
      <c r="A566" s="18"/>
      <c r="B566" s="352"/>
      <c r="C566" s="352"/>
      <c r="D566" s="352"/>
      <c r="E566" s="352"/>
      <c r="F566" s="352"/>
      <c r="G566" s="352"/>
      <c r="H566" s="352"/>
      <c r="I566" s="352"/>
      <c r="J566" s="352"/>
      <c r="K566" s="352"/>
      <c r="L566" s="18"/>
    </row>
    <row r="567" spans="1:12" ht="16">
      <c r="A567" s="18"/>
      <c r="B567" s="352"/>
      <c r="C567" s="352"/>
      <c r="D567" s="352"/>
      <c r="E567" s="352"/>
      <c r="F567" s="352"/>
      <c r="G567" s="352"/>
      <c r="H567" s="352"/>
      <c r="I567" s="352"/>
      <c r="J567" s="352"/>
      <c r="K567" s="352"/>
      <c r="L567" s="18"/>
    </row>
    <row r="568" spans="1:12" ht="16">
      <c r="A568" s="18"/>
      <c r="B568" s="352"/>
      <c r="C568" s="352"/>
      <c r="D568" s="352"/>
      <c r="E568" s="352"/>
      <c r="F568" s="352"/>
      <c r="G568" s="352"/>
      <c r="H568" s="352"/>
      <c r="I568" s="352"/>
      <c r="J568" s="352"/>
      <c r="K568" s="352"/>
      <c r="L568" s="18"/>
    </row>
    <row r="569" spans="1:12" ht="16">
      <c r="A569" s="18"/>
      <c r="B569" s="352"/>
      <c r="C569" s="352"/>
      <c r="D569" s="352"/>
      <c r="E569" s="352"/>
      <c r="F569" s="352"/>
      <c r="G569" s="352"/>
      <c r="H569" s="352"/>
      <c r="I569" s="352"/>
      <c r="J569" s="352"/>
      <c r="K569" s="352"/>
      <c r="L569" s="18"/>
    </row>
    <row r="570" spans="1:12" ht="16">
      <c r="A570" s="18"/>
      <c r="B570" s="352"/>
      <c r="C570" s="352"/>
      <c r="D570" s="352"/>
      <c r="E570" s="352"/>
      <c r="F570" s="352"/>
      <c r="G570" s="352"/>
      <c r="H570" s="352"/>
      <c r="I570" s="352"/>
      <c r="J570" s="352"/>
      <c r="K570" s="352"/>
      <c r="L570" s="18"/>
    </row>
    <row r="571" spans="1:12" ht="16">
      <c r="A571" s="18"/>
      <c r="B571" s="352"/>
      <c r="C571" s="352"/>
      <c r="D571" s="352"/>
      <c r="E571" s="352"/>
      <c r="F571" s="352"/>
      <c r="G571" s="352"/>
      <c r="H571" s="352"/>
      <c r="I571" s="352"/>
      <c r="J571" s="352"/>
      <c r="K571" s="352"/>
      <c r="L571" s="18"/>
    </row>
    <row r="572" spans="1:12" ht="16">
      <c r="A572" s="18"/>
      <c r="B572" s="352"/>
      <c r="C572" s="352"/>
      <c r="D572" s="352"/>
      <c r="E572" s="352"/>
      <c r="F572" s="352"/>
      <c r="G572" s="352"/>
      <c r="H572" s="352"/>
      <c r="I572" s="352"/>
      <c r="J572" s="352"/>
      <c r="K572" s="352"/>
      <c r="L572" s="18"/>
    </row>
    <row r="573" spans="1:12" ht="16">
      <c r="A573" s="18"/>
      <c r="B573" s="352"/>
      <c r="C573" s="352"/>
      <c r="D573" s="352"/>
      <c r="E573" s="352"/>
      <c r="F573" s="352"/>
      <c r="G573" s="352"/>
      <c r="H573" s="352"/>
      <c r="I573" s="352"/>
      <c r="J573" s="352"/>
      <c r="K573" s="352"/>
      <c r="L573" s="18"/>
    </row>
    <row r="574" spans="1:12" ht="16">
      <c r="A574" s="18"/>
      <c r="B574" s="352"/>
      <c r="C574" s="352"/>
      <c r="D574" s="352"/>
      <c r="E574" s="352"/>
      <c r="F574" s="352"/>
      <c r="G574" s="352"/>
      <c r="H574" s="352"/>
      <c r="I574" s="352"/>
      <c r="J574" s="352"/>
      <c r="K574" s="352"/>
      <c r="L574" s="18"/>
    </row>
    <row r="575" spans="1:12" ht="16">
      <c r="A575" s="18"/>
      <c r="B575" s="352"/>
      <c r="C575" s="352"/>
      <c r="D575" s="352"/>
      <c r="E575" s="352"/>
      <c r="F575" s="352"/>
      <c r="G575" s="352"/>
      <c r="H575" s="352"/>
      <c r="I575" s="352"/>
      <c r="J575" s="352"/>
      <c r="K575" s="352"/>
      <c r="L575" s="18"/>
    </row>
    <row r="576" spans="1:12" ht="16">
      <c r="A576" s="18"/>
      <c r="B576" s="352"/>
      <c r="C576" s="352"/>
      <c r="D576" s="352"/>
      <c r="E576" s="352"/>
      <c r="F576" s="352"/>
      <c r="G576" s="352"/>
      <c r="H576" s="352"/>
      <c r="I576" s="352"/>
      <c r="J576" s="352"/>
      <c r="K576" s="352"/>
      <c r="L576" s="18"/>
    </row>
    <row r="577" spans="1:12" ht="16">
      <c r="A577" s="18"/>
      <c r="B577" s="352"/>
      <c r="C577" s="352"/>
      <c r="D577" s="352"/>
      <c r="E577" s="352"/>
      <c r="F577" s="352"/>
      <c r="G577" s="352"/>
      <c r="H577" s="352"/>
      <c r="I577" s="352"/>
      <c r="J577" s="352"/>
      <c r="K577" s="352"/>
      <c r="L577" s="18"/>
    </row>
    <row r="578" spans="1:12" ht="16">
      <c r="A578" s="18"/>
      <c r="B578" s="352"/>
      <c r="C578" s="352"/>
      <c r="D578" s="352"/>
      <c r="E578" s="352"/>
      <c r="F578" s="352"/>
      <c r="G578" s="352"/>
      <c r="H578" s="352"/>
      <c r="I578" s="352"/>
      <c r="J578" s="352"/>
      <c r="K578" s="352"/>
      <c r="L578" s="18"/>
    </row>
    <row r="579" spans="1:12" ht="16">
      <c r="A579" s="18"/>
      <c r="B579" s="352"/>
      <c r="C579" s="352"/>
      <c r="D579" s="352"/>
      <c r="E579" s="352"/>
      <c r="F579" s="352"/>
      <c r="G579" s="352"/>
      <c r="H579" s="352"/>
      <c r="I579" s="352"/>
      <c r="J579" s="352"/>
      <c r="K579" s="352"/>
      <c r="L579" s="18"/>
    </row>
    <row r="580" spans="1:12" ht="16">
      <c r="A580" s="18"/>
      <c r="B580" s="352"/>
      <c r="C580" s="352"/>
      <c r="D580" s="352"/>
      <c r="E580" s="352"/>
      <c r="F580" s="352"/>
      <c r="G580" s="352"/>
      <c r="H580" s="352"/>
      <c r="I580" s="352"/>
      <c r="J580" s="352"/>
      <c r="K580" s="352"/>
      <c r="L580" s="18"/>
    </row>
    <row r="581" spans="1:12" ht="16">
      <c r="A581" s="18"/>
      <c r="B581" s="352"/>
      <c r="C581" s="352"/>
      <c r="D581" s="352"/>
      <c r="E581" s="352"/>
      <c r="F581" s="352"/>
      <c r="G581" s="352"/>
      <c r="H581" s="352"/>
      <c r="I581" s="352"/>
      <c r="J581" s="352"/>
      <c r="K581" s="352"/>
      <c r="L581" s="18"/>
    </row>
    <row r="582" spans="1:12" ht="16">
      <c r="A582" s="18"/>
      <c r="B582" s="352"/>
      <c r="C582" s="352"/>
      <c r="D582" s="352"/>
      <c r="E582" s="352"/>
      <c r="F582" s="352"/>
      <c r="G582" s="352"/>
      <c r="H582" s="352"/>
      <c r="I582" s="352"/>
      <c r="J582" s="352"/>
      <c r="K582" s="352"/>
      <c r="L582" s="18"/>
    </row>
    <row r="583" spans="1:12" ht="16">
      <c r="A583" s="18"/>
      <c r="B583" s="352"/>
      <c r="C583" s="352"/>
      <c r="D583" s="352"/>
      <c r="E583" s="352"/>
      <c r="F583" s="352"/>
      <c r="G583" s="352"/>
      <c r="H583" s="352"/>
      <c r="I583" s="352"/>
      <c r="J583" s="352"/>
      <c r="K583" s="352"/>
      <c r="L583" s="18"/>
    </row>
    <row r="584" spans="1:12" ht="16">
      <c r="A584" s="18"/>
      <c r="B584" s="352"/>
      <c r="C584" s="352"/>
      <c r="D584" s="352"/>
      <c r="E584" s="352"/>
      <c r="F584" s="352"/>
      <c r="G584" s="352"/>
      <c r="H584" s="352"/>
      <c r="I584" s="352"/>
      <c r="J584" s="352"/>
      <c r="K584" s="352"/>
      <c r="L584" s="18"/>
    </row>
    <row r="585" spans="1:12" ht="16">
      <c r="A585" s="18"/>
      <c r="B585" s="352"/>
      <c r="C585" s="352"/>
      <c r="D585" s="352"/>
      <c r="E585" s="352"/>
      <c r="F585" s="352"/>
      <c r="G585" s="352"/>
      <c r="H585" s="352"/>
      <c r="I585" s="352"/>
      <c r="J585" s="352"/>
      <c r="K585" s="352"/>
      <c r="L585" s="18"/>
    </row>
    <row r="586" spans="1:12" ht="16">
      <c r="A586" s="18"/>
      <c r="B586" s="352"/>
      <c r="C586" s="352"/>
      <c r="D586" s="352"/>
      <c r="E586" s="352"/>
      <c r="F586" s="352"/>
      <c r="G586" s="352"/>
      <c r="H586" s="352"/>
      <c r="I586" s="352"/>
      <c r="J586" s="352"/>
      <c r="K586" s="352"/>
      <c r="L586" s="18"/>
    </row>
    <row r="587" spans="1:12" ht="16">
      <c r="A587" s="18"/>
      <c r="B587" s="352"/>
      <c r="C587" s="352"/>
      <c r="D587" s="352"/>
      <c r="E587" s="352"/>
      <c r="F587" s="352"/>
      <c r="G587" s="352"/>
      <c r="H587" s="352"/>
      <c r="I587" s="352"/>
      <c r="J587" s="352"/>
      <c r="K587" s="352"/>
      <c r="L587" s="18"/>
    </row>
    <row r="588" spans="1:12" ht="16">
      <c r="A588" s="18"/>
      <c r="B588" s="352"/>
      <c r="C588" s="352"/>
      <c r="D588" s="352"/>
      <c r="E588" s="352"/>
      <c r="F588" s="352"/>
      <c r="G588" s="352"/>
      <c r="H588" s="352"/>
      <c r="I588" s="352"/>
      <c r="J588" s="352"/>
      <c r="K588" s="352"/>
      <c r="L588" s="18"/>
    </row>
    <row r="589" spans="1:12" ht="16">
      <c r="A589" s="18"/>
      <c r="B589" s="352"/>
      <c r="C589" s="352"/>
      <c r="D589" s="352"/>
      <c r="E589" s="352"/>
      <c r="F589" s="352"/>
      <c r="G589" s="352"/>
      <c r="H589" s="352"/>
      <c r="I589" s="352"/>
      <c r="J589" s="352"/>
      <c r="K589" s="352"/>
      <c r="L589" s="18"/>
    </row>
    <row r="590" spans="1:12" ht="16">
      <c r="A590" s="18"/>
      <c r="B590" s="352"/>
      <c r="C590" s="352"/>
      <c r="D590" s="352"/>
      <c r="E590" s="352"/>
      <c r="F590" s="352"/>
      <c r="G590" s="352"/>
      <c r="H590" s="352"/>
      <c r="I590" s="352"/>
      <c r="J590" s="352"/>
      <c r="K590" s="352"/>
      <c r="L590" s="18"/>
    </row>
    <row r="591" spans="1:12" ht="16">
      <c r="A591" s="18"/>
      <c r="B591" s="352"/>
      <c r="C591" s="352"/>
      <c r="D591" s="352"/>
      <c r="E591" s="352"/>
      <c r="F591" s="352"/>
      <c r="G591" s="352"/>
      <c r="H591" s="352"/>
      <c r="I591" s="352"/>
      <c r="J591" s="352"/>
      <c r="K591" s="352"/>
      <c r="L591" s="18"/>
    </row>
    <row r="592" spans="1:12" ht="16">
      <c r="A592" s="18"/>
      <c r="B592" s="352"/>
      <c r="C592" s="352"/>
      <c r="D592" s="352"/>
      <c r="E592" s="352"/>
      <c r="F592" s="352"/>
      <c r="G592" s="352"/>
      <c r="H592" s="352"/>
      <c r="I592" s="352"/>
      <c r="J592" s="352"/>
      <c r="K592" s="352"/>
      <c r="L592" s="18"/>
    </row>
    <row r="593" spans="1:12" ht="16">
      <c r="A593" s="18"/>
      <c r="B593" s="352"/>
      <c r="C593" s="352"/>
      <c r="D593" s="352"/>
      <c r="E593" s="352"/>
      <c r="F593" s="352"/>
      <c r="G593" s="352"/>
      <c r="H593" s="352"/>
      <c r="I593" s="352"/>
      <c r="J593" s="352"/>
      <c r="K593" s="352"/>
      <c r="L593" s="18"/>
    </row>
    <row r="594" spans="1:12" ht="16">
      <c r="A594" s="18"/>
      <c r="B594" s="352"/>
      <c r="C594" s="352"/>
      <c r="D594" s="352"/>
      <c r="E594" s="352"/>
      <c r="F594" s="352"/>
      <c r="G594" s="352"/>
      <c r="H594" s="352"/>
      <c r="I594" s="352"/>
      <c r="J594" s="352"/>
      <c r="K594" s="352"/>
      <c r="L594" s="18"/>
    </row>
    <row r="595" spans="1:12" ht="16">
      <c r="A595" s="18"/>
      <c r="B595" s="352"/>
      <c r="C595" s="352"/>
      <c r="D595" s="352"/>
      <c r="E595" s="352"/>
      <c r="F595" s="352"/>
      <c r="G595" s="352"/>
      <c r="H595" s="352"/>
      <c r="I595" s="352"/>
      <c r="J595" s="352"/>
      <c r="K595" s="352"/>
      <c r="L595" s="18"/>
    </row>
    <row r="596" spans="1:12" ht="16">
      <c r="A596" s="18"/>
      <c r="B596" s="352"/>
      <c r="C596" s="352"/>
      <c r="D596" s="352"/>
      <c r="E596" s="352"/>
      <c r="F596" s="352"/>
      <c r="G596" s="352"/>
      <c r="H596" s="352"/>
      <c r="I596" s="352"/>
      <c r="J596" s="352"/>
      <c r="K596" s="352"/>
      <c r="L596" s="18"/>
    </row>
    <row r="597" spans="1:12" ht="16">
      <c r="A597" s="18"/>
      <c r="B597" s="352"/>
      <c r="C597" s="352"/>
      <c r="D597" s="352"/>
      <c r="E597" s="352"/>
      <c r="F597" s="352"/>
      <c r="G597" s="352"/>
      <c r="H597" s="352"/>
      <c r="I597" s="352"/>
      <c r="J597" s="352"/>
      <c r="K597" s="352"/>
      <c r="L597" s="18"/>
    </row>
    <row r="598" spans="1:12" ht="16">
      <c r="A598" s="18"/>
      <c r="B598" s="352"/>
      <c r="C598" s="352"/>
      <c r="D598" s="352"/>
      <c r="E598" s="352"/>
      <c r="F598" s="352"/>
      <c r="G598" s="352"/>
      <c r="H598" s="352"/>
      <c r="I598" s="352"/>
      <c r="J598" s="352"/>
      <c r="K598" s="352"/>
      <c r="L598" s="18"/>
    </row>
    <row r="599" spans="1:12" ht="16">
      <c r="A599" s="18"/>
      <c r="B599" s="352"/>
      <c r="C599" s="352"/>
      <c r="D599" s="352"/>
      <c r="E599" s="352"/>
      <c r="F599" s="352"/>
      <c r="G599" s="352"/>
      <c r="H599" s="352"/>
      <c r="I599" s="352"/>
      <c r="J599" s="352"/>
      <c r="K599" s="352"/>
      <c r="L599" s="18"/>
    </row>
    <row r="600" spans="1:12" ht="16">
      <c r="A600" s="18"/>
      <c r="B600" s="352"/>
      <c r="C600" s="352"/>
      <c r="D600" s="352"/>
      <c r="E600" s="352"/>
      <c r="F600" s="352"/>
      <c r="G600" s="352"/>
      <c r="H600" s="352"/>
      <c r="I600" s="352"/>
      <c r="J600" s="352"/>
      <c r="K600" s="352"/>
      <c r="L600" s="18"/>
    </row>
    <row r="601" spans="1:12" ht="16">
      <c r="A601" s="18"/>
      <c r="B601" s="352"/>
      <c r="C601" s="352"/>
      <c r="D601" s="352"/>
      <c r="E601" s="352"/>
      <c r="F601" s="352"/>
      <c r="G601" s="352"/>
      <c r="H601" s="352"/>
      <c r="I601" s="352"/>
      <c r="J601" s="352"/>
      <c r="K601" s="352"/>
      <c r="L601" s="18"/>
    </row>
    <row r="602" spans="1:12" ht="16">
      <c r="A602" s="18"/>
      <c r="B602" s="352"/>
      <c r="C602" s="352"/>
      <c r="D602" s="352"/>
      <c r="E602" s="352"/>
      <c r="F602" s="352"/>
      <c r="G602" s="352"/>
      <c r="H602" s="352"/>
      <c r="I602" s="352"/>
      <c r="J602" s="352"/>
      <c r="K602" s="352"/>
      <c r="L602" s="18"/>
    </row>
    <row r="603" spans="1:12" ht="16">
      <c r="A603" s="18"/>
      <c r="B603" s="352"/>
      <c r="C603" s="352"/>
      <c r="D603" s="352"/>
      <c r="E603" s="352"/>
      <c r="F603" s="352"/>
      <c r="G603" s="352"/>
      <c r="H603" s="352"/>
      <c r="I603" s="352"/>
      <c r="J603" s="352"/>
      <c r="K603" s="352"/>
      <c r="L603" s="18"/>
    </row>
    <row r="604" spans="1:12" ht="16">
      <c r="A604" s="18"/>
      <c r="B604" s="352"/>
      <c r="C604" s="352"/>
      <c r="D604" s="352"/>
      <c r="E604" s="352"/>
      <c r="F604" s="352"/>
      <c r="G604" s="352"/>
      <c r="H604" s="352"/>
      <c r="I604" s="352"/>
      <c r="J604" s="352"/>
      <c r="K604" s="352"/>
      <c r="L604" s="18"/>
    </row>
    <row r="605" spans="1:12" ht="16">
      <c r="A605" s="18"/>
      <c r="B605" s="352"/>
      <c r="C605" s="352"/>
      <c r="D605" s="352"/>
      <c r="E605" s="352"/>
      <c r="F605" s="352"/>
      <c r="G605" s="352"/>
      <c r="H605" s="352"/>
      <c r="I605" s="352"/>
      <c r="J605" s="352"/>
      <c r="K605" s="352"/>
      <c r="L605" s="18"/>
    </row>
    <row r="606" spans="1:12" ht="16">
      <c r="A606" s="18"/>
      <c r="B606" s="352"/>
      <c r="C606" s="352"/>
      <c r="D606" s="352"/>
      <c r="E606" s="352"/>
      <c r="F606" s="352"/>
      <c r="G606" s="352"/>
      <c r="H606" s="352"/>
      <c r="I606" s="352"/>
      <c r="J606" s="352"/>
      <c r="K606" s="352"/>
      <c r="L606" s="18"/>
    </row>
    <row r="607" spans="1:12" ht="16">
      <c r="A607" s="18"/>
      <c r="B607" s="352"/>
      <c r="C607" s="352"/>
      <c r="D607" s="352"/>
      <c r="E607" s="352"/>
      <c r="F607" s="352"/>
      <c r="G607" s="352"/>
      <c r="H607" s="352"/>
      <c r="I607" s="352"/>
      <c r="J607" s="352"/>
      <c r="K607" s="352"/>
      <c r="L607" s="18"/>
    </row>
    <row r="608" spans="1:12" ht="16">
      <c r="A608" s="18"/>
      <c r="B608" s="352"/>
      <c r="C608" s="352"/>
      <c r="D608" s="352"/>
      <c r="E608" s="352"/>
      <c r="F608" s="352"/>
      <c r="G608" s="352"/>
      <c r="H608" s="352"/>
      <c r="I608" s="352"/>
      <c r="J608" s="352"/>
      <c r="K608" s="352"/>
      <c r="L608" s="18"/>
    </row>
    <row r="609" spans="1:12" ht="16">
      <c r="A609" s="18"/>
      <c r="B609" s="352"/>
      <c r="C609" s="352"/>
      <c r="D609" s="352"/>
      <c r="E609" s="352"/>
      <c r="F609" s="352"/>
      <c r="G609" s="352"/>
      <c r="H609" s="352"/>
      <c r="I609" s="352"/>
      <c r="J609" s="352"/>
      <c r="K609" s="352"/>
      <c r="L609" s="18"/>
    </row>
    <row r="610" spans="1:12" ht="16">
      <c r="A610" s="18"/>
      <c r="B610" s="352"/>
      <c r="C610" s="352"/>
      <c r="D610" s="352"/>
      <c r="E610" s="352"/>
      <c r="F610" s="352"/>
      <c r="G610" s="352"/>
      <c r="H610" s="352"/>
      <c r="I610" s="352"/>
      <c r="J610" s="352"/>
      <c r="K610" s="352"/>
      <c r="L610" s="18"/>
    </row>
    <row r="611" spans="1:12" ht="16">
      <c r="A611" s="18"/>
      <c r="B611" s="352"/>
      <c r="C611" s="352"/>
      <c r="D611" s="352"/>
      <c r="E611" s="352"/>
      <c r="F611" s="352"/>
      <c r="G611" s="352"/>
      <c r="H611" s="352"/>
      <c r="I611" s="352"/>
      <c r="J611" s="352"/>
      <c r="K611" s="352"/>
      <c r="L611" s="18"/>
    </row>
    <row r="612" spans="1:12" ht="16">
      <c r="A612" s="18"/>
      <c r="B612" s="352"/>
      <c r="C612" s="352"/>
      <c r="D612" s="352"/>
      <c r="E612" s="352"/>
      <c r="F612" s="352"/>
      <c r="G612" s="352"/>
      <c r="H612" s="352"/>
      <c r="I612" s="352"/>
      <c r="J612" s="352"/>
      <c r="K612" s="352"/>
      <c r="L612" s="18"/>
    </row>
    <row r="613" spans="1:12" ht="16">
      <c r="A613" s="18"/>
      <c r="B613" s="352"/>
      <c r="C613" s="352"/>
      <c r="D613" s="352"/>
      <c r="E613" s="352"/>
      <c r="F613" s="352"/>
      <c r="G613" s="352"/>
      <c r="H613" s="352"/>
      <c r="I613" s="352"/>
      <c r="J613" s="352"/>
      <c r="K613" s="352"/>
      <c r="L613" s="18"/>
    </row>
    <row r="614" spans="1:12" ht="16">
      <c r="A614" s="18"/>
      <c r="B614" s="352"/>
      <c r="C614" s="352"/>
      <c r="D614" s="352"/>
      <c r="E614" s="352"/>
      <c r="F614" s="352"/>
      <c r="G614" s="352"/>
      <c r="H614" s="352"/>
      <c r="I614" s="352"/>
      <c r="J614" s="352"/>
      <c r="K614" s="352"/>
      <c r="L614" s="18"/>
    </row>
    <row r="615" spans="1:12" ht="16">
      <c r="A615" s="18"/>
      <c r="B615" s="352"/>
      <c r="C615" s="352"/>
      <c r="D615" s="352"/>
      <c r="E615" s="352"/>
      <c r="F615" s="352"/>
      <c r="G615" s="352"/>
      <c r="H615" s="352"/>
      <c r="I615" s="352"/>
      <c r="J615" s="352"/>
      <c r="K615" s="352"/>
      <c r="L615" s="18"/>
    </row>
    <row r="616" spans="1:12" ht="16">
      <c r="A616" s="18"/>
      <c r="B616" s="352"/>
      <c r="C616" s="352"/>
      <c r="D616" s="352"/>
      <c r="E616" s="352"/>
      <c r="F616" s="352"/>
      <c r="G616" s="352"/>
      <c r="H616" s="352"/>
      <c r="I616" s="352"/>
      <c r="J616" s="352"/>
      <c r="K616" s="352"/>
      <c r="L616" s="18"/>
    </row>
    <row r="617" spans="1:12" ht="16">
      <c r="A617" s="18"/>
      <c r="B617" s="352"/>
      <c r="C617" s="352"/>
      <c r="D617" s="352"/>
      <c r="E617" s="352"/>
      <c r="F617" s="352"/>
      <c r="G617" s="352"/>
      <c r="H617" s="352"/>
      <c r="I617" s="352"/>
      <c r="J617" s="352"/>
      <c r="K617" s="352"/>
      <c r="L617" s="18"/>
    </row>
    <row r="618" spans="1:12" ht="16">
      <c r="A618" s="18"/>
      <c r="B618" s="352"/>
      <c r="C618" s="352"/>
      <c r="D618" s="352"/>
      <c r="E618" s="352"/>
      <c r="F618" s="352"/>
      <c r="G618" s="352"/>
      <c r="H618" s="352"/>
      <c r="I618" s="352"/>
      <c r="J618" s="352"/>
      <c r="K618" s="352"/>
      <c r="L618" s="18"/>
    </row>
    <row r="619" spans="1:12" ht="16">
      <c r="A619" s="18"/>
      <c r="B619" s="352"/>
      <c r="C619" s="352"/>
      <c r="D619" s="352"/>
      <c r="E619" s="352"/>
      <c r="F619" s="352"/>
      <c r="G619" s="352"/>
      <c r="H619" s="352"/>
      <c r="I619" s="352"/>
      <c r="J619" s="352"/>
      <c r="K619" s="352"/>
      <c r="L619" s="18"/>
    </row>
    <row r="620" spans="1:12" ht="16">
      <c r="A620" s="18"/>
      <c r="B620" s="352"/>
      <c r="C620" s="352"/>
      <c r="D620" s="352"/>
      <c r="E620" s="352"/>
      <c r="F620" s="352"/>
      <c r="G620" s="352"/>
      <c r="H620" s="352"/>
      <c r="I620" s="352"/>
      <c r="J620" s="352"/>
      <c r="K620" s="352"/>
      <c r="L620" s="18"/>
    </row>
    <row r="621" spans="1:12" ht="16">
      <c r="A621" s="18"/>
      <c r="B621" s="352"/>
      <c r="C621" s="352"/>
      <c r="D621" s="352"/>
      <c r="E621" s="352"/>
      <c r="F621" s="352"/>
      <c r="G621" s="352"/>
      <c r="H621" s="352"/>
      <c r="I621" s="352"/>
      <c r="J621" s="352"/>
      <c r="K621" s="352"/>
      <c r="L621" s="18"/>
    </row>
    <row r="622" spans="1:12" ht="16">
      <c r="A622" s="18"/>
      <c r="B622" s="352"/>
      <c r="C622" s="352"/>
      <c r="D622" s="352"/>
      <c r="E622" s="352"/>
      <c r="F622" s="352"/>
      <c r="G622" s="352"/>
      <c r="H622" s="352"/>
      <c r="I622" s="352"/>
      <c r="J622" s="352"/>
      <c r="K622" s="352"/>
      <c r="L622" s="18"/>
    </row>
    <row r="623" spans="1:12" ht="16">
      <c r="A623" s="18"/>
      <c r="B623" s="352"/>
      <c r="C623" s="352"/>
      <c r="D623" s="352"/>
      <c r="E623" s="352"/>
      <c r="F623" s="352"/>
      <c r="G623" s="352"/>
      <c r="H623" s="352"/>
      <c r="I623" s="352"/>
      <c r="J623" s="352"/>
      <c r="K623" s="352"/>
      <c r="L623" s="18"/>
    </row>
    <row r="624" spans="1:12" ht="16">
      <c r="A624" s="18"/>
      <c r="B624" s="352"/>
      <c r="C624" s="352"/>
      <c r="D624" s="352"/>
      <c r="E624" s="352"/>
      <c r="F624" s="352"/>
      <c r="G624" s="352"/>
      <c r="H624" s="352"/>
      <c r="I624" s="352"/>
      <c r="J624" s="352"/>
      <c r="K624" s="352"/>
      <c r="L624" s="18"/>
    </row>
    <row r="625" spans="1:12" ht="16">
      <c r="A625" s="18"/>
      <c r="B625" s="352"/>
      <c r="C625" s="352"/>
      <c r="D625" s="352"/>
      <c r="E625" s="352"/>
      <c r="F625" s="352"/>
      <c r="G625" s="352"/>
      <c r="H625" s="352"/>
      <c r="I625" s="352"/>
      <c r="J625" s="352"/>
      <c r="K625" s="352"/>
      <c r="L625" s="18"/>
    </row>
    <row r="626" spans="1:12" ht="16">
      <c r="A626" s="18"/>
      <c r="B626" s="352"/>
      <c r="C626" s="352"/>
      <c r="D626" s="352"/>
      <c r="E626" s="352"/>
      <c r="F626" s="352"/>
      <c r="G626" s="352"/>
      <c r="H626" s="352"/>
      <c r="I626" s="352"/>
      <c r="J626" s="352"/>
      <c r="K626" s="352"/>
      <c r="L626" s="18"/>
    </row>
    <row r="627" spans="1:12" ht="16">
      <c r="A627" s="18"/>
      <c r="B627" s="352"/>
      <c r="C627" s="352"/>
      <c r="D627" s="352"/>
      <c r="E627" s="352"/>
      <c r="F627" s="352"/>
      <c r="G627" s="352"/>
      <c r="H627" s="352"/>
      <c r="I627" s="352"/>
      <c r="J627" s="352"/>
      <c r="K627" s="352"/>
      <c r="L627" s="18"/>
    </row>
    <row r="628" spans="1:12" ht="16">
      <c r="A628" s="18"/>
      <c r="B628" s="352"/>
      <c r="C628" s="352"/>
      <c r="D628" s="352"/>
      <c r="E628" s="352"/>
      <c r="F628" s="352"/>
      <c r="G628" s="352"/>
      <c r="H628" s="352"/>
      <c r="I628" s="352"/>
      <c r="J628" s="352"/>
      <c r="K628" s="352"/>
      <c r="L628" s="18"/>
    </row>
    <row r="629" spans="1:12" ht="16">
      <c r="A629" s="18"/>
      <c r="B629" s="352"/>
      <c r="C629" s="352"/>
      <c r="D629" s="352"/>
      <c r="E629" s="352"/>
      <c r="F629" s="352"/>
      <c r="G629" s="352"/>
      <c r="H629" s="352"/>
      <c r="I629" s="352"/>
      <c r="J629" s="352"/>
      <c r="K629" s="352"/>
      <c r="L629" s="18"/>
    </row>
    <row r="630" spans="1:12" ht="16">
      <c r="A630" s="18"/>
      <c r="B630" s="352"/>
      <c r="C630" s="352"/>
      <c r="D630" s="352"/>
      <c r="E630" s="352"/>
      <c r="F630" s="352"/>
      <c r="G630" s="352"/>
      <c r="H630" s="352"/>
      <c r="I630" s="352"/>
      <c r="J630" s="352"/>
      <c r="K630" s="352"/>
      <c r="L630" s="18"/>
    </row>
    <row r="631" spans="1:12" ht="16">
      <c r="A631" s="18"/>
      <c r="B631" s="352"/>
      <c r="C631" s="352"/>
      <c r="D631" s="352"/>
      <c r="E631" s="352"/>
      <c r="F631" s="352"/>
      <c r="G631" s="352"/>
      <c r="H631" s="352"/>
      <c r="I631" s="352"/>
      <c r="J631" s="352"/>
      <c r="K631" s="352"/>
      <c r="L631" s="18"/>
    </row>
    <row r="632" spans="1:12" ht="16">
      <c r="A632" s="18"/>
      <c r="B632" s="352"/>
      <c r="C632" s="352"/>
      <c r="D632" s="352"/>
      <c r="E632" s="352"/>
      <c r="F632" s="352"/>
      <c r="G632" s="352"/>
      <c r="H632" s="352"/>
      <c r="I632" s="352"/>
      <c r="J632" s="352"/>
      <c r="K632" s="352"/>
      <c r="L632" s="18"/>
    </row>
    <row r="633" spans="1:12" ht="16">
      <c r="A633" s="18"/>
      <c r="B633" s="352"/>
      <c r="C633" s="352"/>
      <c r="D633" s="352"/>
      <c r="E633" s="352"/>
      <c r="F633" s="352"/>
      <c r="G633" s="352"/>
      <c r="H633" s="352"/>
      <c r="I633" s="352"/>
      <c r="J633" s="352"/>
      <c r="K633" s="352"/>
      <c r="L633" s="18"/>
    </row>
    <row r="634" spans="1:12" ht="16">
      <c r="A634" s="18"/>
      <c r="B634" s="352"/>
      <c r="C634" s="352"/>
      <c r="D634" s="352"/>
      <c r="E634" s="352"/>
      <c r="F634" s="352"/>
      <c r="G634" s="352"/>
      <c r="H634" s="352"/>
      <c r="I634" s="352"/>
      <c r="J634" s="352"/>
      <c r="K634" s="352"/>
      <c r="L634" s="18"/>
    </row>
    <row r="635" spans="1:12" ht="16">
      <c r="A635" s="18"/>
      <c r="B635" s="352"/>
      <c r="C635" s="352"/>
      <c r="D635" s="352"/>
      <c r="E635" s="352"/>
      <c r="F635" s="352"/>
      <c r="G635" s="352"/>
      <c r="H635" s="352"/>
      <c r="I635" s="352"/>
      <c r="J635" s="352"/>
      <c r="K635" s="352"/>
      <c r="L635" s="18"/>
    </row>
    <row r="636" spans="1:12" ht="16">
      <c r="A636" s="18"/>
      <c r="B636" s="352"/>
      <c r="C636" s="352"/>
      <c r="D636" s="352"/>
      <c r="E636" s="352"/>
      <c r="F636" s="352"/>
      <c r="G636" s="352"/>
      <c r="H636" s="352"/>
      <c r="I636" s="352"/>
      <c r="J636" s="352"/>
      <c r="K636" s="352"/>
      <c r="L636" s="18"/>
    </row>
    <row r="637" spans="1:12" ht="16">
      <c r="A637" s="18"/>
      <c r="B637" s="352"/>
      <c r="C637" s="352"/>
      <c r="D637" s="352"/>
      <c r="E637" s="352"/>
      <c r="F637" s="352"/>
      <c r="G637" s="352"/>
      <c r="H637" s="352"/>
      <c r="I637" s="352"/>
      <c r="J637" s="352"/>
      <c r="K637" s="352"/>
      <c r="L637" s="18"/>
    </row>
    <row r="638" spans="1:12" ht="16">
      <c r="A638" s="18"/>
      <c r="B638" s="352"/>
      <c r="C638" s="352"/>
      <c r="D638" s="352"/>
      <c r="E638" s="352"/>
      <c r="F638" s="352"/>
      <c r="G638" s="352"/>
      <c r="H638" s="352"/>
      <c r="I638" s="352"/>
      <c r="J638" s="352"/>
      <c r="K638" s="352"/>
      <c r="L638" s="18"/>
    </row>
    <row r="639" spans="1:12" ht="16">
      <c r="A639" s="18"/>
      <c r="B639" s="352"/>
      <c r="C639" s="352"/>
      <c r="D639" s="352"/>
      <c r="E639" s="352"/>
      <c r="F639" s="352"/>
      <c r="G639" s="352"/>
      <c r="H639" s="352"/>
      <c r="I639" s="352"/>
      <c r="J639" s="352"/>
      <c r="K639" s="352"/>
      <c r="L639" s="18"/>
    </row>
    <row r="640" spans="1:12" ht="16">
      <c r="A640" s="18"/>
      <c r="B640" s="352"/>
      <c r="C640" s="352"/>
      <c r="D640" s="352"/>
      <c r="E640" s="352"/>
      <c r="F640" s="352"/>
      <c r="G640" s="352"/>
      <c r="H640" s="352"/>
      <c r="I640" s="352"/>
      <c r="J640" s="352"/>
      <c r="K640" s="352"/>
      <c r="L640" s="18"/>
    </row>
    <row r="641" spans="1:12" ht="16">
      <c r="A641" s="18"/>
      <c r="B641" s="352"/>
      <c r="C641" s="352"/>
      <c r="D641" s="352"/>
      <c r="E641" s="352"/>
      <c r="F641" s="352"/>
      <c r="G641" s="352"/>
      <c r="H641" s="352"/>
      <c r="I641" s="352"/>
      <c r="J641" s="352"/>
      <c r="K641" s="352"/>
      <c r="L641" s="18"/>
    </row>
    <row r="642" spans="1:12" ht="16">
      <c r="A642" s="18"/>
      <c r="B642" s="352"/>
      <c r="C642" s="352"/>
      <c r="D642" s="352"/>
      <c r="E642" s="352"/>
      <c r="F642" s="352"/>
      <c r="G642" s="352"/>
      <c r="H642" s="352"/>
      <c r="I642" s="352"/>
      <c r="J642" s="352"/>
      <c r="K642" s="352"/>
      <c r="L642" s="18"/>
    </row>
    <row r="643" spans="1:12" ht="16">
      <c r="A643" s="18"/>
      <c r="B643" s="352"/>
      <c r="C643" s="352"/>
      <c r="D643" s="352"/>
      <c r="E643" s="352"/>
      <c r="F643" s="352"/>
      <c r="G643" s="352"/>
      <c r="H643" s="352"/>
      <c r="I643" s="352"/>
      <c r="J643" s="352"/>
      <c r="K643" s="352"/>
      <c r="L643" s="18"/>
    </row>
    <row r="644" spans="1:12" ht="16">
      <c r="A644" s="18"/>
      <c r="B644" s="352"/>
      <c r="C644" s="352"/>
      <c r="D644" s="352"/>
      <c r="E644" s="352"/>
      <c r="F644" s="352"/>
      <c r="G644" s="352"/>
      <c r="H644" s="352"/>
      <c r="I644" s="352"/>
      <c r="J644" s="352"/>
      <c r="K644" s="352"/>
      <c r="L644" s="18"/>
    </row>
    <row r="645" spans="1:12" ht="16">
      <c r="A645" s="18"/>
      <c r="B645" s="352"/>
      <c r="C645" s="352"/>
      <c r="D645" s="352"/>
      <c r="E645" s="352"/>
      <c r="F645" s="352"/>
      <c r="G645" s="352"/>
      <c r="H645" s="352"/>
      <c r="I645" s="352"/>
      <c r="J645" s="352"/>
      <c r="K645" s="352"/>
      <c r="L645" s="18"/>
    </row>
    <row r="646" spans="1:12" ht="16">
      <c r="A646" s="18"/>
      <c r="B646" s="352"/>
      <c r="C646" s="352"/>
      <c r="D646" s="352"/>
      <c r="E646" s="352"/>
      <c r="F646" s="352"/>
      <c r="G646" s="352"/>
      <c r="H646" s="352"/>
      <c r="I646" s="352"/>
      <c r="J646" s="352"/>
      <c r="K646" s="352"/>
      <c r="L646" s="18"/>
    </row>
    <row r="647" spans="1:12" ht="16">
      <c r="A647" s="18"/>
      <c r="B647" s="352"/>
      <c r="C647" s="352"/>
      <c r="D647" s="352"/>
      <c r="E647" s="352"/>
      <c r="F647" s="352"/>
      <c r="G647" s="352"/>
      <c r="H647" s="352"/>
      <c r="I647" s="352"/>
      <c r="J647" s="352"/>
      <c r="K647" s="352"/>
      <c r="L647" s="18"/>
    </row>
    <row r="648" spans="1:12" ht="16">
      <c r="A648" s="18"/>
      <c r="B648" s="352"/>
      <c r="C648" s="352"/>
      <c r="D648" s="352"/>
      <c r="E648" s="352"/>
      <c r="F648" s="352"/>
      <c r="G648" s="352"/>
      <c r="H648" s="352"/>
      <c r="I648" s="352"/>
      <c r="J648" s="352"/>
      <c r="K648" s="352"/>
      <c r="L648" s="18"/>
    </row>
    <row r="649" spans="1:12" ht="16">
      <c r="A649" s="18"/>
      <c r="B649" s="352"/>
      <c r="C649" s="352"/>
      <c r="D649" s="352"/>
      <c r="E649" s="352"/>
      <c r="F649" s="352"/>
      <c r="G649" s="352"/>
      <c r="H649" s="352"/>
      <c r="I649" s="352"/>
      <c r="J649" s="352"/>
      <c r="K649" s="352"/>
      <c r="L649" s="18"/>
    </row>
    <row r="650" spans="1:12" ht="16">
      <c r="A650" s="18"/>
      <c r="B650" s="352"/>
      <c r="C650" s="352"/>
      <c r="D650" s="352"/>
      <c r="E650" s="352"/>
      <c r="F650" s="352"/>
      <c r="G650" s="352"/>
      <c r="H650" s="352"/>
      <c r="I650" s="352"/>
      <c r="J650" s="352"/>
      <c r="K650" s="352"/>
      <c r="L650" s="18"/>
    </row>
    <row r="651" spans="1:12" ht="16">
      <c r="A651" s="18"/>
      <c r="B651" s="352"/>
      <c r="C651" s="352"/>
      <c r="D651" s="352"/>
      <c r="E651" s="352"/>
      <c r="F651" s="352"/>
      <c r="G651" s="352"/>
      <c r="H651" s="352"/>
      <c r="I651" s="352"/>
      <c r="J651" s="352"/>
      <c r="K651" s="352"/>
      <c r="L651" s="18"/>
    </row>
    <row r="652" spans="1:12" ht="16">
      <c r="A652" s="18"/>
      <c r="B652" s="352"/>
      <c r="C652" s="352"/>
      <c r="D652" s="352"/>
      <c r="E652" s="352"/>
      <c r="F652" s="352"/>
      <c r="G652" s="352"/>
      <c r="H652" s="352"/>
      <c r="I652" s="352"/>
      <c r="J652" s="352"/>
      <c r="K652" s="352"/>
      <c r="L652" s="18"/>
    </row>
    <row r="653" spans="1:12" ht="16">
      <c r="A653" s="18"/>
      <c r="B653" s="352"/>
      <c r="C653" s="352"/>
      <c r="D653" s="352"/>
      <c r="E653" s="352"/>
      <c r="F653" s="352"/>
      <c r="G653" s="352"/>
      <c r="H653" s="352"/>
      <c r="I653" s="352"/>
      <c r="J653" s="352"/>
      <c r="K653" s="352"/>
      <c r="L653" s="18"/>
    </row>
    <row r="654" spans="1:12" ht="16">
      <c r="A654" s="18"/>
      <c r="B654" s="352"/>
      <c r="C654" s="352"/>
      <c r="D654" s="352"/>
      <c r="E654" s="352"/>
      <c r="F654" s="352"/>
      <c r="G654" s="352"/>
      <c r="H654" s="352"/>
      <c r="I654" s="352"/>
      <c r="J654" s="352"/>
      <c r="K654" s="352"/>
      <c r="L654" s="18"/>
    </row>
    <row r="655" spans="1:12" ht="16">
      <c r="A655" s="18"/>
      <c r="B655" s="352"/>
      <c r="C655" s="352"/>
      <c r="D655" s="352"/>
      <c r="E655" s="352"/>
      <c r="F655" s="352"/>
      <c r="G655" s="352"/>
      <c r="H655" s="352"/>
      <c r="I655" s="352"/>
      <c r="J655" s="352"/>
      <c r="K655" s="352"/>
      <c r="L655" s="18"/>
    </row>
    <row r="656" spans="1:12" ht="16">
      <c r="A656" s="18"/>
      <c r="B656" s="352"/>
      <c r="C656" s="352"/>
      <c r="D656" s="352"/>
      <c r="E656" s="352"/>
      <c r="F656" s="352"/>
      <c r="G656" s="352"/>
      <c r="H656" s="352"/>
      <c r="I656" s="352"/>
      <c r="J656" s="352"/>
      <c r="K656" s="352"/>
      <c r="L656" s="18"/>
    </row>
    <row r="657" spans="1:12" ht="16">
      <c r="A657" s="18"/>
      <c r="B657" s="352"/>
      <c r="C657" s="352"/>
      <c r="D657" s="352"/>
      <c r="E657" s="352"/>
      <c r="F657" s="352"/>
      <c r="G657" s="352"/>
      <c r="H657" s="352"/>
      <c r="I657" s="352"/>
      <c r="J657" s="352"/>
      <c r="K657" s="352"/>
      <c r="L657" s="18"/>
    </row>
    <row r="658" spans="1:12" ht="16">
      <c r="A658" s="18"/>
      <c r="B658" s="352"/>
      <c r="C658" s="352"/>
      <c r="D658" s="352"/>
      <c r="E658" s="352"/>
      <c r="F658" s="352"/>
      <c r="G658" s="352"/>
      <c r="H658" s="352"/>
      <c r="I658" s="352"/>
      <c r="J658" s="352"/>
      <c r="K658" s="352"/>
      <c r="L658" s="18"/>
    </row>
    <row r="659" spans="1:12" ht="16">
      <c r="A659" s="18"/>
      <c r="B659" s="352"/>
      <c r="C659" s="352"/>
      <c r="D659" s="352"/>
      <c r="E659" s="352"/>
      <c r="F659" s="352"/>
      <c r="G659" s="352"/>
      <c r="H659" s="352"/>
      <c r="I659" s="352"/>
      <c r="J659" s="352"/>
      <c r="K659" s="352"/>
      <c r="L659" s="18"/>
    </row>
    <row r="660" spans="1:12" ht="16">
      <c r="A660" s="18"/>
      <c r="B660" s="352"/>
      <c r="C660" s="352"/>
      <c r="D660" s="352"/>
      <c r="E660" s="352"/>
      <c r="F660" s="352"/>
      <c r="G660" s="352"/>
      <c r="H660" s="352"/>
      <c r="I660" s="352"/>
      <c r="J660" s="352"/>
      <c r="K660" s="352"/>
      <c r="L660" s="18"/>
    </row>
    <row r="661" spans="1:12" ht="16">
      <c r="A661" s="18"/>
      <c r="B661" s="352"/>
      <c r="C661" s="352"/>
      <c r="D661" s="352"/>
      <c r="E661" s="352"/>
      <c r="F661" s="352"/>
      <c r="G661" s="352"/>
      <c r="H661" s="352"/>
      <c r="I661" s="352"/>
      <c r="J661" s="352"/>
      <c r="K661" s="352"/>
      <c r="L661" s="18"/>
    </row>
    <row r="662" spans="1:12" ht="16">
      <c r="A662" s="18"/>
      <c r="B662" s="352"/>
      <c r="C662" s="352"/>
      <c r="D662" s="352"/>
      <c r="E662" s="352"/>
      <c r="F662" s="352"/>
      <c r="G662" s="352"/>
      <c r="H662" s="352"/>
      <c r="I662" s="352"/>
      <c r="J662" s="352"/>
      <c r="K662" s="352"/>
      <c r="L662" s="18"/>
    </row>
    <row r="663" spans="1:12" ht="16">
      <c r="A663" s="18"/>
      <c r="B663" s="352"/>
      <c r="C663" s="352"/>
      <c r="D663" s="352"/>
      <c r="E663" s="352"/>
      <c r="F663" s="352"/>
      <c r="G663" s="352"/>
      <c r="H663" s="352"/>
      <c r="I663" s="352"/>
      <c r="J663" s="352"/>
      <c r="K663" s="352"/>
      <c r="L663" s="18"/>
    </row>
    <row r="664" spans="1:12" ht="16">
      <c r="A664" s="18"/>
      <c r="B664" s="352"/>
      <c r="C664" s="352"/>
      <c r="D664" s="352"/>
      <c r="E664" s="352"/>
      <c r="F664" s="352"/>
      <c r="G664" s="352"/>
      <c r="H664" s="352"/>
      <c r="I664" s="352"/>
      <c r="J664" s="352"/>
      <c r="K664" s="352"/>
      <c r="L664" s="18"/>
    </row>
    <row r="665" spans="1:12" ht="16">
      <c r="A665" s="18"/>
      <c r="B665" s="352"/>
      <c r="C665" s="352"/>
      <c r="D665" s="352"/>
      <c r="E665" s="352"/>
      <c r="F665" s="352"/>
      <c r="G665" s="352"/>
      <c r="H665" s="352"/>
      <c r="I665" s="352"/>
      <c r="J665" s="352"/>
      <c r="K665" s="352"/>
      <c r="L665" s="18"/>
    </row>
    <row r="666" spans="1:12" ht="16">
      <c r="A666" s="18"/>
      <c r="B666" s="352"/>
      <c r="C666" s="352"/>
      <c r="D666" s="352"/>
      <c r="E666" s="352"/>
      <c r="F666" s="352"/>
      <c r="G666" s="352"/>
      <c r="H666" s="352"/>
      <c r="I666" s="352"/>
      <c r="J666" s="352"/>
      <c r="K666" s="352"/>
      <c r="L666" s="18"/>
    </row>
    <row r="667" spans="1:12" ht="16">
      <c r="A667" s="18"/>
      <c r="B667" s="352"/>
      <c r="C667" s="352"/>
      <c r="D667" s="352"/>
      <c r="E667" s="352"/>
      <c r="F667" s="352"/>
      <c r="G667" s="352"/>
      <c r="H667" s="352"/>
      <c r="I667" s="352"/>
      <c r="J667" s="352"/>
      <c r="K667" s="352"/>
      <c r="L667" s="18"/>
    </row>
    <row r="668" spans="1:12" ht="16">
      <c r="A668" s="18"/>
      <c r="B668" s="352"/>
      <c r="C668" s="352"/>
      <c r="D668" s="352"/>
      <c r="E668" s="352"/>
      <c r="F668" s="352"/>
      <c r="G668" s="352"/>
      <c r="H668" s="352"/>
      <c r="I668" s="352"/>
      <c r="J668" s="352"/>
      <c r="K668" s="352"/>
      <c r="L668" s="18"/>
    </row>
    <row r="669" spans="1:12" ht="16">
      <c r="A669" s="18"/>
      <c r="B669" s="352"/>
      <c r="C669" s="352"/>
      <c r="D669" s="352"/>
      <c r="E669" s="352"/>
      <c r="F669" s="352"/>
      <c r="G669" s="352"/>
      <c r="H669" s="352"/>
      <c r="I669" s="352"/>
      <c r="J669" s="352"/>
      <c r="K669" s="352"/>
      <c r="L669" s="18"/>
    </row>
    <row r="670" spans="1:12" ht="16">
      <c r="A670" s="18"/>
      <c r="B670" s="352"/>
      <c r="C670" s="352"/>
      <c r="D670" s="352"/>
      <c r="E670" s="352"/>
      <c r="F670" s="352"/>
      <c r="G670" s="352"/>
      <c r="H670" s="352"/>
      <c r="I670" s="352"/>
      <c r="J670" s="352"/>
      <c r="K670" s="352"/>
      <c r="L670" s="18"/>
    </row>
    <row r="671" spans="1:12" ht="16">
      <c r="A671" s="18"/>
      <c r="B671" s="352"/>
      <c r="C671" s="352"/>
      <c r="D671" s="352"/>
      <c r="E671" s="352"/>
      <c r="F671" s="352"/>
      <c r="G671" s="352"/>
      <c r="H671" s="352"/>
      <c r="I671" s="352"/>
      <c r="J671" s="352"/>
      <c r="K671" s="352"/>
      <c r="L671" s="18"/>
    </row>
    <row r="672" spans="1:12" ht="16">
      <c r="A672" s="18"/>
      <c r="B672" s="352"/>
      <c r="C672" s="352"/>
      <c r="D672" s="352"/>
      <c r="E672" s="352"/>
      <c r="F672" s="352"/>
      <c r="G672" s="352"/>
      <c r="H672" s="352"/>
      <c r="I672" s="352"/>
      <c r="J672" s="352"/>
      <c r="K672" s="352"/>
      <c r="L672" s="18"/>
    </row>
    <row r="673" spans="1:12" ht="16">
      <c r="A673" s="18"/>
      <c r="B673" s="352"/>
      <c r="C673" s="352"/>
      <c r="D673" s="352"/>
      <c r="E673" s="352"/>
      <c r="F673" s="352"/>
      <c r="G673" s="352"/>
      <c r="H673" s="352"/>
      <c r="I673" s="352"/>
      <c r="J673" s="352"/>
      <c r="K673" s="352"/>
      <c r="L673" s="18"/>
    </row>
    <row r="674" spans="1:12" ht="16">
      <c r="A674" s="18"/>
      <c r="B674" s="352"/>
      <c r="C674" s="352"/>
      <c r="D674" s="352"/>
      <c r="E674" s="352"/>
      <c r="F674" s="352"/>
      <c r="G674" s="352"/>
      <c r="H674" s="352"/>
      <c r="I674" s="352"/>
      <c r="J674" s="352"/>
      <c r="K674" s="352"/>
      <c r="L674" s="18"/>
    </row>
    <row r="675" spans="1:12" ht="16">
      <c r="A675" s="18"/>
      <c r="B675" s="352"/>
      <c r="C675" s="352"/>
      <c r="D675" s="352"/>
      <c r="E675" s="352"/>
      <c r="F675" s="352"/>
      <c r="G675" s="352"/>
      <c r="H675" s="352"/>
      <c r="I675" s="352"/>
      <c r="J675" s="352"/>
      <c r="K675" s="352"/>
      <c r="L675" s="18"/>
    </row>
    <row r="676" spans="1:12" ht="16">
      <c r="A676" s="18"/>
      <c r="B676" s="352"/>
      <c r="C676" s="352"/>
      <c r="D676" s="352"/>
      <c r="E676" s="352"/>
      <c r="F676" s="352"/>
      <c r="G676" s="352"/>
      <c r="H676" s="352"/>
      <c r="I676" s="352"/>
      <c r="J676" s="352"/>
      <c r="K676" s="352"/>
      <c r="L676" s="18"/>
    </row>
    <row r="677" spans="1:12" ht="16">
      <c r="A677" s="18"/>
      <c r="B677" s="352"/>
      <c r="C677" s="352"/>
      <c r="D677" s="352"/>
      <c r="E677" s="352"/>
      <c r="F677" s="352"/>
      <c r="G677" s="352"/>
      <c r="H677" s="352"/>
      <c r="I677" s="352"/>
      <c r="J677" s="352"/>
      <c r="K677" s="352"/>
      <c r="L677" s="18"/>
    </row>
    <row r="678" spans="1:12" ht="16">
      <c r="A678" s="18"/>
      <c r="B678" s="352"/>
      <c r="C678" s="352"/>
      <c r="D678" s="352"/>
      <c r="E678" s="352"/>
      <c r="F678" s="352"/>
      <c r="G678" s="352"/>
      <c r="H678" s="352"/>
      <c r="I678" s="352"/>
      <c r="J678" s="352"/>
      <c r="K678" s="352"/>
      <c r="L678" s="18"/>
    </row>
    <row r="679" spans="1:12" ht="16">
      <c r="A679" s="18"/>
      <c r="B679" s="352"/>
      <c r="C679" s="352"/>
      <c r="D679" s="352"/>
      <c r="E679" s="352"/>
      <c r="F679" s="352"/>
      <c r="G679" s="352"/>
      <c r="H679" s="352"/>
      <c r="I679" s="352"/>
      <c r="J679" s="352"/>
      <c r="K679" s="352"/>
      <c r="L679" s="18"/>
    </row>
    <row r="680" spans="1:12" ht="16">
      <c r="A680" s="18"/>
      <c r="B680" s="352"/>
      <c r="C680" s="352"/>
      <c r="D680" s="352"/>
      <c r="E680" s="352"/>
      <c r="F680" s="352"/>
      <c r="G680" s="352"/>
      <c r="H680" s="352"/>
      <c r="I680" s="352"/>
      <c r="J680" s="352"/>
      <c r="K680" s="352"/>
      <c r="L680" s="18"/>
    </row>
    <row r="681" spans="1:12" ht="16">
      <c r="A681" s="18"/>
      <c r="B681" s="352"/>
      <c r="C681" s="352"/>
      <c r="D681" s="352"/>
      <c r="E681" s="352"/>
      <c r="F681" s="352"/>
      <c r="G681" s="352"/>
      <c r="H681" s="352"/>
      <c r="I681" s="352"/>
      <c r="J681" s="352"/>
      <c r="K681" s="352"/>
      <c r="L681" s="18"/>
    </row>
    <row r="682" spans="1:12" ht="16">
      <c r="A682" s="18"/>
      <c r="B682" s="352"/>
      <c r="C682" s="352"/>
      <c r="D682" s="352"/>
      <c r="E682" s="352"/>
      <c r="F682" s="352"/>
      <c r="G682" s="352"/>
      <c r="H682" s="352"/>
      <c r="I682" s="352"/>
      <c r="J682" s="352"/>
      <c r="K682" s="352"/>
      <c r="L682" s="18"/>
    </row>
    <row r="683" spans="1:12" ht="16">
      <c r="A683" s="18"/>
      <c r="B683" s="352"/>
      <c r="C683" s="352"/>
      <c r="D683" s="352"/>
      <c r="E683" s="352"/>
      <c r="F683" s="352"/>
      <c r="G683" s="352"/>
      <c r="H683" s="352"/>
      <c r="I683" s="352"/>
      <c r="J683" s="352"/>
      <c r="K683" s="352"/>
      <c r="L683" s="18"/>
    </row>
    <row r="684" spans="1:12" ht="16">
      <c r="A684" s="18"/>
      <c r="B684" s="352"/>
      <c r="C684" s="352"/>
      <c r="D684" s="352"/>
      <c r="E684" s="352"/>
      <c r="F684" s="352"/>
      <c r="G684" s="352"/>
      <c r="H684" s="352"/>
      <c r="I684" s="352"/>
      <c r="J684" s="352"/>
      <c r="K684" s="352"/>
      <c r="L684" s="18"/>
    </row>
    <row r="685" spans="1:12" ht="16">
      <c r="A685" s="18"/>
      <c r="B685" s="352"/>
      <c r="C685" s="352"/>
      <c r="D685" s="352"/>
      <c r="E685" s="352"/>
      <c r="F685" s="352"/>
      <c r="G685" s="352"/>
      <c r="H685" s="352"/>
      <c r="I685" s="352"/>
      <c r="J685" s="352"/>
      <c r="K685" s="352"/>
      <c r="L685" s="18"/>
    </row>
    <row r="686" spans="1:12" ht="16">
      <c r="A686" s="18"/>
      <c r="B686" s="352"/>
      <c r="C686" s="352"/>
      <c r="D686" s="352"/>
      <c r="E686" s="352"/>
      <c r="F686" s="352"/>
      <c r="G686" s="352"/>
      <c r="H686" s="352"/>
      <c r="I686" s="352"/>
      <c r="J686" s="352"/>
      <c r="K686" s="352"/>
      <c r="L686" s="18"/>
    </row>
    <row r="687" spans="1:12" ht="16">
      <c r="A687" s="18"/>
      <c r="B687" s="352"/>
      <c r="C687" s="352"/>
      <c r="D687" s="352"/>
      <c r="E687" s="352"/>
      <c r="F687" s="352"/>
      <c r="G687" s="352"/>
      <c r="H687" s="352"/>
      <c r="I687" s="352"/>
      <c r="J687" s="352"/>
      <c r="K687" s="352"/>
      <c r="L687" s="18"/>
    </row>
    <row r="688" spans="1:12" ht="16">
      <c r="A688" s="18"/>
      <c r="B688" s="352"/>
      <c r="C688" s="352"/>
      <c r="D688" s="352"/>
      <c r="E688" s="352"/>
      <c r="F688" s="352"/>
      <c r="G688" s="352"/>
      <c r="H688" s="352"/>
      <c r="I688" s="352"/>
      <c r="J688" s="352"/>
      <c r="K688" s="352"/>
      <c r="L688" s="18"/>
    </row>
    <row r="689" spans="1:12" ht="16">
      <c r="A689" s="18"/>
      <c r="B689" s="352"/>
      <c r="C689" s="352"/>
      <c r="D689" s="352"/>
      <c r="E689" s="352"/>
      <c r="F689" s="352"/>
      <c r="G689" s="352"/>
      <c r="H689" s="352"/>
      <c r="I689" s="352"/>
      <c r="J689" s="352"/>
      <c r="K689" s="352"/>
      <c r="L689" s="18"/>
    </row>
    <row r="690" spans="1:12" ht="16">
      <c r="A690" s="18"/>
      <c r="B690" s="352"/>
      <c r="C690" s="352"/>
      <c r="D690" s="352"/>
      <c r="E690" s="352"/>
      <c r="F690" s="352"/>
      <c r="G690" s="352"/>
      <c r="H690" s="352"/>
      <c r="I690" s="352"/>
      <c r="J690" s="352"/>
      <c r="K690" s="352"/>
      <c r="L690" s="18"/>
    </row>
    <row r="691" spans="1:12" ht="16">
      <c r="A691" s="18"/>
      <c r="B691" s="352"/>
      <c r="C691" s="352"/>
      <c r="D691" s="352"/>
      <c r="E691" s="352"/>
      <c r="F691" s="352"/>
      <c r="G691" s="352"/>
      <c r="H691" s="352"/>
      <c r="I691" s="352"/>
      <c r="J691" s="352"/>
      <c r="K691" s="352"/>
      <c r="L691" s="18"/>
    </row>
    <row r="692" spans="1:12" ht="16">
      <c r="A692" s="18"/>
      <c r="B692" s="352"/>
      <c r="C692" s="352"/>
      <c r="D692" s="352"/>
      <c r="E692" s="352"/>
      <c r="F692" s="352"/>
      <c r="G692" s="352"/>
      <c r="H692" s="352"/>
      <c r="I692" s="352"/>
      <c r="J692" s="352"/>
      <c r="K692" s="352"/>
      <c r="L692" s="18"/>
    </row>
    <row r="693" spans="1:12" ht="16">
      <c r="A693" s="18"/>
      <c r="B693" s="352"/>
      <c r="C693" s="352"/>
      <c r="D693" s="352"/>
      <c r="E693" s="352"/>
      <c r="F693" s="352"/>
      <c r="G693" s="352"/>
      <c r="H693" s="352"/>
      <c r="I693" s="352"/>
      <c r="J693" s="352"/>
      <c r="K693" s="352"/>
      <c r="L693" s="18"/>
    </row>
    <row r="694" spans="1:12" ht="16">
      <c r="A694" s="18"/>
      <c r="B694" s="352"/>
      <c r="C694" s="352"/>
      <c r="D694" s="352"/>
      <c r="E694" s="352"/>
      <c r="F694" s="352"/>
      <c r="G694" s="352"/>
      <c r="H694" s="352"/>
      <c r="I694" s="352"/>
      <c r="J694" s="352"/>
      <c r="K694" s="352"/>
      <c r="L694" s="18"/>
    </row>
    <row r="695" spans="1:12" ht="16">
      <c r="A695" s="18"/>
      <c r="B695" s="352"/>
      <c r="C695" s="352"/>
      <c r="D695" s="352"/>
      <c r="E695" s="352"/>
      <c r="F695" s="352"/>
      <c r="G695" s="352"/>
      <c r="H695" s="352"/>
      <c r="I695" s="352"/>
      <c r="J695" s="352"/>
      <c r="K695" s="352"/>
      <c r="L695" s="18"/>
    </row>
    <row r="696" spans="1:12" ht="16">
      <c r="A696" s="18"/>
      <c r="B696" s="352"/>
      <c r="C696" s="352"/>
      <c r="D696" s="352"/>
      <c r="E696" s="352"/>
      <c r="F696" s="352"/>
      <c r="G696" s="352"/>
      <c r="H696" s="352"/>
      <c r="I696" s="352"/>
      <c r="J696" s="352"/>
      <c r="K696" s="352"/>
      <c r="L696" s="18"/>
    </row>
    <row r="697" spans="1:12" ht="16">
      <c r="A697" s="18"/>
      <c r="B697" s="352"/>
      <c r="C697" s="352"/>
      <c r="D697" s="352"/>
      <c r="E697" s="352"/>
      <c r="F697" s="352"/>
      <c r="G697" s="352"/>
      <c r="H697" s="352"/>
      <c r="I697" s="352"/>
      <c r="J697" s="352"/>
      <c r="K697" s="352"/>
      <c r="L697" s="18"/>
    </row>
    <row r="698" spans="1:12" ht="16">
      <c r="A698" s="18"/>
      <c r="B698" s="352"/>
      <c r="C698" s="352"/>
      <c r="D698" s="352"/>
      <c r="E698" s="352"/>
      <c r="F698" s="352"/>
      <c r="G698" s="352"/>
      <c r="H698" s="352"/>
      <c r="I698" s="352"/>
      <c r="J698" s="352"/>
      <c r="K698" s="352"/>
      <c r="L698" s="18"/>
    </row>
    <row r="699" spans="1:12" ht="16">
      <c r="A699" s="18"/>
      <c r="B699" s="352"/>
      <c r="C699" s="352"/>
      <c r="D699" s="352"/>
      <c r="E699" s="352"/>
      <c r="F699" s="352"/>
      <c r="G699" s="352"/>
      <c r="H699" s="352"/>
      <c r="I699" s="352"/>
      <c r="J699" s="352"/>
      <c r="K699" s="352"/>
      <c r="L699" s="18"/>
    </row>
    <row r="700" spans="1:12" ht="16">
      <c r="A700" s="18"/>
      <c r="B700" s="352"/>
      <c r="C700" s="352"/>
      <c r="D700" s="352"/>
      <c r="E700" s="352"/>
      <c r="F700" s="352"/>
      <c r="G700" s="352"/>
      <c r="H700" s="352"/>
      <c r="I700" s="352"/>
      <c r="J700" s="352"/>
      <c r="K700" s="352"/>
      <c r="L700" s="18"/>
    </row>
    <row r="701" spans="1:12" ht="16">
      <c r="A701" s="18"/>
      <c r="B701" s="352"/>
      <c r="C701" s="352"/>
      <c r="D701" s="352"/>
      <c r="E701" s="352"/>
      <c r="F701" s="352"/>
      <c r="G701" s="352"/>
      <c r="H701" s="352"/>
      <c r="I701" s="352"/>
      <c r="J701" s="352"/>
      <c r="K701" s="352"/>
      <c r="L701" s="18"/>
    </row>
    <row r="702" spans="1:12" ht="16">
      <c r="A702" s="18"/>
      <c r="B702" s="352"/>
      <c r="C702" s="352"/>
      <c r="D702" s="352"/>
      <c r="E702" s="352"/>
      <c r="F702" s="352"/>
      <c r="G702" s="352"/>
      <c r="H702" s="352"/>
      <c r="I702" s="352"/>
      <c r="J702" s="352"/>
      <c r="K702" s="352"/>
      <c r="L702" s="18"/>
    </row>
    <row r="703" spans="1:12" ht="16">
      <c r="A703" s="18"/>
      <c r="B703" s="352"/>
      <c r="C703" s="352"/>
      <c r="D703" s="352"/>
      <c r="E703" s="352"/>
      <c r="F703" s="352"/>
      <c r="G703" s="352"/>
      <c r="H703" s="352"/>
      <c r="I703" s="352"/>
      <c r="J703" s="352"/>
      <c r="K703" s="352"/>
      <c r="L703" s="18"/>
    </row>
    <row r="704" spans="1:12" ht="16">
      <c r="A704" s="18"/>
      <c r="B704" s="352"/>
      <c r="C704" s="352"/>
      <c r="D704" s="352"/>
      <c r="E704" s="352"/>
      <c r="F704" s="352"/>
      <c r="G704" s="352"/>
      <c r="H704" s="352"/>
      <c r="I704" s="352"/>
      <c r="J704" s="352"/>
      <c r="K704" s="352"/>
      <c r="L704" s="18"/>
    </row>
    <row r="705" spans="1:12" ht="3.75" customHeight="1">
      <c r="A705" s="18"/>
      <c r="B705" s="352"/>
      <c r="C705" s="352"/>
      <c r="D705" s="352"/>
      <c r="E705" s="352"/>
      <c r="F705" s="352"/>
      <c r="G705" s="352"/>
      <c r="H705" s="352"/>
      <c r="I705" s="352"/>
      <c r="J705" s="352"/>
      <c r="K705" s="352"/>
      <c r="L705" s="18"/>
    </row>
    <row r="706" spans="1:12" ht="16">
      <c r="A706" s="18"/>
      <c r="B706" s="352"/>
      <c r="C706" s="352"/>
      <c r="D706" s="352"/>
      <c r="E706" s="352"/>
      <c r="F706" s="352"/>
      <c r="G706" s="352"/>
      <c r="H706" s="352"/>
      <c r="I706" s="352"/>
      <c r="J706" s="352"/>
      <c r="K706" s="352"/>
      <c r="L706" s="18"/>
    </row>
    <row r="707" spans="1:12" ht="16">
      <c r="A707" s="18"/>
      <c r="B707" s="352"/>
      <c r="C707" s="352"/>
      <c r="D707" s="352"/>
      <c r="E707" s="352"/>
      <c r="F707" s="352"/>
      <c r="G707" s="352"/>
      <c r="H707" s="352"/>
      <c r="I707" s="352"/>
      <c r="J707" s="352"/>
      <c r="K707" s="352"/>
      <c r="L707" s="18"/>
    </row>
    <row r="708" spans="1:12" ht="16">
      <c r="A708" s="18"/>
      <c r="B708" s="352"/>
      <c r="C708" s="352"/>
      <c r="D708" s="352"/>
      <c r="E708" s="352"/>
      <c r="F708" s="352"/>
      <c r="G708" s="352"/>
      <c r="H708" s="352"/>
      <c r="I708" s="352"/>
      <c r="J708" s="352"/>
      <c r="K708" s="352"/>
      <c r="L708" s="18"/>
    </row>
    <row r="709" spans="1:12" ht="16">
      <c r="A709" s="18"/>
      <c r="B709" s="352"/>
      <c r="C709" s="352"/>
      <c r="D709" s="352"/>
      <c r="E709" s="352"/>
      <c r="F709" s="352"/>
      <c r="G709" s="352"/>
      <c r="H709" s="352"/>
      <c r="I709" s="352"/>
      <c r="J709" s="352"/>
      <c r="K709" s="352"/>
      <c r="L709" s="18"/>
    </row>
    <row r="710" spans="1:12" ht="16">
      <c r="A710" s="18"/>
      <c r="B710" s="352"/>
      <c r="C710" s="352"/>
      <c r="D710" s="352"/>
      <c r="E710" s="352"/>
      <c r="F710" s="352"/>
      <c r="G710" s="352"/>
      <c r="H710" s="352"/>
      <c r="I710" s="352"/>
      <c r="J710" s="352"/>
      <c r="K710" s="352"/>
      <c r="L710" s="18"/>
    </row>
    <row r="711" spans="1:12" ht="16">
      <c r="A711" s="18"/>
      <c r="B711" s="352"/>
      <c r="C711" s="352"/>
      <c r="D711" s="352"/>
      <c r="E711" s="352"/>
      <c r="F711" s="352"/>
      <c r="G711" s="352"/>
      <c r="H711" s="352"/>
      <c r="I711" s="352"/>
      <c r="J711" s="352"/>
      <c r="K711" s="352"/>
      <c r="L711" s="18"/>
    </row>
    <row r="712" spans="1:12" ht="16">
      <c r="A712" s="18"/>
      <c r="B712" s="352"/>
      <c r="C712" s="352"/>
      <c r="D712" s="352"/>
      <c r="E712" s="352"/>
      <c r="F712" s="352"/>
      <c r="G712" s="352"/>
      <c r="H712" s="352"/>
      <c r="I712" s="352"/>
      <c r="J712" s="352"/>
      <c r="K712" s="352"/>
      <c r="L712" s="18"/>
    </row>
    <row r="713" spans="1:12" ht="16">
      <c r="A713" s="18"/>
      <c r="B713" s="352"/>
      <c r="C713" s="352"/>
      <c r="D713" s="352"/>
      <c r="E713" s="352"/>
      <c r="F713" s="352"/>
      <c r="G713" s="352"/>
      <c r="H713" s="352"/>
      <c r="I713" s="352"/>
      <c r="J713" s="352"/>
      <c r="K713" s="352"/>
      <c r="L713" s="18"/>
    </row>
  </sheetData>
  <sheetProtection algorithmName="SHA-512" hashValue="dXyl9WDZj8J2x7W/ffHzwd0rLl63rsFi7krnpuuy7PxS1KnbZYKgy9bwppDyXyNE345duAW8SABkL1rVB07yQA==" saltValue="ZPBggI/DgLPUTH6BBEMAVw==" spinCount="100000" sheet="1" objects="1" scenarios="1"/>
  <mergeCells count="1">
    <mergeCell ref="A9:L10"/>
  </mergeCells>
  <dataValidations count="5">
    <dataValidation type="list" allowBlank="1" showInputMessage="1" showErrorMessage="1" sqref="F16:K16" xr:uid="{00000000-0002-0000-0600-000000000000}">
      <formula1>$Z$14:$Z$24</formula1>
    </dataValidation>
    <dataValidation type="list" allowBlank="1" showInputMessage="1" showErrorMessage="1" sqref="E16" xr:uid="{00000000-0002-0000-0600-000001000000}">
      <formula1>$Y$14:$Y$24</formula1>
    </dataValidation>
    <dataValidation type="list" allowBlank="1" showInputMessage="1" showErrorMessage="1" sqref="D16" xr:uid="{00000000-0002-0000-0600-000002000000}">
      <formula1>$X$14:$X$24</formula1>
    </dataValidation>
    <dataValidation type="list" allowBlank="1" showInputMessage="1" showErrorMessage="1" sqref="C16" xr:uid="{00000000-0002-0000-0600-000003000000}">
      <formula1>$W$14:$W$24</formula1>
    </dataValidation>
    <dataValidation type="list" allowBlank="1" showInputMessage="1" showErrorMessage="1" sqref="B16" xr:uid="{00000000-0002-0000-0600-000004000000}">
      <formula1>$V$14:$V$24</formula1>
    </dataValidation>
  </dataValidations>
  <hyperlinks>
    <hyperlink ref="A9:L10" location="INSTRUCTIONS!A60" display="Modular Budget (click here for the Instructions)"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indexed="20"/>
  </sheetPr>
  <dimension ref="A1:B35"/>
  <sheetViews>
    <sheetView workbookViewId="0">
      <selection activeCell="B9" sqref="B9"/>
    </sheetView>
  </sheetViews>
  <sheetFormatPr baseColWidth="10" defaultColWidth="0" defaultRowHeight="15" customHeight="1" zeroHeight="1"/>
  <cols>
    <col min="1" max="1" width="9.1640625" style="347" customWidth="1"/>
    <col min="2" max="2" width="73.6640625" style="348" customWidth="1"/>
    <col min="3" max="16384" width="0" style="347" hidden="1"/>
  </cols>
  <sheetData>
    <row r="1" spans="1:2" ht="13">
      <c r="B1" s="115" t="str">
        <f>INSTRUCTIONS!$O$1</f>
        <v>FY22-10year-10/26/2021</v>
      </c>
    </row>
    <row r="2" spans="1:2" ht="16"/>
    <row r="3" spans="1:2" ht="16"/>
    <row r="4" spans="1:2" ht="16"/>
    <row r="5" spans="1:2" ht="16">
      <c r="A5" s="349" t="str">
        <f>"PI: "&amp;'1. SUMMARY'!$C$13</f>
        <v xml:space="preserve">PI: </v>
      </c>
    </row>
    <row r="6" spans="1:2" ht="13">
      <c r="A6" s="349" t="str">
        <f>"Sponsor: "&amp;'1. SUMMARY'!C19</f>
        <v xml:space="preserve">Sponsor: </v>
      </c>
      <c r="B6" s="347"/>
    </row>
    <row r="7" spans="1:2" ht="13">
      <c r="A7" s="349" t="str">
        <f>"Title: "&amp;'1. SUMMARY'!C16</f>
        <v xml:space="preserve">Title: </v>
      </c>
      <c r="B7" s="347"/>
    </row>
    <row r="8" spans="1:2" ht="45" customHeight="1">
      <c r="A8" s="350" t="s">
        <v>182</v>
      </c>
      <c r="B8" s="351"/>
    </row>
    <row r="9" spans="1:2" ht="45" customHeight="1">
      <c r="A9" s="350" t="s">
        <v>183</v>
      </c>
      <c r="B9" s="351"/>
    </row>
    <row r="10" spans="1:2" ht="45" customHeight="1">
      <c r="A10" s="350" t="s">
        <v>184</v>
      </c>
      <c r="B10" s="351"/>
    </row>
    <row r="11" spans="1:2" ht="45" customHeight="1">
      <c r="A11" s="350" t="s">
        <v>185</v>
      </c>
      <c r="B11" s="351"/>
    </row>
    <row r="12" spans="1:2" ht="45" customHeight="1">
      <c r="A12" s="350" t="s">
        <v>186</v>
      </c>
      <c r="B12" s="351"/>
    </row>
    <row r="13" spans="1:2" ht="45" customHeight="1">
      <c r="A13" s="350" t="s">
        <v>187</v>
      </c>
      <c r="B13" s="351"/>
    </row>
    <row r="14" spans="1:2" ht="45" customHeight="1">
      <c r="A14" s="350" t="s">
        <v>188</v>
      </c>
      <c r="B14" s="351"/>
    </row>
    <row r="15" spans="1:2" ht="45" customHeight="1">
      <c r="A15" s="350" t="s">
        <v>189</v>
      </c>
      <c r="B15" s="351"/>
    </row>
    <row r="16" spans="1:2" ht="45" customHeight="1">
      <c r="A16" s="350" t="s">
        <v>190</v>
      </c>
      <c r="B16" s="351"/>
    </row>
    <row r="17" spans="1:2" ht="45" customHeight="1">
      <c r="A17" s="350" t="s">
        <v>191</v>
      </c>
      <c r="B17" s="351"/>
    </row>
    <row r="18" spans="1:2" ht="45" customHeight="1">
      <c r="A18" s="350" t="s">
        <v>192</v>
      </c>
      <c r="B18" s="351"/>
    </row>
    <row r="19" spans="1:2" ht="45" customHeight="1">
      <c r="A19" s="350" t="s">
        <v>193</v>
      </c>
      <c r="B19" s="351"/>
    </row>
    <row r="20" spans="1:2" ht="45" customHeight="1">
      <c r="A20" s="350" t="s">
        <v>194</v>
      </c>
      <c r="B20" s="351"/>
    </row>
    <row r="21" spans="1:2" ht="45" customHeight="1">
      <c r="A21" s="350" t="s">
        <v>195</v>
      </c>
      <c r="B21" s="351"/>
    </row>
    <row r="22" spans="1:2" ht="45" customHeight="1">
      <c r="A22" s="350" t="s">
        <v>196</v>
      </c>
      <c r="B22" s="351"/>
    </row>
    <row r="23" spans="1:2" ht="45" customHeight="1">
      <c r="A23" s="350" t="s">
        <v>197</v>
      </c>
      <c r="B23" s="351"/>
    </row>
    <row r="24" spans="1:2" ht="45" customHeight="1">
      <c r="A24" s="350" t="s">
        <v>198</v>
      </c>
      <c r="B24" s="351"/>
    </row>
    <row r="25" spans="1:2" ht="45" customHeight="1">
      <c r="A25" s="350" t="s">
        <v>199</v>
      </c>
      <c r="B25" s="351"/>
    </row>
    <row r="26" spans="1:2" ht="45" customHeight="1">
      <c r="A26" s="350" t="s">
        <v>200</v>
      </c>
      <c r="B26" s="351"/>
    </row>
    <row r="27" spans="1:2" ht="45" customHeight="1">
      <c r="A27" s="350" t="s">
        <v>201</v>
      </c>
      <c r="B27" s="351"/>
    </row>
    <row r="28" spans="1:2" ht="45" customHeight="1">
      <c r="A28" s="350" t="s">
        <v>202</v>
      </c>
      <c r="B28" s="351"/>
    </row>
    <row r="29" spans="1:2" ht="45" customHeight="1">
      <c r="A29" s="350" t="s">
        <v>203</v>
      </c>
      <c r="B29" s="351"/>
    </row>
    <row r="30" spans="1:2" ht="45" customHeight="1">
      <c r="A30" s="350" t="s">
        <v>204</v>
      </c>
      <c r="B30" s="351"/>
    </row>
    <row r="31" spans="1:2" ht="45" customHeight="1">
      <c r="A31" s="350" t="s">
        <v>205</v>
      </c>
      <c r="B31" s="351"/>
    </row>
    <row r="32" spans="1:2" ht="45" customHeight="1">
      <c r="A32" s="350" t="s">
        <v>206</v>
      </c>
      <c r="B32" s="351"/>
    </row>
    <row r="33" spans="1:2" ht="45" customHeight="1">
      <c r="A33" s="350" t="s">
        <v>207</v>
      </c>
      <c r="B33" s="351"/>
    </row>
    <row r="34" spans="1:2" ht="45" customHeight="1">
      <c r="A34" s="350" t="s">
        <v>208</v>
      </c>
      <c r="B34" s="351"/>
    </row>
    <row r="35" spans="1:2" ht="45" customHeight="1">
      <c r="A35" s="350" t="s">
        <v>209</v>
      </c>
      <c r="B35" s="351"/>
    </row>
  </sheetData>
  <sheetProtection algorithmName="SHA-512" hashValue="/WY3fGae9FlV/mwnNjBeht2ABO7dOFU6wPJiKIE/nH3ytRkT7Kde5HIJILL8nnapd8kgBCpopkwZo9PmOweRjg==" saltValue="tTI18krSsKv3Tg96wDFdlg==" spinCount="100000" sheet="1" objects="1" scenarios="1"/>
  <pageMargins left="0.5" right="0.5" top="0.5" bottom="0.5"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L142"/>
  <sheetViews>
    <sheetView topLeftCell="A121" workbookViewId="0">
      <selection activeCell="B140" sqref="B140:R141"/>
    </sheetView>
  </sheetViews>
  <sheetFormatPr baseColWidth="10" defaultColWidth="9.1640625" defaultRowHeight="13"/>
  <cols>
    <col min="1" max="1" width="21" style="94" customWidth="1"/>
    <col min="2" max="19" width="9.1640625" style="94"/>
    <col min="20" max="20" width="10.33203125" style="94" bestFit="1" customWidth="1"/>
    <col min="21" max="16384" width="9.1640625" style="94"/>
  </cols>
  <sheetData>
    <row r="1" spans="1:38">
      <c r="E1" s="518" t="s">
        <v>280</v>
      </c>
      <c r="F1" s="519"/>
      <c r="G1" s="519"/>
      <c r="H1" s="519"/>
      <c r="I1" s="519"/>
      <c r="J1" s="519"/>
      <c r="K1" s="519"/>
      <c r="L1" s="519"/>
      <c r="M1" s="519"/>
      <c r="N1" s="519" t="s">
        <v>301</v>
      </c>
      <c r="O1" s="519"/>
      <c r="P1" s="519"/>
    </row>
    <row r="2" spans="1:38">
      <c r="A2" s="94" t="s">
        <v>102</v>
      </c>
      <c r="E2" s="518" t="s">
        <v>281</v>
      </c>
      <c r="F2" s="519"/>
      <c r="G2" s="519"/>
      <c r="H2" s="519"/>
      <c r="I2" s="519"/>
      <c r="J2" s="517"/>
      <c r="K2" s="517"/>
      <c r="L2" s="517"/>
      <c r="M2" s="517"/>
      <c r="N2" s="517"/>
      <c r="O2" s="519"/>
      <c r="P2" s="519"/>
    </row>
    <row r="3" spans="1:38">
      <c r="A3" s="94" t="s">
        <v>101</v>
      </c>
      <c r="E3" s="519"/>
      <c r="F3" s="519"/>
      <c r="G3" s="519"/>
      <c r="H3" s="519"/>
      <c r="I3" s="519"/>
      <c r="J3" s="519"/>
      <c r="K3" s="519"/>
      <c r="L3" s="519"/>
      <c r="M3" s="519"/>
      <c r="N3" s="519"/>
      <c r="O3" s="519"/>
      <c r="P3" s="519"/>
    </row>
    <row r="4" spans="1:38">
      <c r="A4" s="94" t="s">
        <v>73</v>
      </c>
      <c r="E4" s="514" t="s">
        <v>282</v>
      </c>
      <c r="F4" s="513" t="s">
        <v>283</v>
      </c>
      <c r="G4" s="519"/>
      <c r="H4" s="519"/>
      <c r="I4" s="514"/>
      <c r="J4" s="515"/>
      <c r="K4" s="519"/>
      <c r="L4" s="519"/>
      <c r="M4" s="514"/>
      <c r="N4" s="515"/>
      <c r="O4" s="515"/>
      <c r="P4" s="519"/>
    </row>
    <row r="5" spans="1:38">
      <c r="A5" s="94" t="s">
        <v>96</v>
      </c>
      <c r="F5" s="94" t="s">
        <v>302</v>
      </c>
    </row>
    <row r="6" spans="1:38">
      <c r="A6" s="94" t="s">
        <v>274</v>
      </c>
    </row>
    <row r="7" spans="1:38">
      <c r="A7" s="94" t="s">
        <v>269</v>
      </c>
    </row>
    <row r="8" spans="1:38">
      <c r="A8" s="107" t="s">
        <v>91</v>
      </c>
      <c r="T8" s="535">
        <f>IF('1. SUMMARY'!$C$14=Sheet1!$A$17,Sheet1!B16,IF('1. SUMMARY'!$C$14=Sheet1!$A$25,B24,IF('1. SUMMARY'!$C$14=Sheet1!$A$52,B51,IF('1. SUMMARY'!$C$14=$A$66,B65,IF('1. SUMMARY'!$C$14=$A$84,B83,IF('1. SUMMARY'!$C$14=$A$102,B101,IF('1. SUMMARY'!$C$14=$A$116,B115,IF('1. SUMMARY'!$C$14=$A$132,B131,"Select Institution on Summary Sheet"))))))))</f>
        <v>44105</v>
      </c>
      <c r="U8" s="535">
        <f>IF('1. SUMMARY'!$C$14=Sheet1!$A$17,Sheet1!C16,IF('1. SUMMARY'!$C$14=Sheet1!$A$25,C24,IF('1. SUMMARY'!$C$14=Sheet1!$A$52,C51,IF('1. SUMMARY'!$C$14=$A$66,C65,IF('1. SUMMARY'!$C$14=$A$84,C83,IF('1. SUMMARY'!$C$14=$A$102,C101,IF('1. SUMMARY'!$C$14=$A$116,C115,IF('1. SUMMARY'!$C$14=$A$132,C131,"Select Institution on Summary Sheet"))))))))</f>
        <v>44470</v>
      </c>
      <c r="V8" s="535">
        <f>IF('1. SUMMARY'!$C$14=Sheet1!$A$17,Sheet1!D16,IF('1. SUMMARY'!$C$14=Sheet1!$A$25,D24,IF('1. SUMMARY'!$C$14=Sheet1!$A$52,D51,IF('1. SUMMARY'!$C$14=$A$66,D65,IF('1. SUMMARY'!$C$14=$A$84,D83,IF('1. SUMMARY'!$C$14=$A$102,D101,IF('1. SUMMARY'!$C$14=$A$116,D115,IF('1. SUMMARY'!$C$14=$A$132,D131,"Select Institution on Summary Sheet"))))))))</f>
        <v>44835</v>
      </c>
      <c r="W8" s="535">
        <f>IF('1. SUMMARY'!$C$14=Sheet1!$A$17,Sheet1!E16,IF('1. SUMMARY'!$C$14=Sheet1!$A$25,E24,IF('1. SUMMARY'!$C$14=Sheet1!$A$52,E51,IF('1. SUMMARY'!$C$14=$A$66,E65,IF('1. SUMMARY'!$C$14=$A$84,E83,IF('1. SUMMARY'!$C$14=$A$102,E101,IF('1. SUMMARY'!$C$14=$A$116,E115,IF('1. SUMMARY'!$C$14=$A$132,E131,"Select Institution on Summary Sheet"))))))))</f>
        <v>45200</v>
      </c>
      <c r="X8" s="535">
        <f>IF('1. SUMMARY'!$C$14=Sheet1!$A$17,Sheet1!F16,IF('1. SUMMARY'!$C$14=Sheet1!$A$25,F24,IF('1. SUMMARY'!$C$14=Sheet1!$A$52,F51,IF('1. SUMMARY'!$C$14=$A$66,F65,IF('1. SUMMARY'!$C$14=$A$84,F83,IF('1. SUMMARY'!$C$14=$A$102,F101,IF('1. SUMMARY'!$C$14=$A$116,F115,IF('1. SUMMARY'!$C$14=$A$132,F131,"Select Institution on Summary Sheet"))))))))</f>
        <v>45566</v>
      </c>
      <c r="Y8" s="535">
        <f>IF('1. SUMMARY'!$C$14=Sheet1!$A$17,Sheet1!G16,IF('1. SUMMARY'!$C$14=Sheet1!$A$25,G24,IF('1. SUMMARY'!$C$14=Sheet1!$A$52,G51,IF('1. SUMMARY'!$C$14=$A$66,G65,IF('1. SUMMARY'!$C$14=$A$84,G83,IF('1. SUMMARY'!$C$14=$A$102,G101,IF('1. SUMMARY'!$C$14=$A$116,G115,IF('1. SUMMARY'!$C$14=$A$132,G131,"Select Institution on Summary Sheet"))))))))</f>
        <v>45931</v>
      </c>
      <c r="Z8" s="535">
        <f>IF('1. SUMMARY'!$C$14=Sheet1!$A$17,Sheet1!H16,IF('1. SUMMARY'!$C$14=Sheet1!$A$25,H24,IF('1. SUMMARY'!$C$14=Sheet1!$A$52,H51,IF('1. SUMMARY'!$C$14=$A$66,H65,IF('1. SUMMARY'!$C$14=$A$84,H83,IF('1. SUMMARY'!$C$14=$A$102,H101,IF('1. SUMMARY'!$C$14=$A$116,H115,IF('1. SUMMARY'!$C$14=$A$132,H131,"Select Institution on Summary Sheet"))))))))</f>
        <v>46296</v>
      </c>
      <c r="AA8" s="535">
        <f>IF('1. SUMMARY'!$C$14=Sheet1!$A$17,Sheet1!I16,IF('1. SUMMARY'!$C$14=Sheet1!$A$25,I24,IF('1. SUMMARY'!$C$14=Sheet1!$A$52,I51,IF('1. SUMMARY'!$C$14=$A$66,I65,IF('1. SUMMARY'!$C$14=$A$84,I83,IF('1. SUMMARY'!$C$14=$A$102,I101,IF('1. SUMMARY'!$C$14=$A$116,I115,IF('1. SUMMARY'!$C$14=$A$132,I131,"Select Institution on Summary Sheet"))))))))</f>
        <v>46661</v>
      </c>
      <c r="AB8" s="535">
        <f>IF('1. SUMMARY'!$C$14=Sheet1!$A$17,Sheet1!J16,IF('1. SUMMARY'!$C$14=Sheet1!$A$25,J24,IF('1. SUMMARY'!$C$14=Sheet1!$A$52,J51,IF('1. SUMMARY'!$C$14=$A$66,J65,IF('1. SUMMARY'!$C$14=$A$84,J83,IF('1. SUMMARY'!$C$14=$A$102,J101,IF('1. SUMMARY'!$C$14=$A$116,J115,IF('1. SUMMARY'!$C$14=$A$132,J131,"Select Institution on Summary Sheet"))))))))</f>
        <v>47027</v>
      </c>
      <c r="AC8" s="535">
        <f>IF('1. SUMMARY'!$C$14=Sheet1!$A$17,Sheet1!K16,IF('1. SUMMARY'!$C$14=Sheet1!$A$25,K24,IF('1. SUMMARY'!$C$14=Sheet1!$A$52,K51,IF('1. SUMMARY'!$C$14=$A$66,K65,IF('1. SUMMARY'!$C$14=$A$84,K83,IF('1. SUMMARY'!$C$14=$A$102,K101,IF('1. SUMMARY'!$C$14=$A$116,K115,IF('1. SUMMARY'!$C$14=$A$132,K131,"Select Institution on Summary Sheet"))))))))</f>
        <v>47392</v>
      </c>
      <c r="AD8" s="535">
        <f>IF('1. SUMMARY'!$C$14=Sheet1!$A$17,Sheet1!L16,IF('1. SUMMARY'!$C$14=Sheet1!$A$25,L24,IF('1. SUMMARY'!$C$14=Sheet1!$A$52,L51,IF('1. SUMMARY'!$C$14=$A$66,L65,IF('1. SUMMARY'!$C$14=$A$84,L83,IF('1. SUMMARY'!$C$14=$A$102,L101,IF('1. SUMMARY'!$C$14=$A$116,L115,IF('1. SUMMARY'!$C$14=$A$132,L131,"Select Institution on Summary Sheet"))))))))</f>
        <v>47757</v>
      </c>
      <c r="AE8" s="535">
        <f>IF('1. SUMMARY'!$C$14=Sheet1!$A$17,Sheet1!M16,IF('1. SUMMARY'!$C$14=Sheet1!$A$25,M24,IF('1. SUMMARY'!$C$14=Sheet1!$A$52,M51,IF('1. SUMMARY'!$C$14=$A$66,M65,IF('1. SUMMARY'!$C$14=$A$84,M83,IF('1. SUMMARY'!$C$14=$A$102,M101,IF('1. SUMMARY'!$C$14=$A$116,M115,IF('1. SUMMARY'!$C$14=$A$132,M131,"Select Institution on Summary Sheet"))))))))</f>
        <v>48122</v>
      </c>
      <c r="AF8" s="535">
        <f>IF('1. SUMMARY'!$C$14=Sheet1!$A$17,Sheet1!N16,IF('1. SUMMARY'!$C$14=Sheet1!$A$25,N24,IF('1. SUMMARY'!$C$14=Sheet1!$A$52,N51,IF('1. SUMMARY'!$C$14=$A$66,N65,IF('1. SUMMARY'!$C$14=$A$84,N83,IF('1. SUMMARY'!$C$14=$A$102,N101,IF('1. SUMMARY'!$C$14=$A$116,N115,IF('1. SUMMARY'!$C$14=$A$132,N131,"Select Institution on Summary Sheet"))))))))</f>
        <v>48488</v>
      </c>
      <c r="AG8" s="535">
        <f>IF('1. SUMMARY'!$C$14=Sheet1!$A$17,Sheet1!O16,IF('1. SUMMARY'!$C$14=Sheet1!$A$25,O24,IF('1. SUMMARY'!$C$14=Sheet1!$A$52,O51,IF('1. SUMMARY'!$C$14=$A$66,O65,IF('1. SUMMARY'!$C$14=$A$84,O83,IF('1. SUMMARY'!$C$14=$A$102,O101,IF('1. SUMMARY'!$C$14=$A$116,O115,IF('1. SUMMARY'!$C$14=$A$132,O131,"Select Institution on Summary Sheet"))))))))</f>
        <v>48853</v>
      </c>
      <c r="AH8" s="535">
        <f>IF('1. SUMMARY'!$C$14=Sheet1!$A$17,Sheet1!P16,IF('1. SUMMARY'!$C$14=Sheet1!$A$25,P24,IF('1. SUMMARY'!$C$14=Sheet1!$A$52,P51,IF('1. SUMMARY'!$C$14=$A$66,P65,IF('1. SUMMARY'!$C$14=$A$84,P83,IF('1. SUMMARY'!$C$14=$A$102,P101,IF('1. SUMMARY'!$C$14=$A$116,P115,IF('1. SUMMARY'!$C$14=$A$132,P131,"Select Institution on Summary Sheet"))))))))</f>
        <v>49218</v>
      </c>
      <c r="AI8" s="535">
        <f>IF('1. SUMMARY'!$C$14=Sheet1!$A$17,Sheet1!Q16,IF('1. SUMMARY'!$C$14=Sheet1!$A$25,Q24,IF('1. SUMMARY'!$C$14=Sheet1!$A$52,Q51,IF('1. SUMMARY'!$C$14=$A$66,Q65,IF('1. SUMMARY'!$C$14=$A$84,Q83,IF('1. SUMMARY'!$C$14=$A$102,Q101,IF('1. SUMMARY'!$C$14=$A$116,Q115,IF('1. SUMMARY'!$C$14=$A$132,Q131,"Select Institution on Summary Sheet"))))))))</f>
        <v>49583</v>
      </c>
      <c r="AJ8" s="535">
        <f>IF('1. SUMMARY'!$C$14=Sheet1!$A$17,Sheet1!R16,IF('1. SUMMARY'!$C$14=Sheet1!$A$25,R24,IF('1. SUMMARY'!$C$14=Sheet1!$A$52,R51,IF('1. SUMMARY'!$C$14=$A$66,R65,IF('1. SUMMARY'!$C$14=$A$84,R83,IF('1. SUMMARY'!$C$14=$A$102,R101,IF('1. SUMMARY'!$C$14=$A$116,R115,IF('1. SUMMARY'!$C$14=$A$132,R131,"Select Institution on Summary Sheet"))))))))</f>
        <v>49949</v>
      </c>
    </row>
    <row r="9" spans="1:38">
      <c r="A9" s="94" t="s">
        <v>285</v>
      </c>
      <c r="T9" s="535">
        <f>IF('1. SUMMARY'!$C$14=Sheet1!$A$17,Sheet1!B17,IF('1. SUMMARY'!$C$14=Sheet1!$A$25,B25,IF('1. SUMMARY'!$C$14=Sheet1!$A$52,B52,IF('1. SUMMARY'!$C$14=$A$66,B66,IF('1. SUMMARY'!$C$14=$A$84,B84,IF('1. SUMMARY'!$C$14=$A$102,B102,IF('1. SUMMARY'!$C$14=$A$116,B116,IF('1. SUMMARY'!$C$14=$A$132,B132,"Select Institution on Summary Sheet"))))))))</f>
        <v>44469</v>
      </c>
      <c r="U9" s="535">
        <f>IF('1. SUMMARY'!$C$14=Sheet1!$A$17,Sheet1!C17,IF('1. SUMMARY'!$C$14=Sheet1!$A$25,C25,IF('1. SUMMARY'!$C$14=Sheet1!$A$52,C52,IF('1. SUMMARY'!$C$14=$A$66,C66,IF('1. SUMMARY'!$C$14=$A$84,C84,IF('1. SUMMARY'!$C$14=$A$102,C102,IF('1. SUMMARY'!$C$14=$A$116,C116,IF('1. SUMMARY'!$C$14=$A$132,C132,"Select Institution on Summary Sheet"))))))))</f>
        <v>44834</v>
      </c>
      <c r="V9" s="535">
        <f>IF('1. SUMMARY'!$C$14=Sheet1!$A$17,Sheet1!D17,IF('1. SUMMARY'!$C$14=Sheet1!$A$25,D25,IF('1. SUMMARY'!$C$14=Sheet1!$A$52,D52,IF('1. SUMMARY'!$C$14=$A$66,D66,IF('1. SUMMARY'!$C$14=$A$84,D84,IF('1. SUMMARY'!$C$14=$A$102,D102,IF('1. SUMMARY'!$C$14=$A$116,D116,IF('1. SUMMARY'!$C$14=$A$132,D132,"Select Institution on Summary Sheet"))))))))</f>
        <v>45199</v>
      </c>
      <c r="W9" s="535">
        <f>IF('1. SUMMARY'!$C$14=Sheet1!$A$17,Sheet1!E17,IF('1. SUMMARY'!$C$14=Sheet1!$A$25,E25,IF('1. SUMMARY'!$C$14=Sheet1!$A$52,E52,IF('1. SUMMARY'!$C$14=$A$66,E66,IF('1. SUMMARY'!$C$14=$A$84,E84,IF('1. SUMMARY'!$C$14=$A$102,E102,IF('1. SUMMARY'!$C$14=$A$116,E116,IF('1. SUMMARY'!$C$14=$A$132,E132,"Select Institution on Summary Sheet"))))))))</f>
        <v>45565</v>
      </c>
      <c r="X9" s="535">
        <f>IF('1. SUMMARY'!$C$14=Sheet1!$A$17,Sheet1!F17,IF('1. SUMMARY'!$C$14=Sheet1!$A$25,F25,IF('1. SUMMARY'!$C$14=Sheet1!$A$52,F52,IF('1. SUMMARY'!$C$14=$A$66,F66,IF('1. SUMMARY'!$C$14=$A$84,F84,IF('1. SUMMARY'!$C$14=$A$102,F102,IF('1. SUMMARY'!$C$14=$A$116,F116,IF('1. SUMMARY'!$C$14=$A$132,F132,"Select Institution on Summary Sheet"))))))))</f>
        <v>45930</v>
      </c>
      <c r="Y9" s="535">
        <f>IF('1. SUMMARY'!$C$14=Sheet1!$A$17,Sheet1!G17,IF('1. SUMMARY'!$C$14=Sheet1!$A$25,G25,IF('1. SUMMARY'!$C$14=Sheet1!$A$52,G52,IF('1. SUMMARY'!$C$14=$A$66,G66,IF('1. SUMMARY'!$C$14=$A$84,G84,IF('1. SUMMARY'!$C$14=$A$102,G102,IF('1. SUMMARY'!$C$14=$A$116,G116,IF('1. SUMMARY'!$C$14=$A$132,G132,"Select Institution on Summary Sheet"))))))))</f>
        <v>46295</v>
      </c>
      <c r="Z9" s="535">
        <f>IF('1. SUMMARY'!$C$14=Sheet1!$A$17,Sheet1!H17,IF('1. SUMMARY'!$C$14=Sheet1!$A$25,H25,IF('1. SUMMARY'!$C$14=Sheet1!$A$52,H52,IF('1. SUMMARY'!$C$14=$A$66,H66,IF('1. SUMMARY'!$C$14=$A$84,H84,IF('1. SUMMARY'!$C$14=$A$102,H102,IF('1. SUMMARY'!$C$14=$A$116,H116,IF('1. SUMMARY'!$C$14=$A$132,H132,"Select Institution on Summary Sheet"))))))))</f>
        <v>46660</v>
      </c>
      <c r="AA9" s="535">
        <f>IF('1. SUMMARY'!$C$14=Sheet1!$A$17,Sheet1!I17,IF('1. SUMMARY'!$C$14=Sheet1!$A$25,I25,IF('1. SUMMARY'!$C$14=Sheet1!$A$52,I52,IF('1. SUMMARY'!$C$14=$A$66,I66,IF('1. SUMMARY'!$C$14=$A$84,I84,IF('1. SUMMARY'!$C$14=$A$102,I102,IF('1. SUMMARY'!$C$14=$A$116,I116,IF('1. SUMMARY'!$C$14=$A$132,I132,"Select Institution on Summary Sheet"))))))))</f>
        <v>47026</v>
      </c>
      <c r="AB9" s="535">
        <f>IF('1. SUMMARY'!$C$14=Sheet1!$A$17,Sheet1!J17,IF('1. SUMMARY'!$C$14=Sheet1!$A$25,J25,IF('1. SUMMARY'!$C$14=Sheet1!$A$52,J52,IF('1. SUMMARY'!$C$14=$A$66,J66,IF('1. SUMMARY'!$C$14=$A$84,J84,IF('1. SUMMARY'!$C$14=$A$102,J102,IF('1. SUMMARY'!$C$14=$A$116,J116,IF('1. SUMMARY'!$C$14=$A$132,J132,"Select Institution on Summary Sheet"))))))))</f>
        <v>47391</v>
      </c>
      <c r="AC9" s="535">
        <f>IF('1. SUMMARY'!$C$14=Sheet1!$A$17,Sheet1!K17,IF('1. SUMMARY'!$C$14=Sheet1!$A$25,K25,IF('1. SUMMARY'!$C$14=Sheet1!$A$52,K52,IF('1. SUMMARY'!$C$14=$A$66,K66,IF('1. SUMMARY'!$C$14=$A$84,K84,IF('1. SUMMARY'!$C$14=$A$102,K102,IF('1. SUMMARY'!$C$14=$A$116,K116,IF('1. SUMMARY'!$C$14=$A$132,K132,"Select Institution on Summary Sheet"))))))))</f>
        <v>47756</v>
      </c>
      <c r="AD9" s="535">
        <f>IF('1. SUMMARY'!$C$14=Sheet1!$A$17,Sheet1!L17,IF('1. SUMMARY'!$C$14=Sheet1!$A$25,L25,IF('1. SUMMARY'!$C$14=Sheet1!$A$52,L52,IF('1. SUMMARY'!$C$14=$A$66,L66,IF('1. SUMMARY'!$C$14=$A$84,L84,IF('1. SUMMARY'!$C$14=$A$102,L102,IF('1. SUMMARY'!$C$14=$A$116,L116,IF('1. SUMMARY'!$C$14=$A$132,L132,"Select Institution on Summary Sheet"))))))))</f>
        <v>48121</v>
      </c>
      <c r="AE9" s="535">
        <f>IF('1. SUMMARY'!$C$14=Sheet1!$A$17,Sheet1!M17,IF('1. SUMMARY'!$C$14=Sheet1!$A$25,M25,IF('1. SUMMARY'!$C$14=Sheet1!$A$52,M52,IF('1. SUMMARY'!$C$14=$A$66,M66,IF('1. SUMMARY'!$C$14=$A$84,M84,IF('1. SUMMARY'!$C$14=$A$102,M102,IF('1. SUMMARY'!$C$14=$A$116,M116,IF('1. SUMMARY'!$C$14=$A$132,M132,"Select Institution on Summary Sheet"))))))))</f>
        <v>48487</v>
      </c>
      <c r="AF9" s="535">
        <f>IF('1. SUMMARY'!$C$14=Sheet1!$A$17,Sheet1!N17,IF('1. SUMMARY'!$C$14=Sheet1!$A$25,N25,IF('1. SUMMARY'!$C$14=Sheet1!$A$52,N52,IF('1. SUMMARY'!$C$14=$A$66,N66,IF('1. SUMMARY'!$C$14=$A$84,N84,IF('1. SUMMARY'!$C$14=$A$102,N102,IF('1. SUMMARY'!$C$14=$A$116,N116,IF('1. SUMMARY'!$C$14=$A$132,N132,"Select Institution on Summary Sheet"))))))))</f>
        <v>48852</v>
      </c>
      <c r="AG9" s="535">
        <f>IF('1. SUMMARY'!$C$14=Sheet1!$A$17,Sheet1!O17,IF('1. SUMMARY'!$C$14=Sheet1!$A$25,O25,IF('1. SUMMARY'!$C$14=Sheet1!$A$52,O52,IF('1. SUMMARY'!$C$14=$A$66,O66,IF('1. SUMMARY'!$C$14=$A$84,O84,IF('1. SUMMARY'!$C$14=$A$102,O102,IF('1. SUMMARY'!$C$14=$A$116,O116,IF('1. SUMMARY'!$C$14=$A$132,O132,"Select Institution on Summary Sheet"))))))))</f>
        <v>49217</v>
      </c>
      <c r="AH9" s="535">
        <f>IF('1. SUMMARY'!$C$14=Sheet1!$A$17,Sheet1!P17,IF('1. SUMMARY'!$C$14=Sheet1!$A$25,P25,IF('1. SUMMARY'!$C$14=Sheet1!$A$52,P52,IF('1. SUMMARY'!$C$14=$A$66,P66,IF('1. SUMMARY'!$C$14=$A$84,P84,IF('1. SUMMARY'!$C$14=$A$102,P102,IF('1. SUMMARY'!$C$14=$A$116,P116,IF('1. SUMMARY'!$C$14=$A$132,P132,"Select Institution on Summary Sheet"))))))))</f>
        <v>49582</v>
      </c>
      <c r="AI9" s="535">
        <f>IF('1. SUMMARY'!$C$14=Sheet1!$A$17,Sheet1!Q17,IF('1. SUMMARY'!$C$14=Sheet1!$A$25,Q25,IF('1. SUMMARY'!$C$14=Sheet1!$A$52,Q52,IF('1. SUMMARY'!$C$14=$A$66,Q66,IF('1. SUMMARY'!$C$14=$A$84,Q84,IF('1. SUMMARY'!$C$14=$A$102,Q102,IF('1. SUMMARY'!$C$14=$A$116,Q116,IF('1. SUMMARY'!$C$14=$A$132,Q132,"Select Institution on Summary Sheet"))))))))</f>
        <v>49948</v>
      </c>
      <c r="AJ9" s="535">
        <f>IF('1. SUMMARY'!$C$14=Sheet1!$A$17,Sheet1!R17,IF('1. SUMMARY'!$C$14=Sheet1!$A$25,R25,IF('1. SUMMARY'!$C$14=Sheet1!$A$52,R52,IF('1. SUMMARY'!$C$14=$A$66,R66,IF('1. SUMMARY'!$C$14=$A$84,R84,IF('1. SUMMARY'!$C$14=$A$102,R102,IF('1. SUMMARY'!$C$14=$A$116,R116,IF('1. SUMMARY'!$C$14=$A$132,R132,"Select Institution on Summary Sheet"))))))))</f>
        <v>50313</v>
      </c>
    </row>
    <row r="10" spans="1:38" ht="15">
      <c r="A10" s="94" t="s">
        <v>284</v>
      </c>
      <c r="S10" s="110" t="str">
        <f>IF('1. SUMMARY'!$C$14=Sheet1!$A$17,Sheet1!A18,IF('1. SUMMARY'!$C$14=Sheet1!$A$25,A26,IF('1. SUMMARY'!$C$14=Sheet1!$A$52,A53,IF('1. SUMMARY'!$C$14=$A$66,A67,IF('1. SUMMARY'!$C$14=$A$84,A85,IF('1. SUMMARY'!$C$14=$A$102,A103,IF('1. SUMMARY'!$C$14=$A$116,A117,IF('1. SUMMARY'!$C$14=$A$132,A133,"Select Institution on Summary Sheet"))))))))</f>
        <v>Professional Staff</v>
      </c>
      <c r="T10" s="110">
        <f>IF('1. SUMMARY'!$C$14=Sheet1!$A$17,Sheet1!B18,IF('1. SUMMARY'!$C$14=Sheet1!$A$25,B26,IF('1. SUMMARY'!$C$14=Sheet1!$A$52,B53,IF('1. SUMMARY'!$C$14=$A$66,B67,IF('1. SUMMARY'!$C$14=$A$84,B85,IF('1. SUMMARY'!$C$14=$A$102,B103,IF('1. SUMMARY'!$C$14=$A$116,B117,IF('1. SUMMARY'!$C$14=$A$132,B133,"Select Institution on Summary Sheet"))))))))</f>
        <v>0.32</v>
      </c>
      <c r="U10" s="110">
        <f>IF('1. SUMMARY'!$C$14=Sheet1!$A$17,Sheet1!C18,IF('1. SUMMARY'!$C$14=Sheet1!$A$25,C26,IF('1. SUMMARY'!$C$14=Sheet1!$A$52,C53,IF('1. SUMMARY'!$C$14=$A$66,C67,IF('1. SUMMARY'!$C$14=$A$84,C85,IF('1. SUMMARY'!$C$14=$A$102,C103,IF('1. SUMMARY'!$C$14=$A$116,C117,IF('1. SUMMARY'!$C$14=$A$132,C133,"Select Institution on Summary Sheet"))))))))</f>
        <v>0.32</v>
      </c>
      <c r="V10" s="110">
        <f>IF('1. SUMMARY'!$C$14=Sheet1!$A$17,Sheet1!D18,IF('1. SUMMARY'!$C$14=Sheet1!$A$25,D26,IF('1. SUMMARY'!$C$14=Sheet1!$A$52,D53,IF('1. SUMMARY'!$C$14=$A$66,D67,IF('1. SUMMARY'!$C$14=$A$84,D85,IF('1. SUMMARY'!$C$14=$A$102,D103,IF('1. SUMMARY'!$C$14=$A$116,D117,IF('1. SUMMARY'!$C$14=$A$132,D133,"Select Institution on Summary Sheet"))))))))</f>
        <v>0.32</v>
      </c>
      <c r="W10" s="110">
        <f>IF('1. SUMMARY'!$C$14=Sheet1!$A$17,Sheet1!E18,IF('1. SUMMARY'!$C$14=Sheet1!$A$25,E26,IF('1. SUMMARY'!$C$14=Sheet1!$A$52,E53,IF('1. SUMMARY'!$C$14=$A$66,E67,IF('1. SUMMARY'!$C$14=$A$84,E85,IF('1. SUMMARY'!$C$14=$A$102,E103,IF('1. SUMMARY'!$C$14=$A$116,E117,IF('1. SUMMARY'!$C$14=$A$132,E133,"Select Institution on Summary Sheet"))))))))</f>
        <v>0.32</v>
      </c>
      <c r="X10" s="110">
        <f>IF('1. SUMMARY'!$C$14=Sheet1!$A$17,Sheet1!F18,IF('1. SUMMARY'!$C$14=Sheet1!$A$25,F26,IF('1. SUMMARY'!$C$14=Sheet1!$A$52,F53,IF('1. SUMMARY'!$C$14=$A$66,F67,IF('1. SUMMARY'!$C$14=$A$84,F85,IF('1. SUMMARY'!$C$14=$A$102,F103,IF('1. SUMMARY'!$C$14=$A$116,F117,IF('1. SUMMARY'!$C$14=$A$132,F133,"Select Institution on Summary Sheet"))))))))</f>
        <v>0.32</v>
      </c>
      <c r="Y10" s="110">
        <f>IF('1. SUMMARY'!$C$14=Sheet1!$A$17,Sheet1!G18,IF('1. SUMMARY'!$C$14=Sheet1!$A$25,G26,IF('1. SUMMARY'!$C$14=Sheet1!$A$52,G53,IF('1. SUMMARY'!$C$14=$A$66,G67,IF('1. SUMMARY'!$C$14=$A$84,G85,IF('1. SUMMARY'!$C$14=$A$102,G103,IF('1. SUMMARY'!$C$14=$A$116,G117,IF('1. SUMMARY'!$C$14=$A$132,G133,"Select Institution on Summary Sheet"))))))))</f>
        <v>0.32</v>
      </c>
      <c r="Z10" s="110">
        <f>IF('1. SUMMARY'!$C$14=Sheet1!$A$17,Sheet1!H18,IF('1. SUMMARY'!$C$14=Sheet1!$A$25,H26,IF('1. SUMMARY'!$C$14=Sheet1!$A$52,H53,IF('1. SUMMARY'!$C$14=$A$66,H67,IF('1. SUMMARY'!$C$14=$A$84,H85,IF('1. SUMMARY'!$C$14=$A$102,H103,IF('1. SUMMARY'!$C$14=$A$116,H117,IF('1. SUMMARY'!$C$14=$A$132,H133,"Select Institution on Summary Sheet"))))))))</f>
        <v>0.32</v>
      </c>
      <c r="AA10" s="110">
        <f>IF('1. SUMMARY'!$C$14=Sheet1!$A$17,Sheet1!I18,IF('1. SUMMARY'!$C$14=Sheet1!$A$25,I26,IF('1. SUMMARY'!$C$14=Sheet1!$A$52,I53,IF('1. SUMMARY'!$C$14=$A$66,I67,IF('1. SUMMARY'!$C$14=$A$84,I85,IF('1. SUMMARY'!$C$14=$A$102,I103,IF('1. SUMMARY'!$C$14=$A$116,I117,IF('1. SUMMARY'!$C$14=$A$132,I133,"Select Institution on Summary Sheet"))))))))</f>
        <v>0.32</v>
      </c>
      <c r="AB10" s="110">
        <f>IF('1. SUMMARY'!$C$14=Sheet1!$A$17,Sheet1!J18,IF('1. SUMMARY'!$C$14=Sheet1!$A$25,J26,IF('1. SUMMARY'!$C$14=Sheet1!$A$52,J53,IF('1. SUMMARY'!$C$14=$A$66,J67,IF('1. SUMMARY'!$C$14=$A$84,J85,IF('1. SUMMARY'!$C$14=$A$102,J103,IF('1. SUMMARY'!$C$14=$A$116,J117,IF('1. SUMMARY'!$C$14=$A$132,J133,"Select Institution on Summary Sheet"))))))))</f>
        <v>0.32</v>
      </c>
      <c r="AC10" s="110">
        <f>IF('1. SUMMARY'!$C$14=Sheet1!$A$17,Sheet1!K18,IF('1. SUMMARY'!$C$14=Sheet1!$A$25,K26,IF('1. SUMMARY'!$C$14=Sheet1!$A$52,K53,IF('1. SUMMARY'!$C$14=$A$66,K67,IF('1. SUMMARY'!$C$14=$A$84,K85,IF('1. SUMMARY'!$C$14=$A$102,K103,IF('1. SUMMARY'!$C$14=$A$116,K117,IF('1. SUMMARY'!$C$14=$A$132,K133,"Select Institution on Summary Sheet"))))))))</f>
        <v>0.32</v>
      </c>
      <c r="AD10" s="110">
        <f>IF('1. SUMMARY'!$C$14=Sheet1!$A$17,Sheet1!L18,IF('1. SUMMARY'!$C$14=Sheet1!$A$25,L26,IF('1. SUMMARY'!$C$14=Sheet1!$A$52,L53,IF('1. SUMMARY'!$C$14=$A$66,L67,IF('1. SUMMARY'!$C$14=$A$84,L85,IF('1. SUMMARY'!$C$14=$A$102,L103,IF('1. SUMMARY'!$C$14=$A$116,L117,IF('1. SUMMARY'!$C$14=$A$132,L133,"Select Institution on Summary Sheet"))))))))</f>
        <v>0.32</v>
      </c>
      <c r="AE10" s="110">
        <f>IF('1. SUMMARY'!$C$14=Sheet1!$A$17,Sheet1!M18,IF('1. SUMMARY'!$C$14=Sheet1!$A$25,M26,IF('1. SUMMARY'!$C$14=Sheet1!$A$52,M53,IF('1. SUMMARY'!$C$14=$A$66,M67,IF('1. SUMMARY'!$C$14=$A$84,M85,IF('1. SUMMARY'!$C$14=$A$102,M103,IF('1. SUMMARY'!$C$14=$A$116,M117,IF('1. SUMMARY'!$C$14=$A$132,M133,"Select Institution on Summary Sheet"))))))))</f>
        <v>0.32</v>
      </c>
      <c r="AF10" s="110">
        <f>IF('1. SUMMARY'!$C$14=Sheet1!$A$17,Sheet1!N18,IF('1. SUMMARY'!$C$14=Sheet1!$A$25,N26,IF('1. SUMMARY'!$C$14=Sheet1!$A$52,N53,IF('1. SUMMARY'!$C$14=$A$66,N67,IF('1. SUMMARY'!$C$14=$A$84,N85,IF('1. SUMMARY'!$C$14=$A$102,N103,IF('1. SUMMARY'!$C$14=$A$116,N117,IF('1. SUMMARY'!$C$14=$A$132,N133,"Select Institution on Summary Sheet"))))))))</f>
        <v>0.32</v>
      </c>
      <c r="AG10" s="110">
        <f>IF('1. SUMMARY'!$C$14=Sheet1!$A$17,Sheet1!O18,IF('1. SUMMARY'!$C$14=Sheet1!$A$25,O26,IF('1. SUMMARY'!$C$14=Sheet1!$A$52,O53,IF('1. SUMMARY'!$C$14=$A$66,O67,IF('1. SUMMARY'!$C$14=$A$84,O85,IF('1. SUMMARY'!$C$14=$A$102,O103,IF('1. SUMMARY'!$C$14=$A$116,O117,IF('1. SUMMARY'!$C$14=$A$132,O133,"Select Institution on Summary Sheet"))))))))</f>
        <v>0.32</v>
      </c>
      <c r="AH10" s="110">
        <f>IF('1. SUMMARY'!$C$14=Sheet1!$A$17,Sheet1!P18,IF('1. SUMMARY'!$C$14=Sheet1!$A$25,P26,IF('1. SUMMARY'!$C$14=Sheet1!$A$52,P53,IF('1. SUMMARY'!$C$14=$A$66,P67,IF('1. SUMMARY'!$C$14=$A$84,P85,IF('1. SUMMARY'!$C$14=$A$102,P103,IF('1. SUMMARY'!$C$14=$A$116,P117,IF('1. SUMMARY'!$C$14=$A$132,P133,"Select Institution on Summary Sheet"))))))))</f>
        <v>0.32</v>
      </c>
      <c r="AI10" s="110">
        <f>IF('1. SUMMARY'!$C$14=Sheet1!$A$17,Sheet1!Q18,IF('1. SUMMARY'!$C$14=Sheet1!$A$25,Q26,IF('1. SUMMARY'!$C$14=Sheet1!$A$52,Q53,IF('1. SUMMARY'!$C$14=$A$66,Q67,IF('1. SUMMARY'!$C$14=$A$84,Q85,IF('1. SUMMARY'!$C$14=$A$102,Q103,IF('1. SUMMARY'!$C$14=$A$116,Q117,IF('1. SUMMARY'!$C$14=$A$132,Q133,"Select Institution on Summary Sheet"))))))))</f>
        <v>0.32</v>
      </c>
      <c r="AJ10" s="110">
        <f>IF('1. SUMMARY'!$C$14=Sheet1!$A$17,Sheet1!R18,IF('1. SUMMARY'!$C$14=Sheet1!$A$25,R26,IF('1. SUMMARY'!$C$14=Sheet1!$A$52,R53,IF('1. SUMMARY'!$C$14=$A$66,R67,IF('1. SUMMARY'!$C$14=$A$84,R85,IF('1. SUMMARY'!$C$14=$A$102,R103,IF('1. SUMMARY'!$C$14=$A$116,R117,IF('1. SUMMARY'!$C$14=$A$132,R133,"Select Institution on Summary Sheet"))))))))</f>
        <v>0.32</v>
      </c>
      <c r="AK10" s="109"/>
      <c r="AL10" s="109"/>
    </row>
    <row r="11" spans="1:38" ht="15">
      <c r="A11" s="94" t="s">
        <v>291</v>
      </c>
      <c r="S11" s="110" t="str">
        <f>IF('1. SUMMARY'!$C$14=Sheet1!$A$17,Sheet1!A19,IF('1. SUMMARY'!$C$14=Sheet1!$A$25,A27,IF('1. SUMMARY'!$C$14=Sheet1!$A$52,A54,IF('1. SUMMARY'!$C$14=$A$66,A68,IF('1. SUMMARY'!$C$14=$A$84,A86,IF('1. SUMMARY'!$C$14=$A$102,A104,IF('1. SUMMARY'!$C$14=$A$116,A118,IF('1. SUMMARY'!$C$14=$A$132,A134,"Select Institution on Summary Sheet"))))))))</f>
        <v>Non-Professional Staff</v>
      </c>
      <c r="T11" s="110">
        <f>IF('1. SUMMARY'!$C$14=Sheet1!$A$17,Sheet1!B19,IF('1. SUMMARY'!$C$14=Sheet1!$A$25,B27,IF('1. SUMMARY'!$C$14=Sheet1!$A$52,B54,IF('1. SUMMARY'!$C$14=$A$66,B68,IF('1. SUMMARY'!$C$14=$A$84,B86,IF('1. SUMMARY'!$C$14=$A$102,B104,IF('1. SUMMARY'!$C$14=$A$116,B118,IF('1. SUMMARY'!$C$14=$A$132,B134,"Select Institution on Summary Sheet"))))))))</f>
        <v>0.34</v>
      </c>
      <c r="U11" s="110">
        <f>IF('1. SUMMARY'!$C$14=Sheet1!$A$17,Sheet1!C19,IF('1. SUMMARY'!$C$14=Sheet1!$A$25,C27,IF('1. SUMMARY'!$C$14=Sheet1!$A$52,C54,IF('1. SUMMARY'!$C$14=$A$66,C68,IF('1. SUMMARY'!$C$14=$A$84,C86,IF('1. SUMMARY'!$C$14=$A$102,C104,IF('1. SUMMARY'!$C$14=$A$116,C118,IF('1. SUMMARY'!$C$14=$A$132,C134,"Select Institution on Summary Sheet"))))))))</f>
        <v>0.35</v>
      </c>
      <c r="V11" s="110">
        <f>IF('1. SUMMARY'!$C$14=Sheet1!$A$17,Sheet1!D19,IF('1. SUMMARY'!$C$14=Sheet1!$A$25,D27,IF('1. SUMMARY'!$C$14=Sheet1!$A$52,D54,IF('1. SUMMARY'!$C$14=$A$66,D68,IF('1. SUMMARY'!$C$14=$A$84,D86,IF('1. SUMMARY'!$C$14=$A$102,D104,IF('1. SUMMARY'!$C$14=$A$116,D118,IF('1. SUMMARY'!$C$14=$A$132,D134,"Select Institution on Summary Sheet"))))))))</f>
        <v>0.35</v>
      </c>
      <c r="W11" s="110">
        <f>IF('1. SUMMARY'!$C$14=Sheet1!$A$17,Sheet1!E19,IF('1. SUMMARY'!$C$14=Sheet1!$A$25,E27,IF('1. SUMMARY'!$C$14=Sheet1!$A$52,E54,IF('1. SUMMARY'!$C$14=$A$66,E68,IF('1. SUMMARY'!$C$14=$A$84,E86,IF('1. SUMMARY'!$C$14=$A$102,E104,IF('1. SUMMARY'!$C$14=$A$116,E118,IF('1. SUMMARY'!$C$14=$A$132,E134,"Select Institution on Summary Sheet"))))))))</f>
        <v>0.35</v>
      </c>
      <c r="X11" s="110">
        <f>IF('1. SUMMARY'!$C$14=Sheet1!$A$17,Sheet1!F19,IF('1. SUMMARY'!$C$14=Sheet1!$A$25,F27,IF('1. SUMMARY'!$C$14=Sheet1!$A$52,F54,IF('1. SUMMARY'!$C$14=$A$66,F68,IF('1. SUMMARY'!$C$14=$A$84,F86,IF('1. SUMMARY'!$C$14=$A$102,F104,IF('1. SUMMARY'!$C$14=$A$116,F118,IF('1. SUMMARY'!$C$14=$A$132,F134,"Select Institution on Summary Sheet"))))))))</f>
        <v>0.35</v>
      </c>
      <c r="Y11" s="110">
        <f>IF('1. SUMMARY'!$C$14=Sheet1!$A$17,Sheet1!G19,IF('1. SUMMARY'!$C$14=Sheet1!$A$25,G27,IF('1. SUMMARY'!$C$14=Sheet1!$A$52,G54,IF('1. SUMMARY'!$C$14=$A$66,G68,IF('1. SUMMARY'!$C$14=$A$84,G86,IF('1. SUMMARY'!$C$14=$A$102,G104,IF('1. SUMMARY'!$C$14=$A$116,G118,IF('1. SUMMARY'!$C$14=$A$132,G134,"Select Institution on Summary Sheet"))))))))</f>
        <v>0.35</v>
      </c>
      <c r="Z11" s="110">
        <f>IF('1. SUMMARY'!$C$14=Sheet1!$A$17,Sheet1!H19,IF('1. SUMMARY'!$C$14=Sheet1!$A$25,H27,IF('1. SUMMARY'!$C$14=Sheet1!$A$52,H54,IF('1. SUMMARY'!$C$14=$A$66,H68,IF('1. SUMMARY'!$C$14=$A$84,H86,IF('1. SUMMARY'!$C$14=$A$102,H104,IF('1. SUMMARY'!$C$14=$A$116,H118,IF('1. SUMMARY'!$C$14=$A$132,H134,"Select Institution on Summary Sheet"))))))))</f>
        <v>0.35</v>
      </c>
      <c r="AA11" s="110">
        <f>IF('1. SUMMARY'!$C$14=Sheet1!$A$17,Sheet1!I19,IF('1. SUMMARY'!$C$14=Sheet1!$A$25,I27,IF('1. SUMMARY'!$C$14=Sheet1!$A$52,I54,IF('1. SUMMARY'!$C$14=$A$66,I68,IF('1. SUMMARY'!$C$14=$A$84,I86,IF('1. SUMMARY'!$C$14=$A$102,I104,IF('1. SUMMARY'!$C$14=$A$116,I118,IF('1. SUMMARY'!$C$14=$A$132,I134,"Select Institution on Summary Sheet"))))))))</f>
        <v>0.35</v>
      </c>
      <c r="AB11" s="110">
        <f>IF('1. SUMMARY'!$C$14=Sheet1!$A$17,Sheet1!J19,IF('1. SUMMARY'!$C$14=Sheet1!$A$25,J27,IF('1. SUMMARY'!$C$14=Sheet1!$A$52,J54,IF('1. SUMMARY'!$C$14=$A$66,J68,IF('1. SUMMARY'!$C$14=$A$84,J86,IF('1. SUMMARY'!$C$14=$A$102,J104,IF('1. SUMMARY'!$C$14=$A$116,J118,IF('1. SUMMARY'!$C$14=$A$132,J134,"Select Institution on Summary Sheet"))))))))</f>
        <v>0.35</v>
      </c>
      <c r="AC11" s="110">
        <f>IF('1. SUMMARY'!$C$14=Sheet1!$A$17,Sheet1!K19,IF('1. SUMMARY'!$C$14=Sheet1!$A$25,K27,IF('1. SUMMARY'!$C$14=Sheet1!$A$52,K54,IF('1. SUMMARY'!$C$14=$A$66,K68,IF('1. SUMMARY'!$C$14=$A$84,K86,IF('1. SUMMARY'!$C$14=$A$102,K104,IF('1. SUMMARY'!$C$14=$A$116,K118,IF('1. SUMMARY'!$C$14=$A$132,K134,"Select Institution on Summary Sheet"))))))))</f>
        <v>0.35</v>
      </c>
      <c r="AD11" s="110">
        <f>IF('1. SUMMARY'!$C$14=Sheet1!$A$17,Sheet1!L19,IF('1. SUMMARY'!$C$14=Sheet1!$A$25,L27,IF('1. SUMMARY'!$C$14=Sheet1!$A$52,L54,IF('1. SUMMARY'!$C$14=$A$66,L68,IF('1. SUMMARY'!$C$14=$A$84,L86,IF('1. SUMMARY'!$C$14=$A$102,L104,IF('1. SUMMARY'!$C$14=$A$116,L118,IF('1. SUMMARY'!$C$14=$A$132,L134,"Select Institution on Summary Sheet"))))))))</f>
        <v>0.35</v>
      </c>
      <c r="AE11" s="110">
        <f>IF('1. SUMMARY'!$C$14=Sheet1!$A$17,Sheet1!M19,IF('1. SUMMARY'!$C$14=Sheet1!$A$25,M27,IF('1. SUMMARY'!$C$14=Sheet1!$A$52,M54,IF('1. SUMMARY'!$C$14=$A$66,M68,IF('1. SUMMARY'!$C$14=$A$84,M86,IF('1. SUMMARY'!$C$14=$A$102,M104,IF('1. SUMMARY'!$C$14=$A$116,M118,IF('1. SUMMARY'!$C$14=$A$132,M134,"Select Institution on Summary Sheet"))))))))</f>
        <v>0.35</v>
      </c>
      <c r="AF11" s="110">
        <f>IF('1. SUMMARY'!$C$14=Sheet1!$A$17,Sheet1!N19,IF('1. SUMMARY'!$C$14=Sheet1!$A$25,N27,IF('1. SUMMARY'!$C$14=Sheet1!$A$52,N54,IF('1. SUMMARY'!$C$14=$A$66,N68,IF('1. SUMMARY'!$C$14=$A$84,N86,IF('1. SUMMARY'!$C$14=$A$102,N104,IF('1. SUMMARY'!$C$14=$A$116,N118,IF('1. SUMMARY'!$C$14=$A$132,N134,"Select Institution on Summary Sheet"))))))))</f>
        <v>0.35</v>
      </c>
      <c r="AG11" s="110">
        <f>IF('1. SUMMARY'!$C$14=Sheet1!$A$17,Sheet1!O19,IF('1. SUMMARY'!$C$14=Sheet1!$A$25,O27,IF('1. SUMMARY'!$C$14=Sheet1!$A$52,O54,IF('1. SUMMARY'!$C$14=$A$66,O68,IF('1. SUMMARY'!$C$14=$A$84,O86,IF('1. SUMMARY'!$C$14=$A$102,O104,IF('1. SUMMARY'!$C$14=$A$116,O118,IF('1. SUMMARY'!$C$14=$A$132,O134,"Select Institution on Summary Sheet"))))))))</f>
        <v>0.35</v>
      </c>
      <c r="AH11" s="110">
        <f>IF('1. SUMMARY'!$C$14=Sheet1!$A$17,Sheet1!P19,IF('1. SUMMARY'!$C$14=Sheet1!$A$25,P27,IF('1. SUMMARY'!$C$14=Sheet1!$A$52,P54,IF('1. SUMMARY'!$C$14=$A$66,P68,IF('1. SUMMARY'!$C$14=$A$84,P86,IF('1. SUMMARY'!$C$14=$A$102,P104,IF('1. SUMMARY'!$C$14=$A$116,P118,IF('1. SUMMARY'!$C$14=$A$132,P134,"Select Institution on Summary Sheet"))))))))</f>
        <v>0.35</v>
      </c>
      <c r="AI11" s="110">
        <f>IF('1. SUMMARY'!$C$14=Sheet1!$A$17,Sheet1!Q19,IF('1. SUMMARY'!$C$14=Sheet1!$A$25,Q27,IF('1. SUMMARY'!$C$14=Sheet1!$A$52,Q54,IF('1. SUMMARY'!$C$14=$A$66,Q68,IF('1. SUMMARY'!$C$14=$A$84,Q86,IF('1. SUMMARY'!$C$14=$A$102,Q104,IF('1. SUMMARY'!$C$14=$A$116,Q118,IF('1. SUMMARY'!$C$14=$A$132,Q134,"Select Institution on Summary Sheet"))))))))</f>
        <v>0.35</v>
      </c>
      <c r="AJ11" s="110">
        <f>IF('1. SUMMARY'!$C$14=Sheet1!$A$17,Sheet1!R19,IF('1. SUMMARY'!$C$14=Sheet1!$A$25,R27,IF('1. SUMMARY'!$C$14=Sheet1!$A$52,R54,IF('1. SUMMARY'!$C$14=$A$66,R68,IF('1. SUMMARY'!$C$14=$A$84,R86,IF('1. SUMMARY'!$C$14=$A$102,R104,IF('1. SUMMARY'!$C$14=$A$116,R118,IF('1. SUMMARY'!$C$14=$A$132,R134,"Select Institution on Summary Sheet"))))))))</f>
        <v>0.35</v>
      </c>
      <c r="AK11" s="109"/>
      <c r="AL11" s="109"/>
    </row>
    <row r="12" spans="1:38" ht="15">
      <c r="S12" s="110" t="str">
        <f>IF('1. SUMMARY'!$C$14=Sheet1!$A$17,Sheet1!A20,IF('1. SUMMARY'!$C$14=Sheet1!$A$25,A28,IF('1. SUMMARY'!$C$14=Sheet1!$A$52,A55,IF('1. SUMMARY'!$C$14=$A$66,A69,IF('1. SUMMARY'!$C$14=$A$84,A87,IF('1. SUMMARY'!$C$14=$A$102,A105,IF('1. SUMMARY'!$C$14=$A$116,A119,IF('1. SUMMARY'!$C$14=$A$132,A135,"Select Institution on Summary Sheet"))))))))</f>
        <v>Bulfinch Temps</v>
      </c>
      <c r="T12" s="110">
        <f>IF('1. SUMMARY'!$C$14=Sheet1!$A$17,Sheet1!B20,IF('1. SUMMARY'!$C$14=Sheet1!$A$25,B28,IF('1. SUMMARY'!$C$14=Sheet1!$A$52,B55,IF('1. SUMMARY'!$C$14=$A$66,B69,IF('1. SUMMARY'!$C$14=$A$84,B87,IF('1. SUMMARY'!$C$14=$A$102,B105,IF('1. SUMMARY'!$C$14=$A$116,B119,IF('1. SUMMARY'!$C$14=$A$132,B135,"Select Institution on Summary Sheet"))))))))</f>
        <v>0.12</v>
      </c>
      <c r="U12" s="110">
        <f>IF('1. SUMMARY'!$C$14=Sheet1!$A$17,Sheet1!C20,IF('1. SUMMARY'!$C$14=Sheet1!$A$25,C28,IF('1. SUMMARY'!$C$14=Sheet1!$A$52,C55,IF('1. SUMMARY'!$C$14=$A$66,C69,IF('1. SUMMARY'!$C$14=$A$84,C87,IF('1. SUMMARY'!$C$14=$A$102,C105,IF('1. SUMMARY'!$C$14=$A$116,C119,IF('1. SUMMARY'!$C$14=$A$132,C135,"Select Institution on Summary Sheet"))))))))</f>
        <v>0.12</v>
      </c>
      <c r="V12" s="110">
        <f>IF('1. SUMMARY'!$C$14=Sheet1!$A$17,Sheet1!D20,IF('1. SUMMARY'!$C$14=Sheet1!$A$25,D28,IF('1. SUMMARY'!$C$14=Sheet1!$A$52,D55,IF('1. SUMMARY'!$C$14=$A$66,D69,IF('1. SUMMARY'!$C$14=$A$84,D87,IF('1. SUMMARY'!$C$14=$A$102,D105,IF('1. SUMMARY'!$C$14=$A$116,D119,IF('1. SUMMARY'!$C$14=$A$132,D135,"Select Institution on Summary Sheet"))))))))</f>
        <v>0.12</v>
      </c>
      <c r="W12" s="110">
        <f>IF('1. SUMMARY'!$C$14=Sheet1!$A$17,Sheet1!E20,IF('1. SUMMARY'!$C$14=Sheet1!$A$25,E28,IF('1. SUMMARY'!$C$14=Sheet1!$A$52,E55,IF('1. SUMMARY'!$C$14=$A$66,E69,IF('1. SUMMARY'!$C$14=$A$84,E87,IF('1. SUMMARY'!$C$14=$A$102,E105,IF('1. SUMMARY'!$C$14=$A$116,E119,IF('1. SUMMARY'!$C$14=$A$132,E135,"Select Institution on Summary Sheet"))))))))</f>
        <v>0.12</v>
      </c>
      <c r="X12" s="110">
        <f>IF('1. SUMMARY'!$C$14=Sheet1!$A$17,Sheet1!F20,IF('1. SUMMARY'!$C$14=Sheet1!$A$25,F28,IF('1. SUMMARY'!$C$14=Sheet1!$A$52,F55,IF('1. SUMMARY'!$C$14=$A$66,F69,IF('1. SUMMARY'!$C$14=$A$84,F87,IF('1. SUMMARY'!$C$14=$A$102,F105,IF('1. SUMMARY'!$C$14=$A$116,F119,IF('1. SUMMARY'!$C$14=$A$132,F135,"Select Institution on Summary Sheet"))))))))</f>
        <v>0.12</v>
      </c>
      <c r="Y12" s="110">
        <f>IF('1. SUMMARY'!$C$14=Sheet1!$A$17,Sheet1!G20,IF('1. SUMMARY'!$C$14=Sheet1!$A$25,G28,IF('1. SUMMARY'!$C$14=Sheet1!$A$52,G55,IF('1. SUMMARY'!$C$14=$A$66,G69,IF('1. SUMMARY'!$C$14=$A$84,G87,IF('1. SUMMARY'!$C$14=$A$102,G105,IF('1. SUMMARY'!$C$14=$A$116,G119,IF('1. SUMMARY'!$C$14=$A$132,G135,"Select Institution on Summary Sheet"))))))))</f>
        <v>0.12</v>
      </c>
      <c r="Z12" s="110">
        <f>IF('1. SUMMARY'!$C$14=Sheet1!$A$17,Sheet1!H20,IF('1. SUMMARY'!$C$14=Sheet1!$A$25,H28,IF('1. SUMMARY'!$C$14=Sheet1!$A$52,H55,IF('1. SUMMARY'!$C$14=$A$66,H69,IF('1. SUMMARY'!$C$14=$A$84,H87,IF('1. SUMMARY'!$C$14=$A$102,H105,IF('1. SUMMARY'!$C$14=$A$116,H119,IF('1. SUMMARY'!$C$14=$A$132,H135,"Select Institution on Summary Sheet"))))))))</f>
        <v>0.12</v>
      </c>
      <c r="AA12" s="110">
        <f>IF('1. SUMMARY'!$C$14=Sheet1!$A$17,Sheet1!I20,IF('1. SUMMARY'!$C$14=Sheet1!$A$25,I28,IF('1. SUMMARY'!$C$14=Sheet1!$A$52,I55,IF('1. SUMMARY'!$C$14=$A$66,I69,IF('1. SUMMARY'!$C$14=$A$84,I87,IF('1. SUMMARY'!$C$14=$A$102,I105,IF('1. SUMMARY'!$C$14=$A$116,I119,IF('1. SUMMARY'!$C$14=$A$132,I135,"Select Institution on Summary Sheet"))))))))</f>
        <v>0.12</v>
      </c>
      <c r="AB12" s="110">
        <f>IF('1. SUMMARY'!$C$14=Sheet1!$A$17,Sheet1!J20,IF('1. SUMMARY'!$C$14=Sheet1!$A$25,J28,IF('1. SUMMARY'!$C$14=Sheet1!$A$52,J55,IF('1. SUMMARY'!$C$14=$A$66,J69,IF('1. SUMMARY'!$C$14=$A$84,J87,IF('1. SUMMARY'!$C$14=$A$102,J105,IF('1. SUMMARY'!$C$14=$A$116,J119,IF('1. SUMMARY'!$C$14=$A$132,J135,"Select Institution on Summary Sheet"))))))))</f>
        <v>0.12</v>
      </c>
      <c r="AC12" s="110">
        <f>IF('1. SUMMARY'!$C$14=Sheet1!$A$17,Sheet1!K20,IF('1. SUMMARY'!$C$14=Sheet1!$A$25,K28,IF('1. SUMMARY'!$C$14=Sheet1!$A$52,K55,IF('1. SUMMARY'!$C$14=$A$66,K69,IF('1. SUMMARY'!$C$14=$A$84,K87,IF('1. SUMMARY'!$C$14=$A$102,K105,IF('1. SUMMARY'!$C$14=$A$116,K119,IF('1. SUMMARY'!$C$14=$A$132,K135,"Select Institution on Summary Sheet"))))))))</f>
        <v>0.12</v>
      </c>
      <c r="AD12" s="110">
        <f>IF('1. SUMMARY'!$C$14=Sheet1!$A$17,Sheet1!L20,IF('1. SUMMARY'!$C$14=Sheet1!$A$25,L28,IF('1. SUMMARY'!$C$14=Sheet1!$A$52,L55,IF('1. SUMMARY'!$C$14=$A$66,L69,IF('1. SUMMARY'!$C$14=$A$84,L87,IF('1. SUMMARY'!$C$14=$A$102,L105,IF('1. SUMMARY'!$C$14=$A$116,L119,IF('1. SUMMARY'!$C$14=$A$132,L135,"Select Institution on Summary Sheet"))))))))</f>
        <v>0.12</v>
      </c>
      <c r="AE12" s="110">
        <f>IF('1. SUMMARY'!$C$14=Sheet1!$A$17,Sheet1!M20,IF('1. SUMMARY'!$C$14=Sheet1!$A$25,M28,IF('1. SUMMARY'!$C$14=Sheet1!$A$52,M55,IF('1. SUMMARY'!$C$14=$A$66,M69,IF('1. SUMMARY'!$C$14=$A$84,M87,IF('1. SUMMARY'!$C$14=$A$102,M105,IF('1. SUMMARY'!$C$14=$A$116,M119,IF('1. SUMMARY'!$C$14=$A$132,M135,"Select Institution on Summary Sheet"))))))))</f>
        <v>0.12</v>
      </c>
      <c r="AF12" s="110">
        <f>IF('1. SUMMARY'!$C$14=Sheet1!$A$17,Sheet1!N20,IF('1. SUMMARY'!$C$14=Sheet1!$A$25,N28,IF('1. SUMMARY'!$C$14=Sheet1!$A$52,N55,IF('1. SUMMARY'!$C$14=$A$66,N69,IF('1. SUMMARY'!$C$14=$A$84,N87,IF('1. SUMMARY'!$C$14=$A$102,N105,IF('1. SUMMARY'!$C$14=$A$116,N119,IF('1. SUMMARY'!$C$14=$A$132,N135,"Select Institution on Summary Sheet"))))))))</f>
        <v>0.12</v>
      </c>
      <c r="AG12" s="110">
        <f>IF('1. SUMMARY'!$C$14=Sheet1!$A$17,Sheet1!O20,IF('1. SUMMARY'!$C$14=Sheet1!$A$25,O28,IF('1. SUMMARY'!$C$14=Sheet1!$A$52,O55,IF('1. SUMMARY'!$C$14=$A$66,O69,IF('1. SUMMARY'!$C$14=$A$84,O87,IF('1. SUMMARY'!$C$14=$A$102,O105,IF('1. SUMMARY'!$C$14=$A$116,O119,IF('1. SUMMARY'!$C$14=$A$132,O135,"Select Institution on Summary Sheet"))))))))</f>
        <v>0.12</v>
      </c>
      <c r="AH12" s="110">
        <f>IF('1. SUMMARY'!$C$14=Sheet1!$A$17,Sheet1!P20,IF('1. SUMMARY'!$C$14=Sheet1!$A$25,P28,IF('1. SUMMARY'!$C$14=Sheet1!$A$52,P55,IF('1. SUMMARY'!$C$14=$A$66,P69,IF('1. SUMMARY'!$C$14=$A$84,P87,IF('1. SUMMARY'!$C$14=$A$102,P105,IF('1. SUMMARY'!$C$14=$A$116,P119,IF('1. SUMMARY'!$C$14=$A$132,P135,"Select Institution on Summary Sheet"))))))))</f>
        <v>0.12</v>
      </c>
      <c r="AI12" s="110">
        <f>IF('1. SUMMARY'!$C$14=Sheet1!$A$17,Sheet1!Q20,IF('1. SUMMARY'!$C$14=Sheet1!$A$25,Q28,IF('1. SUMMARY'!$C$14=Sheet1!$A$52,Q55,IF('1. SUMMARY'!$C$14=$A$66,Q69,IF('1. SUMMARY'!$C$14=$A$84,Q87,IF('1. SUMMARY'!$C$14=$A$102,Q105,IF('1. SUMMARY'!$C$14=$A$116,Q119,IF('1. SUMMARY'!$C$14=$A$132,Q135,"Select Institution on Summary Sheet"))))))))</f>
        <v>0.12</v>
      </c>
      <c r="AJ12" s="110">
        <f>IF('1. SUMMARY'!$C$14=Sheet1!$A$17,Sheet1!R20,IF('1. SUMMARY'!$C$14=Sheet1!$A$25,R28,IF('1. SUMMARY'!$C$14=Sheet1!$A$52,R55,IF('1. SUMMARY'!$C$14=$A$66,R69,IF('1. SUMMARY'!$C$14=$A$84,R87,IF('1. SUMMARY'!$C$14=$A$102,R105,IF('1. SUMMARY'!$C$14=$A$116,R119,IF('1. SUMMARY'!$C$14=$A$132,R135,"Select Institution on Summary Sheet"))))))))</f>
        <v>0.12</v>
      </c>
      <c r="AK12" s="109"/>
      <c r="AL12" s="109"/>
    </row>
    <row r="13" spans="1:38" ht="15">
      <c r="S13" s="110" t="str">
        <f>IF('1. SUMMARY'!$C$14=Sheet1!$A$17,Sheet1!A21,IF('1. SUMMARY'!$C$14=Sheet1!$A$25,A29,IF('1. SUMMARY'!$C$14=Sheet1!$A$52,A56,IF('1. SUMMARY'!$C$14=$A$66,A70,IF('1. SUMMARY'!$C$14=$A$84,A88,IF('1. SUMMARY'!$C$14=$A$102,A106,IF('1. SUMMARY'!$C$14=$A$116,A120,IF('1. SUMMARY'!$C$14=$A$132,A136,"Select Institution on Summary Sheet"))))))))</f>
        <v xml:space="preserve"> </v>
      </c>
      <c r="T13" s="110" t="str">
        <f>IF('1. SUMMARY'!$C$14=Sheet1!$A$17,Sheet1!B21,IF('1. SUMMARY'!$C$14=Sheet1!$A$25,B29,IF('1. SUMMARY'!$C$14=Sheet1!$A$52,B56,IF('1. SUMMARY'!$C$14=$A$66,B70,IF('1. SUMMARY'!$C$14=$A$84,B88,IF('1. SUMMARY'!$C$14=$A$102,B106,IF('1. SUMMARY'!$C$14=$A$116,B120,IF('1. SUMMARY'!$C$14=$A$132,B136,"Select Institution on Summary Sheet"))))))))</f>
        <v xml:space="preserve"> </v>
      </c>
      <c r="U13" s="110" t="str">
        <f>IF('1. SUMMARY'!$C$14=Sheet1!$A$17,Sheet1!C21,IF('1. SUMMARY'!$C$14=Sheet1!$A$25,C29,IF('1. SUMMARY'!$C$14=Sheet1!$A$52,C56,IF('1. SUMMARY'!$C$14=$A$66,C70,IF('1. SUMMARY'!$C$14=$A$84,C88,IF('1. SUMMARY'!$C$14=$A$102,C106,IF('1. SUMMARY'!$C$14=$A$116,C120,IF('1. SUMMARY'!$C$14=$A$132,C136,"Select Institution on Summary Sheet"))))))))</f>
        <v xml:space="preserve"> </v>
      </c>
      <c r="V13" s="110" t="str">
        <f>IF('1. SUMMARY'!$C$14=Sheet1!$A$17,Sheet1!D21,IF('1. SUMMARY'!$C$14=Sheet1!$A$25,D29,IF('1. SUMMARY'!$C$14=Sheet1!$A$52,D56,IF('1. SUMMARY'!$C$14=$A$66,D70,IF('1. SUMMARY'!$C$14=$A$84,D88,IF('1. SUMMARY'!$C$14=$A$102,D106,IF('1. SUMMARY'!$C$14=$A$116,D120,IF('1. SUMMARY'!$C$14=$A$132,D136,"Select Institution on Summary Sheet"))))))))</f>
        <v xml:space="preserve"> </v>
      </c>
      <c r="W13" s="110" t="str">
        <f>IF('1. SUMMARY'!$C$14=Sheet1!$A$17,Sheet1!E21,IF('1. SUMMARY'!$C$14=Sheet1!$A$25,E29,IF('1. SUMMARY'!$C$14=Sheet1!$A$52,E56,IF('1. SUMMARY'!$C$14=$A$66,E70,IF('1. SUMMARY'!$C$14=$A$84,E88,IF('1. SUMMARY'!$C$14=$A$102,E106,IF('1. SUMMARY'!$C$14=$A$116,E120,IF('1. SUMMARY'!$C$14=$A$132,E136,"Select Institution on Summary Sheet"))))))))</f>
        <v xml:space="preserve"> </v>
      </c>
      <c r="X13" s="110" t="str">
        <f>IF('1. SUMMARY'!$C$14=Sheet1!$A$17,Sheet1!F21,IF('1. SUMMARY'!$C$14=Sheet1!$A$25,F29,IF('1. SUMMARY'!$C$14=Sheet1!$A$52,F56,IF('1. SUMMARY'!$C$14=$A$66,F70,IF('1. SUMMARY'!$C$14=$A$84,F88,IF('1. SUMMARY'!$C$14=$A$102,F106,IF('1. SUMMARY'!$C$14=$A$116,F120,IF('1. SUMMARY'!$C$14=$A$132,F136,"Select Institution on Summary Sheet"))))))))</f>
        <v xml:space="preserve"> </v>
      </c>
      <c r="Y13" s="110" t="str">
        <f>IF('1. SUMMARY'!$C$14=Sheet1!$A$17,Sheet1!G21,IF('1. SUMMARY'!$C$14=Sheet1!$A$25,G29,IF('1. SUMMARY'!$C$14=Sheet1!$A$52,G56,IF('1. SUMMARY'!$C$14=$A$66,G70,IF('1. SUMMARY'!$C$14=$A$84,G88,IF('1. SUMMARY'!$C$14=$A$102,G106,IF('1. SUMMARY'!$C$14=$A$116,G120,IF('1. SUMMARY'!$C$14=$A$132,G136,"Select Institution on Summary Sheet"))))))))</f>
        <v xml:space="preserve"> </v>
      </c>
      <c r="Z13" s="110" t="str">
        <f>IF('1. SUMMARY'!$C$14=Sheet1!$A$17,Sheet1!H21,IF('1. SUMMARY'!$C$14=Sheet1!$A$25,H29,IF('1. SUMMARY'!$C$14=Sheet1!$A$52,H56,IF('1. SUMMARY'!$C$14=$A$66,H70,IF('1. SUMMARY'!$C$14=$A$84,H88,IF('1. SUMMARY'!$C$14=$A$102,H106,IF('1. SUMMARY'!$C$14=$A$116,H120,IF('1. SUMMARY'!$C$14=$A$132,H136,"Select Institution on Summary Sheet"))))))))</f>
        <v xml:space="preserve"> </v>
      </c>
      <c r="AA13" s="110" t="str">
        <f>IF('1. SUMMARY'!$C$14=Sheet1!$A$17,Sheet1!I21,IF('1. SUMMARY'!$C$14=Sheet1!$A$25,I29,IF('1. SUMMARY'!$C$14=Sheet1!$A$52,I56,IF('1. SUMMARY'!$C$14=$A$66,I70,IF('1. SUMMARY'!$C$14=$A$84,I88,IF('1. SUMMARY'!$C$14=$A$102,I106,IF('1. SUMMARY'!$C$14=$A$116,I120,IF('1. SUMMARY'!$C$14=$A$132,I136,"Select Institution on Summary Sheet"))))))))</f>
        <v xml:space="preserve"> </v>
      </c>
      <c r="AB13" s="110" t="str">
        <f>IF('1. SUMMARY'!$C$14=Sheet1!$A$17,Sheet1!J21,IF('1. SUMMARY'!$C$14=Sheet1!$A$25,J29,IF('1. SUMMARY'!$C$14=Sheet1!$A$52,J56,IF('1. SUMMARY'!$C$14=$A$66,J70,IF('1. SUMMARY'!$C$14=$A$84,J88,IF('1. SUMMARY'!$C$14=$A$102,J106,IF('1. SUMMARY'!$C$14=$A$116,J120,IF('1. SUMMARY'!$C$14=$A$132,J136,"Select Institution on Summary Sheet"))))))))</f>
        <v xml:space="preserve"> </v>
      </c>
      <c r="AC13" s="110" t="str">
        <f>IF('1. SUMMARY'!$C$14=Sheet1!$A$17,Sheet1!K21,IF('1. SUMMARY'!$C$14=Sheet1!$A$25,K29,IF('1. SUMMARY'!$C$14=Sheet1!$A$52,K56,IF('1. SUMMARY'!$C$14=$A$66,K70,IF('1. SUMMARY'!$C$14=$A$84,K88,IF('1. SUMMARY'!$C$14=$A$102,K106,IF('1. SUMMARY'!$C$14=$A$116,K120,IF('1. SUMMARY'!$C$14=$A$132,K136,"Select Institution on Summary Sheet"))))))))</f>
        <v xml:space="preserve"> </v>
      </c>
      <c r="AD13" s="110" t="str">
        <f>IF('1. SUMMARY'!$C$14=Sheet1!$A$17,Sheet1!L21,IF('1. SUMMARY'!$C$14=Sheet1!$A$25,L29,IF('1. SUMMARY'!$C$14=Sheet1!$A$52,L56,IF('1. SUMMARY'!$C$14=$A$66,L70,IF('1. SUMMARY'!$C$14=$A$84,L88,IF('1. SUMMARY'!$C$14=$A$102,L106,IF('1. SUMMARY'!$C$14=$A$116,L120,IF('1. SUMMARY'!$C$14=$A$132,L136,"Select Institution on Summary Sheet"))))))))</f>
        <v xml:space="preserve"> </v>
      </c>
      <c r="AE13" s="110" t="str">
        <f>IF('1. SUMMARY'!$C$14=Sheet1!$A$17,Sheet1!M21,IF('1. SUMMARY'!$C$14=Sheet1!$A$25,M29,IF('1. SUMMARY'!$C$14=Sheet1!$A$52,M56,IF('1. SUMMARY'!$C$14=$A$66,M70,IF('1. SUMMARY'!$C$14=$A$84,M88,IF('1. SUMMARY'!$C$14=$A$102,M106,IF('1. SUMMARY'!$C$14=$A$116,M120,IF('1. SUMMARY'!$C$14=$A$132,M136,"Select Institution on Summary Sheet"))))))))</f>
        <v xml:space="preserve"> </v>
      </c>
      <c r="AF13" s="110" t="str">
        <f>IF('1. SUMMARY'!$C$14=Sheet1!$A$17,Sheet1!N21,IF('1. SUMMARY'!$C$14=Sheet1!$A$25,N29,IF('1. SUMMARY'!$C$14=Sheet1!$A$52,N56,IF('1. SUMMARY'!$C$14=$A$66,N70,IF('1. SUMMARY'!$C$14=$A$84,N88,IF('1. SUMMARY'!$C$14=$A$102,N106,IF('1. SUMMARY'!$C$14=$A$116,N120,IF('1. SUMMARY'!$C$14=$A$132,N136,"Select Institution on Summary Sheet"))))))))</f>
        <v xml:space="preserve"> </v>
      </c>
      <c r="AG13" s="110" t="str">
        <f>IF('1. SUMMARY'!$C$14=Sheet1!$A$17,Sheet1!O21,IF('1. SUMMARY'!$C$14=Sheet1!$A$25,O29,IF('1. SUMMARY'!$C$14=Sheet1!$A$52,O56,IF('1. SUMMARY'!$C$14=$A$66,O70,IF('1. SUMMARY'!$C$14=$A$84,O88,IF('1. SUMMARY'!$C$14=$A$102,O106,IF('1. SUMMARY'!$C$14=$A$116,O120,IF('1. SUMMARY'!$C$14=$A$132,O136,"Select Institution on Summary Sheet"))))))))</f>
        <v xml:space="preserve"> </v>
      </c>
      <c r="AH13" s="110" t="str">
        <f>IF('1. SUMMARY'!$C$14=Sheet1!$A$17,Sheet1!P21,IF('1. SUMMARY'!$C$14=Sheet1!$A$25,P29,IF('1. SUMMARY'!$C$14=Sheet1!$A$52,P56,IF('1. SUMMARY'!$C$14=$A$66,P70,IF('1. SUMMARY'!$C$14=$A$84,P88,IF('1. SUMMARY'!$C$14=$A$102,P106,IF('1. SUMMARY'!$C$14=$A$116,P120,IF('1. SUMMARY'!$C$14=$A$132,P136,"Select Institution on Summary Sheet"))))))))</f>
        <v xml:space="preserve"> </v>
      </c>
      <c r="AI13" s="110" t="str">
        <f>IF('1. SUMMARY'!$C$14=Sheet1!$A$17,Sheet1!Q21,IF('1. SUMMARY'!$C$14=Sheet1!$A$25,Q29,IF('1. SUMMARY'!$C$14=Sheet1!$A$52,Q56,IF('1. SUMMARY'!$C$14=$A$66,Q70,IF('1. SUMMARY'!$C$14=$A$84,Q88,IF('1. SUMMARY'!$C$14=$A$102,Q106,IF('1. SUMMARY'!$C$14=$A$116,Q120,IF('1. SUMMARY'!$C$14=$A$132,Q136,"Select Institution on Summary Sheet"))))))))</f>
        <v xml:space="preserve"> </v>
      </c>
      <c r="AJ13" s="110" t="str">
        <f>IF('1. SUMMARY'!$C$14=Sheet1!$A$17,Sheet1!R21,IF('1. SUMMARY'!$C$14=Sheet1!$A$25,R29,IF('1. SUMMARY'!$C$14=Sheet1!$A$52,R56,IF('1. SUMMARY'!$C$14=$A$66,R70,IF('1. SUMMARY'!$C$14=$A$84,R88,IF('1. SUMMARY'!$C$14=$A$102,R106,IF('1. SUMMARY'!$C$14=$A$116,R120,IF('1. SUMMARY'!$C$14=$A$132,R136,"Select Institution on Summary Sheet"))))))))</f>
        <v xml:space="preserve"> </v>
      </c>
      <c r="AK13" s="109"/>
      <c r="AL13" s="109"/>
    </row>
    <row r="14" spans="1:38" ht="15">
      <c r="S14" s="110" t="str">
        <f>IF('1. SUMMARY'!$C$14=Sheet1!$A$17,Sheet1!A22,IF('1. SUMMARY'!$C$14=Sheet1!$A$25,A30,IF('1. SUMMARY'!$C$14=Sheet1!$A$52,A57,IF('1. SUMMARY'!$C$14=$A$66,A71,IF('1. SUMMARY'!$C$14=$A$84,A89,IF('1. SUMMARY'!$C$14=$A$102,A107,IF('1. SUMMARY'!$C$14=$A$116,A121,IF('1. SUMMARY'!$C$14=$A$132,A137,"Select Institution on Summary Sheet"))))))))</f>
        <v xml:space="preserve"> </v>
      </c>
      <c r="T14" s="110" t="str">
        <f>IF('1. SUMMARY'!$C$14=Sheet1!$A$17,Sheet1!B22,IF('1. SUMMARY'!$C$14=Sheet1!$A$25,B30,IF('1. SUMMARY'!$C$14=Sheet1!$A$52,B57,IF('1. SUMMARY'!$C$14=$A$66,B71,IF('1. SUMMARY'!$C$14=$A$84,B89,IF('1. SUMMARY'!$C$14=$A$102,B107,IF('1. SUMMARY'!$C$14=$A$116,B121,IF('1. SUMMARY'!$C$14=$A$132,B137,"Select Institution on Summary Sheet"))))))))</f>
        <v xml:space="preserve"> </v>
      </c>
      <c r="U14" s="110" t="str">
        <f>IF('1. SUMMARY'!$C$14=Sheet1!$A$17,Sheet1!C22,IF('1. SUMMARY'!$C$14=Sheet1!$A$25,C30,IF('1. SUMMARY'!$C$14=Sheet1!$A$52,C57,IF('1. SUMMARY'!$C$14=$A$66,C71,IF('1. SUMMARY'!$C$14=$A$84,C89,IF('1. SUMMARY'!$C$14=$A$102,C107,IF('1. SUMMARY'!$C$14=$A$116,C121,IF('1. SUMMARY'!$C$14=$A$132,C137,"Select Institution on Summary Sheet"))))))))</f>
        <v xml:space="preserve"> </v>
      </c>
      <c r="V14" s="110" t="str">
        <f>IF('1. SUMMARY'!$C$14=Sheet1!$A$17,Sheet1!D22,IF('1. SUMMARY'!$C$14=Sheet1!$A$25,D30,IF('1. SUMMARY'!$C$14=Sheet1!$A$52,D57,IF('1. SUMMARY'!$C$14=$A$66,D71,IF('1. SUMMARY'!$C$14=$A$84,D89,IF('1. SUMMARY'!$C$14=$A$102,D107,IF('1. SUMMARY'!$C$14=$A$116,D121,IF('1. SUMMARY'!$C$14=$A$132,D137,"Select Institution on Summary Sheet"))))))))</f>
        <v xml:space="preserve"> </v>
      </c>
      <c r="W14" s="110" t="str">
        <f>IF('1. SUMMARY'!$C$14=Sheet1!$A$17,Sheet1!E22,IF('1. SUMMARY'!$C$14=Sheet1!$A$25,E30,IF('1. SUMMARY'!$C$14=Sheet1!$A$52,E57,IF('1. SUMMARY'!$C$14=$A$66,E71,IF('1. SUMMARY'!$C$14=$A$84,E89,IF('1. SUMMARY'!$C$14=$A$102,E107,IF('1. SUMMARY'!$C$14=$A$116,E121,IF('1. SUMMARY'!$C$14=$A$132,E137,"Select Institution on Summary Sheet"))))))))</f>
        <v xml:space="preserve"> </v>
      </c>
      <c r="X14" s="110" t="str">
        <f>IF('1. SUMMARY'!$C$14=Sheet1!$A$17,Sheet1!F22,IF('1. SUMMARY'!$C$14=Sheet1!$A$25,F30,IF('1. SUMMARY'!$C$14=Sheet1!$A$52,F57,IF('1. SUMMARY'!$C$14=$A$66,F71,IF('1. SUMMARY'!$C$14=$A$84,F89,IF('1. SUMMARY'!$C$14=$A$102,F107,IF('1. SUMMARY'!$C$14=$A$116,F121,IF('1. SUMMARY'!$C$14=$A$132,F137,"Select Institution on Summary Sheet"))))))))</f>
        <v xml:space="preserve"> </v>
      </c>
      <c r="Y14" s="110" t="str">
        <f>IF('1. SUMMARY'!$C$14=Sheet1!$A$17,Sheet1!G22,IF('1. SUMMARY'!$C$14=Sheet1!$A$25,G30,IF('1. SUMMARY'!$C$14=Sheet1!$A$52,G57,IF('1. SUMMARY'!$C$14=$A$66,G71,IF('1. SUMMARY'!$C$14=$A$84,G89,IF('1. SUMMARY'!$C$14=$A$102,G107,IF('1. SUMMARY'!$C$14=$A$116,G121,IF('1. SUMMARY'!$C$14=$A$132,G137,"Select Institution on Summary Sheet"))))))))</f>
        <v xml:space="preserve"> </v>
      </c>
      <c r="Z14" s="110" t="str">
        <f>IF('1. SUMMARY'!$C$14=Sheet1!$A$17,Sheet1!H22,IF('1. SUMMARY'!$C$14=Sheet1!$A$25,H30,IF('1. SUMMARY'!$C$14=Sheet1!$A$52,H57,IF('1. SUMMARY'!$C$14=$A$66,H71,IF('1. SUMMARY'!$C$14=$A$84,H89,IF('1. SUMMARY'!$C$14=$A$102,H107,IF('1. SUMMARY'!$C$14=$A$116,H121,IF('1. SUMMARY'!$C$14=$A$132,H137,"Select Institution on Summary Sheet"))))))))</f>
        <v xml:space="preserve"> </v>
      </c>
      <c r="AA14" s="110" t="str">
        <f>IF('1. SUMMARY'!$C$14=Sheet1!$A$17,Sheet1!I22,IF('1. SUMMARY'!$C$14=Sheet1!$A$25,I30,IF('1. SUMMARY'!$C$14=Sheet1!$A$52,I57,IF('1. SUMMARY'!$C$14=$A$66,I71,IF('1. SUMMARY'!$C$14=$A$84,I89,IF('1. SUMMARY'!$C$14=$A$102,I107,IF('1. SUMMARY'!$C$14=$A$116,I121,IF('1. SUMMARY'!$C$14=$A$132,I137,"Select Institution on Summary Sheet"))))))))</f>
        <v xml:space="preserve"> </v>
      </c>
      <c r="AB14" s="110" t="str">
        <f>IF('1. SUMMARY'!$C$14=Sheet1!$A$17,Sheet1!J22,IF('1. SUMMARY'!$C$14=Sheet1!$A$25,J30,IF('1. SUMMARY'!$C$14=Sheet1!$A$52,J57,IF('1. SUMMARY'!$C$14=$A$66,J71,IF('1. SUMMARY'!$C$14=$A$84,J89,IF('1. SUMMARY'!$C$14=$A$102,J107,IF('1. SUMMARY'!$C$14=$A$116,J121,IF('1. SUMMARY'!$C$14=$A$132,J137,"Select Institution on Summary Sheet"))))))))</f>
        <v xml:space="preserve"> </v>
      </c>
      <c r="AC14" s="110" t="str">
        <f>IF('1. SUMMARY'!$C$14=Sheet1!$A$17,Sheet1!K22,IF('1. SUMMARY'!$C$14=Sheet1!$A$25,K30,IF('1. SUMMARY'!$C$14=Sheet1!$A$52,K57,IF('1. SUMMARY'!$C$14=$A$66,K71,IF('1. SUMMARY'!$C$14=$A$84,K89,IF('1. SUMMARY'!$C$14=$A$102,K107,IF('1. SUMMARY'!$C$14=$A$116,K121,IF('1. SUMMARY'!$C$14=$A$132,K137,"Select Institution on Summary Sheet"))))))))</f>
        <v xml:space="preserve"> </v>
      </c>
      <c r="AD14" s="110" t="str">
        <f>IF('1. SUMMARY'!$C$14=Sheet1!$A$17,Sheet1!L22,IF('1. SUMMARY'!$C$14=Sheet1!$A$25,L30,IF('1. SUMMARY'!$C$14=Sheet1!$A$52,L57,IF('1. SUMMARY'!$C$14=$A$66,L71,IF('1. SUMMARY'!$C$14=$A$84,L89,IF('1. SUMMARY'!$C$14=$A$102,L107,IF('1. SUMMARY'!$C$14=$A$116,L121,IF('1. SUMMARY'!$C$14=$A$132,L137,"Select Institution on Summary Sheet"))))))))</f>
        <v xml:space="preserve"> </v>
      </c>
      <c r="AE14" s="110" t="str">
        <f>IF('1. SUMMARY'!$C$14=Sheet1!$A$17,Sheet1!M22,IF('1. SUMMARY'!$C$14=Sheet1!$A$25,M30,IF('1. SUMMARY'!$C$14=Sheet1!$A$52,M57,IF('1. SUMMARY'!$C$14=$A$66,M71,IF('1. SUMMARY'!$C$14=$A$84,M89,IF('1. SUMMARY'!$C$14=$A$102,M107,IF('1. SUMMARY'!$C$14=$A$116,M121,IF('1. SUMMARY'!$C$14=$A$132,M137,"Select Institution on Summary Sheet"))))))))</f>
        <v xml:space="preserve"> </v>
      </c>
      <c r="AF14" s="110" t="str">
        <f>IF('1. SUMMARY'!$C$14=Sheet1!$A$17,Sheet1!N22,IF('1. SUMMARY'!$C$14=Sheet1!$A$25,N30,IF('1. SUMMARY'!$C$14=Sheet1!$A$52,N57,IF('1. SUMMARY'!$C$14=$A$66,N71,IF('1. SUMMARY'!$C$14=$A$84,N89,IF('1. SUMMARY'!$C$14=$A$102,N107,IF('1. SUMMARY'!$C$14=$A$116,N121,IF('1. SUMMARY'!$C$14=$A$132,N137,"Select Institution on Summary Sheet"))))))))</f>
        <v xml:space="preserve"> </v>
      </c>
      <c r="AG14" s="110" t="str">
        <f>IF('1. SUMMARY'!$C$14=Sheet1!$A$17,Sheet1!O22,IF('1. SUMMARY'!$C$14=Sheet1!$A$25,O30,IF('1. SUMMARY'!$C$14=Sheet1!$A$52,O57,IF('1. SUMMARY'!$C$14=$A$66,O71,IF('1. SUMMARY'!$C$14=$A$84,O89,IF('1. SUMMARY'!$C$14=$A$102,O107,IF('1. SUMMARY'!$C$14=$A$116,O121,IF('1. SUMMARY'!$C$14=$A$132,O137,"Select Institution on Summary Sheet"))))))))</f>
        <v xml:space="preserve"> </v>
      </c>
      <c r="AH14" s="110" t="str">
        <f>IF('1. SUMMARY'!$C$14=Sheet1!$A$17,Sheet1!P22,IF('1. SUMMARY'!$C$14=Sheet1!$A$25,P30,IF('1. SUMMARY'!$C$14=Sheet1!$A$52,P57,IF('1. SUMMARY'!$C$14=$A$66,P71,IF('1. SUMMARY'!$C$14=$A$84,P89,IF('1. SUMMARY'!$C$14=$A$102,P107,IF('1. SUMMARY'!$C$14=$A$116,P121,IF('1. SUMMARY'!$C$14=$A$132,P137,"Select Institution on Summary Sheet"))))))))</f>
        <v xml:space="preserve"> </v>
      </c>
      <c r="AI14" s="110" t="str">
        <f>IF('1. SUMMARY'!$C$14=Sheet1!$A$17,Sheet1!Q22,IF('1. SUMMARY'!$C$14=Sheet1!$A$25,Q30,IF('1. SUMMARY'!$C$14=Sheet1!$A$52,Q57,IF('1. SUMMARY'!$C$14=$A$66,Q71,IF('1. SUMMARY'!$C$14=$A$84,Q89,IF('1. SUMMARY'!$C$14=$A$102,Q107,IF('1. SUMMARY'!$C$14=$A$116,Q121,IF('1. SUMMARY'!$C$14=$A$132,Q137,"Select Institution on Summary Sheet"))))))))</f>
        <v xml:space="preserve"> </v>
      </c>
      <c r="AJ14" s="110" t="str">
        <f>IF('1. SUMMARY'!$C$14=Sheet1!$A$17,Sheet1!R22,IF('1. SUMMARY'!$C$14=Sheet1!$A$25,R30,IF('1. SUMMARY'!$C$14=Sheet1!$A$52,R57,IF('1. SUMMARY'!$C$14=$A$66,R71,IF('1. SUMMARY'!$C$14=$A$84,R89,IF('1. SUMMARY'!$C$14=$A$102,R107,IF('1. SUMMARY'!$C$14=$A$116,R121,IF('1. SUMMARY'!$C$14=$A$132,R137,"Select Institution on Summary Sheet"))))))))</f>
        <v xml:space="preserve"> </v>
      </c>
      <c r="AK14" s="109"/>
      <c r="AL14" s="109"/>
    </row>
    <row r="15" spans="1:38" ht="15">
      <c r="S15" s="110" t="str">
        <f>IF('1. SUMMARY'!$C$14=Sheet1!$A$17,Sheet1!A23,IF('1. SUMMARY'!$C$14=Sheet1!$A$25,A31,IF('1. SUMMARY'!$C$14=Sheet1!$A$52,A58,IF('1. SUMMARY'!$C$14=$A$66,A72,IF('1. SUMMARY'!$C$14=$A$84,A90,IF('1. SUMMARY'!$C$14=$A$102,A108,IF('1. SUMMARY'!$C$14=$A$116,A122,IF('1. SUMMARY'!$C$14=$A$132,A138,"Select Institution on Summary Sheet"))))))))</f>
        <v xml:space="preserve"> </v>
      </c>
      <c r="T15" s="110" t="str">
        <f>IF('1. SUMMARY'!$C$14=Sheet1!$A$17,Sheet1!B23,IF('1. SUMMARY'!$C$14=Sheet1!$A$25,B31,IF('1. SUMMARY'!$C$14=Sheet1!$A$52,B58,IF('1. SUMMARY'!$C$14=$A$66,B72,IF('1. SUMMARY'!$C$14=$A$84,B90,IF('1. SUMMARY'!$C$14=$A$102,B108,IF('1. SUMMARY'!$C$14=$A$116,B122,IF('1. SUMMARY'!$C$14=$A$132,B138,"Select Institution on Summary Sheet"))))))))</f>
        <v xml:space="preserve"> </v>
      </c>
      <c r="U15" s="110" t="str">
        <f>IF('1. SUMMARY'!$C$14=Sheet1!$A$17,Sheet1!C23,IF('1. SUMMARY'!$C$14=Sheet1!$A$25,C31,IF('1. SUMMARY'!$C$14=Sheet1!$A$52,C58,IF('1. SUMMARY'!$C$14=$A$66,C72,IF('1. SUMMARY'!$C$14=$A$84,C90,IF('1. SUMMARY'!$C$14=$A$102,C108,IF('1. SUMMARY'!$C$14=$A$116,C122,IF('1. SUMMARY'!$C$14=$A$132,C138,"Select Institution on Summary Sheet"))))))))</f>
        <v xml:space="preserve"> </v>
      </c>
      <c r="V15" s="110" t="str">
        <f>IF('1. SUMMARY'!$C$14=Sheet1!$A$17,Sheet1!D23,IF('1. SUMMARY'!$C$14=Sheet1!$A$25,D31,IF('1. SUMMARY'!$C$14=Sheet1!$A$52,D58,IF('1. SUMMARY'!$C$14=$A$66,D72,IF('1. SUMMARY'!$C$14=$A$84,D90,IF('1. SUMMARY'!$C$14=$A$102,D108,IF('1. SUMMARY'!$C$14=$A$116,D122,IF('1. SUMMARY'!$C$14=$A$132,D138,"Select Institution on Summary Sheet"))))))))</f>
        <v xml:space="preserve"> </v>
      </c>
      <c r="W15" s="110" t="str">
        <f>IF('1. SUMMARY'!$C$14=Sheet1!$A$17,Sheet1!E23,IF('1. SUMMARY'!$C$14=Sheet1!$A$25,E31,IF('1. SUMMARY'!$C$14=Sheet1!$A$52,E58,IF('1. SUMMARY'!$C$14=$A$66,E72,IF('1. SUMMARY'!$C$14=$A$84,E90,IF('1. SUMMARY'!$C$14=$A$102,E108,IF('1. SUMMARY'!$C$14=$A$116,E122,IF('1. SUMMARY'!$C$14=$A$132,E138,"Select Institution on Summary Sheet"))))))))</f>
        <v xml:space="preserve"> </v>
      </c>
      <c r="X15" s="110" t="str">
        <f>IF('1. SUMMARY'!$C$14=Sheet1!$A$17,Sheet1!F23,IF('1. SUMMARY'!$C$14=Sheet1!$A$25,F31,IF('1. SUMMARY'!$C$14=Sheet1!$A$52,F58,IF('1. SUMMARY'!$C$14=$A$66,F72,IF('1. SUMMARY'!$C$14=$A$84,F90,IF('1. SUMMARY'!$C$14=$A$102,F108,IF('1. SUMMARY'!$C$14=$A$116,F122,IF('1. SUMMARY'!$C$14=$A$132,F138,"Select Institution on Summary Sheet"))))))))</f>
        <v xml:space="preserve"> </v>
      </c>
      <c r="Y15" s="110" t="str">
        <f>IF('1. SUMMARY'!$C$14=Sheet1!$A$17,Sheet1!G23,IF('1. SUMMARY'!$C$14=Sheet1!$A$25,G31,IF('1. SUMMARY'!$C$14=Sheet1!$A$52,G58,IF('1. SUMMARY'!$C$14=$A$66,G72,IF('1. SUMMARY'!$C$14=$A$84,G90,IF('1. SUMMARY'!$C$14=$A$102,G108,IF('1. SUMMARY'!$C$14=$A$116,G122,IF('1. SUMMARY'!$C$14=$A$132,G138,"Select Institution on Summary Sheet"))))))))</f>
        <v xml:space="preserve"> </v>
      </c>
      <c r="Z15" s="110" t="str">
        <f>IF('1. SUMMARY'!$C$14=Sheet1!$A$17,Sheet1!H23,IF('1. SUMMARY'!$C$14=Sheet1!$A$25,H31,IF('1. SUMMARY'!$C$14=Sheet1!$A$52,H58,IF('1. SUMMARY'!$C$14=$A$66,H72,IF('1. SUMMARY'!$C$14=$A$84,H90,IF('1. SUMMARY'!$C$14=$A$102,H108,IF('1. SUMMARY'!$C$14=$A$116,H122,IF('1. SUMMARY'!$C$14=$A$132,H138,"Select Institution on Summary Sheet"))))))))</f>
        <v xml:space="preserve"> </v>
      </c>
      <c r="AA15" s="110" t="str">
        <f>IF('1. SUMMARY'!$C$14=Sheet1!$A$17,Sheet1!I23,IF('1. SUMMARY'!$C$14=Sheet1!$A$25,I31,IF('1. SUMMARY'!$C$14=Sheet1!$A$52,I58,IF('1. SUMMARY'!$C$14=$A$66,I72,IF('1. SUMMARY'!$C$14=$A$84,I90,IF('1. SUMMARY'!$C$14=$A$102,I108,IF('1. SUMMARY'!$C$14=$A$116,I122,IF('1. SUMMARY'!$C$14=$A$132,I138,"Select Institution on Summary Sheet"))))))))</f>
        <v xml:space="preserve"> </v>
      </c>
      <c r="AB15" s="110" t="str">
        <f>IF('1. SUMMARY'!$C$14=Sheet1!$A$17,Sheet1!J23,IF('1. SUMMARY'!$C$14=Sheet1!$A$25,J31,IF('1. SUMMARY'!$C$14=Sheet1!$A$52,J58,IF('1. SUMMARY'!$C$14=$A$66,J72,IF('1. SUMMARY'!$C$14=$A$84,J90,IF('1. SUMMARY'!$C$14=$A$102,J108,IF('1. SUMMARY'!$C$14=$A$116,J122,IF('1. SUMMARY'!$C$14=$A$132,J138,"Select Institution on Summary Sheet"))))))))</f>
        <v xml:space="preserve"> </v>
      </c>
      <c r="AC15" s="110" t="str">
        <f>IF('1. SUMMARY'!$C$14=Sheet1!$A$17,Sheet1!K23,IF('1. SUMMARY'!$C$14=Sheet1!$A$25,K31,IF('1. SUMMARY'!$C$14=Sheet1!$A$52,K58,IF('1. SUMMARY'!$C$14=$A$66,K72,IF('1. SUMMARY'!$C$14=$A$84,K90,IF('1. SUMMARY'!$C$14=$A$102,K108,IF('1. SUMMARY'!$C$14=$A$116,K122,IF('1. SUMMARY'!$C$14=$A$132,K138,"Select Institution on Summary Sheet"))))))))</f>
        <v xml:space="preserve"> </v>
      </c>
      <c r="AD15" s="110" t="str">
        <f>IF('1. SUMMARY'!$C$14=Sheet1!$A$17,Sheet1!L23,IF('1. SUMMARY'!$C$14=Sheet1!$A$25,L31,IF('1. SUMMARY'!$C$14=Sheet1!$A$52,L58,IF('1. SUMMARY'!$C$14=$A$66,L72,IF('1. SUMMARY'!$C$14=$A$84,L90,IF('1. SUMMARY'!$C$14=$A$102,L108,IF('1. SUMMARY'!$C$14=$A$116,L122,IF('1. SUMMARY'!$C$14=$A$132,L138,"Select Institution on Summary Sheet"))))))))</f>
        <v xml:space="preserve"> </v>
      </c>
      <c r="AE15" s="110" t="str">
        <f>IF('1. SUMMARY'!$C$14=Sheet1!$A$17,Sheet1!M23,IF('1. SUMMARY'!$C$14=Sheet1!$A$25,M31,IF('1. SUMMARY'!$C$14=Sheet1!$A$52,M58,IF('1. SUMMARY'!$C$14=$A$66,M72,IF('1. SUMMARY'!$C$14=$A$84,M90,IF('1. SUMMARY'!$C$14=$A$102,M108,IF('1. SUMMARY'!$C$14=$A$116,M122,IF('1. SUMMARY'!$C$14=$A$132,M138,"Select Institution on Summary Sheet"))))))))</f>
        <v xml:space="preserve"> </v>
      </c>
      <c r="AF15" s="110" t="str">
        <f>IF('1. SUMMARY'!$C$14=Sheet1!$A$17,Sheet1!N23,IF('1. SUMMARY'!$C$14=Sheet1!$A$25,N31,IF('1. SUMMARY'!$C$14=Sheet1!$A$52,N58,IF('1. SUMMARY'!$C$14=$A$66,N72,IF('1. SUMMARY'!$C$14=$A$84,N90,IF('1. SUMMARY'!$C$14=$A$102,N108,IF('1. SUMMARY'!$C$14=$A$116,N122,IF('1. SUMMARY'!$C$14=$A$132,N138,"Select Institution on Summary Sheet"))))))))</f>
        <v xml:space="preserve"> </v>
      </c>
      <c r="AG15" s="110" t="str">
        <f>IF('1. SUMMARY'!$C$14=Sheet1!$A$17,Sheet1!O23,IF('1. SUMMARY'!$C$14=Sheet1!$A$25,O31,IF('1. SUMMARY'!$C$14=Sheet1!$A$52,O58,IF('1. SUMMARY'!$C$14=$A$66,O72,IF('1. SUMMARY'!$C$14=$A$84,O90,IF('1. SUMMARY'!$C$14=$A$102,O108,IF('1. SUMMARY'!$C$14=$A$116,O122,IF('1. SUMMARY'!$C$14=$A$132,O138,"Select Institution on Summary Sheet"))))))))</f>
        <v xml:space="preserve"> </v>
      </c>
      <c r="AH15" s="110" t="str">
        <f>IF('1. SUMMARY'!$C$14=Sheet1!$A$17,Sheet1!P23,IF('1. SUMMARY'!$C$14=Sheet1!$A$25,P31,IF('1. SUMMARY'!$C$14=Sheet1!$A$52,P58,IF('1. SUMMARY'!$C$14=$A$66,P72,IF('1. SUMMARY'!$C$14=$A$84,P90,IF('1. SUMMARY'!$C$14=$A$102,P108,IF('1. SUMMARY'!$C$14=$A$116,P122,IF('1. SUMMARY'!$C$14=$A$132,P138,"Select Institution on Summary Sheet"))))))))</f>
        <v xml:space="preserve"> </v>
      </c>
      <c r="AI15" s="110" t="str">
        <f>IF('1. SUMMARY'!$C$14=Sheet1!$A$17,Sheet1!Q23,IF('1. SUMMARY'!$C$14=Sheet1!$A$25,Q31,IF('1. SUMMARY'!$C$14=Sheet1!$A$52,Q58,IF('1. SUMMARY'!$C$14=$A$66,Q72,IF('1. SUMMARY'!$C$14=$A$84,Q90,IF('1. SUMMARY'!$C$14=$A$102,Q108,IF('1. SUMMARY'!$C$14=$A$116,Q122,IF('1. SUMMARY'!$C$14=$A$132,Q138,"Select Institution on Summary Sheet"))))))))</f>
        <v xml:space="preserve"> </v>
      </c>
      <c r="AJ15" s="110" t="str">
        <f>IF('1. SUMMARY'!$C$14=Sheet1!$A$17,Sheet1!R23,IF('1. SUMMARY'!$C$14=Sheet1!$A$25,R31,IF('1. SUMMARY'!$C$14=Sheet1!$A$52,R58,IF('1. SUMMARY'!$C$14=$A$66,R72,IF('1. SUMMARY'!$C$14=$A$84,R90,IF('1. SUMMARY'!$C$14=$A$102,R108,IF('1. SUMMARY'!$C$14=$A$116,R122,IF('1. SUMMARY'!$C$14=$A$132,R138,"Select Institution on Summary Sheet"))))))))</f>
        <v xml:space="preserve"> </v>
      </c>
      <c r="AK15" s="109"/>
      <c r="AL15" s="109"/>
    </row>
    <row r="16" spans="1:38">
      <c r="B16" s="101">
        <v>44105</v>
      </c>
      <c r="C16" s="101">
        <v>44470</v>
      </c>
      <c r="D16" s="101">
        <v>44835</v>
      </c>
      <c r="E16" s="101">
        <v>45200</v>
      </c>
      <c r="F16" s="101">
        <v>45566</v>
      </c>
      <c r="G16" s="101">
        <v>45931</v>
      </c>
      <c r="H16" s="101">
        <v>46296</v>
      </c>
      <c r="I16" s="101">
        <v>46661</v>
      </c>
      <c r="J16" s="101">
        <v>47027</v>
      </c>
      <c r="K16" s="101">
        <v>47392</v>
      </c>
      <c r="L16" s="101">
        <v>47757</v>
      </c>
      <c r="M16" s="101">
        <v>48122</v>
      </c>
      <c r="N16" s="101">
        <v>48488</v>
      </c>
      <c r="O16" s="101">
        <v>48853</v>
      </c>
      <c r="P16" s="101">
        <v>49218</v>
      </c>
      <c r="Q16" s="101">
        <v>49583</v>
      </c>
      <c r="R16" s="101">
        <v>49949</v>
      </c>
    </row>
    <row r="17" spans="1:36">
      <c r="A17" s="500" t="s">
        <v>73</v>
      </c>
      <c r="B17" s="101">
        <v>44469</v>
      </c>
      <c r="C17" s="101">
        <v>44834</v>
      </c>
      <c r="D17" s="101">
        <v>45199</v>
      </c>
      <c r="E17" s="101">
        <v>45565</v>
      </c>
      <c r="F17" s="101">
        <v>45930</v>
      </c>
      <c r="G17" s="101">
        <v>46295</v>
      </c>
      <c r="H17" s="101">
        <v>46660</v>
      </c>
      <c r="I17" s="101">
        <v>47026</v>
      </c>
      <c r="J17" s="101">
        <v>47391</v>
      </c>
      <c r="K17" s="101">
        <v>47756</v>
      </c>
      <c r="L17" s="101">
        <v>48121</v>
      </c>
      <c r="M17" s="101">
        <v>48487</v>
      </c>
      <c r="N17" s="101">
        <v>48852</v>
      </c>
      <c r="O17" s="101">
        <v>49217</v>
      </c>
      <c r="P17" s="101">
        <v>49582</v>
      </c>
      <c r="Q17" s="101">
        <v>49948</v>
      </c>
      <c r="R17" s="101">
        <v>50313</v>
      </c>
    </row>
    <row r="18" spans="1:36">
      <c r="A18" s="94" t="s">
        <v>50</v>
      </c>
      <c r="B18" s="506">
        <v>0.32</v>
      </c>
      <c r="C18" s="512">
        <v>0.32</v>
      </c>
      <c r="D18" s="512">
        <v>0.32</v>
      </c>
      <c r="E18" s="512">
        <v>0.32</v>
      </c>
      <c r="F18" s="512">
        <v>0.32</v>
      </c>
      <c r="G18" s="512">
        <v>0.32</v>
      </c>
      <c r="H18" s="512">
        <v>0.32</v>
      </c>
      <c r="I18" s="512">
        <v>0.32</v>
      </c>
      <c r="J18" s="512">
        <v>0.32</v>
      </c>
      <c r="K18" s="512">
        <v>0.32</v>
      </c>
      <c r="L18" s="512">
        <v>0.32</v>
      </c>
      <c r="M18" s="512">
        <v>0.32</v>
      </c>
      <c r="N18" s="512">
        <v>0.32</v>
      </c>
      <c r="O18" s="512">
        <v>0.32</v>
      </c>
      <c r="P18" s="512">
        <v>0.32</v>
      </c>
      <c r="Q18" s="512">
        <v>0.32</v>
      </c>
      <c r="R18" s="512">
        <v>0.32</v>
      </c>
    </row>
    <row r="19" spans="1:36">
      <c r="A19" s="94" t="s">
        <v>100</v>
      </c>
      <c r="B19" s="506">
        <v>0.34</v>
      </c>
      <c r="C19" s="512">
        <v>0.35</v>
      </c>
      <c r="D19" s="512">
        <v>0.35</v>
      </c>
      <c r="E19" s="512">
        <v>0.35</v>
      </c>
      <c r="F19" s="512">
        <v>0.35</v>
      </c>
      <c r="G19" s="512">
        <v>0.35</v>
      </c>
      <c r="H19" s="512">
        <v>0.35</v>
      </c>
      <c r="I19" s="512">
        <v>0.35</v>
      </c>
      <c r="J19" s="512">
        <v>0.35</v>
      </c>
      <c r="K19" s="512">
        <v>0.35</v>
      </c>
      <c r="L19" s="512">
        <v>0.35</v>
      </c>
      <c r="M19" s="512">
        <v>0.35</v>
      </c>
      <c r="N19" s="512">
        <v>0.35</v>
      </c>
      <c r="O19" s="512">
        <v>0.35</v>
      </c>
      <c r="P19" s="512">
        <v>0.35</v>
      </c>
      <c r="Q19" s="512">
        <v>0.35</v>
      </c>
      <c r="R19" s="512">
        <v>0.35</v>
      </c>
    </row>
    <row r="20" spans="1:36">
      <c r="A20" s="94" t="s">
        <v>92</v>
      </c>
      <c r="B20" s="501">
        <v>0.12</v>
      </c>
      <c r="C20" s="502">
        <v>0.12</v>
      </c>
      <c r="D20" s="502">
        <v>0.12</v>
      </c>
      <c r="E20" s="502">
        <v>0.12</v>
      </c>
      <c r="F20" s="502">
        <v>0.12</v>
      </c>
      <c r="G20" s="502">
        <v>0.12</v>
      </c>
      <c r="H20" s="502">
        <v>0.12</v>
      </c>
      <c r="I20" s="502">
        <v>0.12</v>
      </c>
      <c r="J20" s="502">
        <v>0.12</v>
      </c>
      <c r="K20" s="502">
        <v>0.12</v>
      </c>
      <c r="L20" s="502">
        <v>0.12</v>
      </c>
      <c r="M20" s="502">
        <v>0.12</v>
      </c>
      <c r="N20" s="502">
        <v>0.12</v>
      </c>
      <c r="O20" s="502">
        <v>0.12</v>
      </c>
      <c r="P20" s="502">
        <v>0.12</v>
      </c>
      <c r="Q20" s="502">
        <v>0.12</v>
      </c>
      <c r="R20" s="502">
        <v>0.12</v>
      </c>
    </row>
    <row r="21" spans="1:36">
      <c r="A21" s="94" t="s">
        <v>25</v>
      </c>
      <c r="B21" s="537" t="s">
        <v>25</v>
      </c>
      <c r="C21" s="537" t="s">
        <v>25</v>
      </c>
      <c r="D21" s="537" t="s">
        <v>25</v>
      </c>
      <c r="E21" s="537" t="s">
        <v>25</v>
      </c>
      <c r="F21" s="537" t="s">
        <v>25</v>
      </c>
      <c r="G21" s="537" t="s">
        <v>25</v>
      </c>
      <c r="H21" s="537" t="s">
        <v>25</v>
      </c>
      <c r="I21" s="537" t="s">
        <v>25</v>
      </c>
      <c r="J21" s="537" t="s">
        <v>25</v>
      </c>
      <c r="K21" s="537" t="s">
        <v>25</v>
      </c>
      <c r="L21" s="537" t="s">
        <v>25</v>
      </c>
      <c r="M21" s="537" t="s">
        <v>25</v>
      </c>
      <c r="N21" s="537" t="s">
        <v>25</v>
      </c>
      <c r="O21" s="537" t="s">
        <v>25</v>
      </c>
      <c r="P21" s="537" t="s">
        <v>25</v>
      </c>
      <c r="Q21" s="537" t="s">
        <v>25</v>
      </c>
      <c r="R21" s="537" t="s">
        <v>25</v>
      </c>
      <c r="S21" s="94">
        <v>1</v>
      </c>
      <c r="T21" s="94">
        <v>2</v>
      </c>
      <c r="U21" s="94">
        <v>3</v>
      </c>
      <c r="V21" s="94">
        <v>4</v>
      </c>
      <c r="W21" s="94">
        <v>5</v>
      </c>
      <c r="X21" s="94">
        <v>6</v>
      </c>
      <c r="Y21" s="94">
        <v>7</v>
      </c>
      <c r="Z21" s="94">
        <v>8</v>
      </c>
      <c r="AA21" s="94">
        <v>9</v>
      </c>
      <c r="AB21" s="94">
        <v>10</v>
      </c>
      <c r="AC21" s="94">
        <v>11</v>
      </c>
      <c r="AD21" s="94">
        <v>12</v>
      </c>
      <c r="AE21" s="94">
        <v>13</v>
      </c>
      <c r="AF21" s="94">
        <v>14</v>
      </c>
      <c r="AG21" s="94">
        <v>15</v>
      </c>
      <c r="AH21" s="94">
        <v>16</v>
      </c>
      <c r="AI21" s="94">
        <v>17</v>
      </c>
      <c r="AJ21" s="94">
        <v>18</v>
      </c>
    </row>
    <row r="22" spans="1:36">
      <c r="A22" s="94" t="s">
        <v>25</v>
      </c>
      <c r="B22" s="538" t="s">
        <v>25</v>
      </c>
      <c r="C22" s="538" t="s">
        <v>25</v>
      </c>
      <c r="D22" s="538" t="s">
        <v>25</v>
      </c>
      <c r="E22" s="538" t="s">
        <v>25</v>
      </c>
      <c r="F22" s="538" t="s">
        <v>25</v>
      </c>
      <c r="G22" s="538" t="s">
        <v>25</v>
      </c>
      <c r="H22" s="538" t="s">
        <v>25</v>
      </c>
      <c r="I22" s="538" t="s">
        <v>25</v>
      </c>
      <c r="J22" s="538" t="s">
        <v>25</v>
      </c>
      <c r="K22" s="538" t="s">
        <v>25</v>
      </c>
      <c r="L22" s="538" t="s">
        <v>25</v>
      </c>
      <c r="M22" s="538" t="s">
        <v>25</v>
      </c>
      <c r="N22" s="538" t="s">
        <v>25</v>
      </c>
      <c r="O22" s="538" t="s">
        <v>25</v>
      </c>
      <c r="P22" s="538" t="s">
        <v>25</v>
      </c>
      <c r="Q22" s="538" t="s">
        <v>25</v>
      </c>
      <c r="R22" s="538" t="s">
        <v>25</v>
      </c>
      <c r="T22" s="510">
        <f>IF('1. SUMMARY'!$C$14=Sheet1!$A$35,Sheet1!B34,IF('1. SUMMARY'!$C$14=Sheet1!$A$40,B39,IF('1. SUMMARY'!$C$14=Sheet1!$A$60,B59,IF('1. SUMMARY'!$C$14=$A$76,B75,IF('1. SUMMARY'!$C$14=$A$84,B83,IF('1. SUMMARY'!$C$14=$A$111,B110,IF('1. SUMMARY'!$C$14=$A$124,B123,IF('1. SUMMARY'!$C$14=$A$132,B131,""))))))))</f>
        <v>44105</v>
      </c>
      <c r="U22" s="510">
        <f>IF('1. SUMMARY'!$C$14=Sheet1!$A$35,Sheet1!C34,IF('1. SUMMARY'!$C$14=Sheet1!$A$40,C39,IF('1. SUMMARY'!$C$14=Sheet1!$A$60,C59,IF('1. SUMMARY'!$C$14=$A$76,C75,IF('1. SUMMARY'!$C$14=$A$84,C83,IF('1. SUMMARY'!$C$14=$A$111,C110,IF('1. SUMMARY'!$C$14=$A$124,C123,IF('1. SUMMARY'!$C$14=$A$132,C131,""))))))))</f>
        <v>44470</v>
      </c>
      <c r="V22" s="510">
        <f>IF('1. SUMMARY'!$C$14=Sheet1!$A$35,Sheet1!D34,IF('1. SUMMARY'!$C$14=Sheet1!$A$40,D39,IF('1. SUMMARY'!$C$14=Sheet1!$A$60,D59,IF('1. SUMMARY'!$C$14=$A$76,D75,IF('1. SUMMARY'!$C$14=$A$84,D83,IF('1. SUMMARY'!$C$14=$A$111,D110,IF('1. SUMMARY'!$C$14=$A$124,D123,IF('1. SUMMARY'!$C$14=$A$132,D131,""))))))))</f>
        <v>44835</v>
      </c>
      <c r="W22" s="510">
        <f>IF('1. SUMMARY'!$C$14=Sheet1!$A$35,Sheet1!E34,IF('1. SUMMARY'!$C$14=Sheet1!$A$40,E39,IF('1. SUMMARY'!$C$14=Sheet1!$A$60,E59,IF('1. SUMMARY'!$C$14=$A$76,E75,IF('1. SUMMARY'!$C$14=$A$84,E83,IF('1. SUMMARY'!$C$14=$A$111,E110,IF('1. SUMMARY'!$C$14=$A$124,E123,IF('1. SUMMARY'!$C$14=$A$132,E131,""))))))))</f>
        <v>45200</v>
      </c>
      <c r="X22" s="510">
        <f>IF('1. SUMMARY'!$C$14=Sheet1!$A$35,Sheet1!F34,IF('1. SUMMARY'!$C$14=Sheet1!$A$40,F39,IF('1. SUMMARY'!$C$14=Sheet1!$A$60,F59,IF('1. SUMMARY'!$C$14=$A$76,F75,IF('1. SUMMARY'!$C$14=$A$84,F83,IF('1. SUMMARY'!$C$14=$A$111,F110,IF('1. SUMMARY'!$C$14=$A$124,F123,IF('1. SUMMARY'!$C$14=$A$132,F131,""))))))))</f>
        <v>45566</v>
      </c>
      <c r="Y22" s="510">
        <f>IF('1. SUMMARY'!$C$14=Sheet1!$A$35,Sheet1!G34,IF('1. SUMMARY'!$C$14=Sheet1!$A$40,G39,IF('1. SUMMARY'!$C$14=Sheet1!$A$60,G59,IF('1. SUMMARY'!$C$14=$A$76,G75,IF('1. SUMMARY'!$C$14=$A$84,G83,IF('1. SUMMARY'!$C$14=$A$111,G110,IF('1. SUMMARY'!$C$14=$A$124,G123,IF('1. SUMMARY'!$C$14=$A$132,G131,""))))))))</f>
        <v>45931</v>
      </c>
      <c r="Z22" s="510">
        <f>IF('1. SUMMARY'!$C$14=Sheet1!$A$35,Sheet1!H34,IF('1. SUMMARY'!$C$14=Sheet1!$A$40,H39,IF('1. SUMMARY'!$C$14=Sheet1!$A$60,H59,IF('1. SUMMARY'!$C$14=$A$76,H75,IF('1. SUMMARY'!$C$14=$A$84,H83,IF('1. SUMMARY'!$C$14=$A$111,H110,IF('1. SUMMARY'!$C$14=$A$124,H123,IF('1. SUMMARY'!$C$14=$A$132,H131,""))))))))</f>
        <v>46296</v>
      </c>
      <c r="AA22" s="510">
        <f>IF('1. SUMMARY'!$C$14=Sheet1!$A$35,Sheet1!I34,IF('1. SUMMARY'!$C$14=Sheet1!$A$40,I39,IF('1. SUMMARY'!$C$14=Sheet1!$A$60,I59,IF('1. SUMMARY'!$C$14=$A$76,I75,IF('1. SUMMARY'!$C$14=$A$84,I83,IF('1. SUMMARY'!$C$14=$A$111,I110,IF('1. SUMMARY'!$C$14=$A$124,I123,IF('1. SUMMARY'!$C$14=$A$132,I131,""))))))))</f>
        <v>46661</v>
      </c>
      <c r="AB22" s="510">
        <f>IF('1. SUMMARY'!$C$14=Sheet1!$A$35,Sheet1!J34,IF('1. SUMMARY'!$C$14=Sheet1!$A$40,J39,IF('1. SUMMARY'!$C$14=Sheet1!$A$60,J59,IF('1. SUMMARY'!$C$14=$A$76,J75,IF('1. SUMMARY'!$C$14=$A$84,J83,IF('1. SUMMARY'!$C$14=$A$111,J110,IF('1. SUMMARY'!$C$14=$A$124,J123,IF('1. SUMMARY'!$C$14=$A$132,J131,""))))))))</f>
        <v>47027</v>
      </c>
      <c r="AC22" s="510">
        <f>IF('1. SUMMARY'!$C$14=Sheet1!$A$35,Sheet1!K34,IF('1. SUMMARY'!$C$14=Sheet1!$A$40,K39,IF('1. SUMMARY'!$C$14=Sheet1!$A$60,K59,IF('1. SUMMARY'!$C$14=$A$76,K75,IF('1. SUMMARY'!$C$14=$A$84,K83,IF('1. SUMMARY'!$C$14=$A$111,K110,IF('1. SUMMARY'!$C$14=$A$124,K123,IF('1. SUMMARY'!$C$14=$A$132,K131,""))))))))</f>
        <v>47392</v>
      </c>
      <c r="AD22" s="510">
        <f>IF('1. SUMMARY'!$C$14=Sheet1!$A$35,Sheet1!L34,IF('1. SUMMARY'!$C$14=Sheet1!$A$40,L39,IF('1. SUMMARY'!$C$14=Sheet1!$A$60,L59,IF('1. SUMMARY'!$C$14=$A$76,L75,IF('1. SUMMARY'!$C$14=$A$84,L83,IF('1. SUMMARY'!$C$14=$A$111,L110,IF('1. SUMMARY'!$C$14=$A$124,L123,IF('1. SUMMARY'!$C$14=$A$132,L131,""))))))))</f>
        <v>47757</v>
      </c>
      <c r="AE22" s="510">
        <f>IF('1. SUMMARY'!$C$14=Sheet1!$A$35,Sheet1!M34,IF('1. SUMMARY'!$C$14=Sheet1!$A$40,M39,IF('1. SUMMARY'!$C$14=Sheet1!$A$60,M59,IF('1. SUMMARY'!$C$14=$A$76,M75,IF('1. SUMMARY'!$C$14=$A$84,M83,IF('1. SUMMARY'!$C$14=$A$111,M110,IF('1. SUMMARY'!$C$14=$A$124,M123,IF('1. SUMMARY'!$C$14=$A$132,M131,""))))))))</f>
        <v>48122</v>
      </c>
      <c r="AF22" s="510">
        <f>IF('1. SUMMARY'!$C$14=Sheet1!$A$35,Sheet1!N34,IF('1. SUMMARY'!$C$14=Sheet1!$A$40,N39,IF('1. SUMMARY'!$C$14=Sheet1!$A$60,N59,IF('1. SUMMARY'!$C$14=$A$76,N75,IF('1. SUMMARY'!$C$14=$A$84,N83,IF('1. SUMMARY'!$C$14=$A$111,N110,IF('1. SUMMARY'!$C$14=$A$124,N123,IF('1. SUMMARY'!$C$14=$A$132,N131,""))))))))</f>
        <v>48488</v>
      </c>
      <c r="AG22" s="510">
        <f>IF('1. SUMMARY'!$C$14=Sheet1!$A$35,Sheet1!O34,IF('1. SUMMARY'!$C$14=Sheet1!$A$40,O39,IF('1. SUMMARY'!$C$14=Sheet1!$A$60,O59,IF('1. SUMMARY'!$C$14=$A$76,O75,IF('1. SUMMARY'!$C$14=$A$84,O83,IF('1. SUMMARY'!$C$14=$A$111,O110,IF('1. SUMMARY'!$C$14=$A$124,O123,IF('1. SUMMARY'!$C$14=$A$132,O131,""))))))))</f>
        <v>48853</v>
      </c>
      <c r="AH22" s="510">
        <f>IF('1. SUMMARY'!$C$14=Sheet1!$A$35,Sheet1!P34,IF('1. SUMMARY'!$C$14=Sheet1!$A$40,P39,IF('1. SUMMARY'!$C$14=Sheet1!$A$60,P59,IF('1. SUMMARY'!$C$14=$A$76,P75,IF('1. SUMMARY'!$C$14=$A$84,P83,IF('1. SUMMARY'!$C$14=$A$111,P110,IF('1. SUMMARY'!$C$14=$A$124,P123,IF('1. SUMMARY'!$C$14=$A$132,P131,""))))))))</f>
        <v>49218</v>
      </c>
      <c r="AI22" s="510">
        <f>IF('1. SUMMARY'!$C$14=Sheet1!$A$35,Sheet1!Q34,IF('1. SUMMARY'!$C$14=Sheet1!$A$40,Q39,IF('1. SUMMARY'!$C$14=Sheet1!$A$60,Q59,IF('1. SUMMARY'!$C$14=$A$76,Q75,IF('1. SUMMARY'!$C$14=$A$84,Q83,IF('1. SUMMARY'!$C$14=$A$111,Q110,IF('1. SUMMARY'!$C$14=$A$124,Q123,IF('1. SUMMARY'!$C$14=$A$132,Q131,""))))))))</f>
        <v>49583</v>
      </c>
      <c r="AJ22" s="510">
        <f>IF('1. SUMMARY'!$C$14=Sheet1!$A$35,Sheet1!R34,IF('1. SUMMARY'!$C$14=Sheet1!$A$40,R39,IF('1. SUMMARY'!$C$14=Sheet1!$A$60,R59,IF('1. SUMMARY'!$C$14=$A$76,R75,IF('1. SUMMARY'!$C$14=$A$84,R83,IF('1. SUMMARY'!$C$14=$A$111,R110,IF('1. SUMMARY'!$C$14=$A$124,R123,IF('1. SUMMARY'!$C$14=$A$132,R131,""))))))))</f>
        <v>49949</v>
      </c>
    </row>
    <row r="23" spans="1:36">
      <c r="A23" s="94" t="s">
        <v>25</v>
      </c>
      <c r="B23" s="94" t="s">
        <v>25</v>
      </c>
      <c r="C23" s="94" t="s">
        <v>25</v>
      </c>
      <c r="D23" s="94" t="s">
        <v>25</v>
      </c>
      <c r="E23" s="94" t="s">
        <v>25</v>
      </c>
      <c r="F23" s="94" t="s">
        <v>25</v>
      </c>
      <c r="G23" s="94" t="s">
        <v>25</v>
      </c>
      <c r="H23" s="94" t="s">
        <v>25</v>
      </c>
      <c r="I23" s="94" t="s">
        <v>25</v>
      </c>
      <c r="J23" s="94" t="s">
        <v>25</v>
      </c>
      <c r="K23" s="94" t="s">
        <v>25</v>
      </c>
      <c r="L23" s="94" t="s">
        <v>25</v>
      </c>
      <c r="M23" s="94" t="s">
        <v>25</v>
      </c>
      <c r="N23" s="94" t="s">
        <v>25</v>
      </c>
      <c r="O23" s="94" t="s">
        <v>25</v>
      </c>
      <c r="P23" s="94" t="s">
        <v>25</v>
      </c>
      <c r="Q23" s="94" t="s">
        <v>25</v>
      </c>
      <c r="R23" s="94" t="s">
        <v>25</v>
      </c>
      <c r="T23" s="510">
        <f>IF('1. SUMMARY'!$C$14=Sheet1!$A$35,Sheet1!B35,IF('1. SUMMARY'!$C$14=Sheet1!$A$40,B40,IF('1. SUMMARY'!$C$14=Sheet1!$A$60,B60,IF('1. SUMMARY'!$C$14=$A$76,B76,IF('1. SUMMARY'!$C$14=$A$84,B84,IF('1. SUMMARY'!$C$14=$A$111,B111,IF('1. SUMMARY'!$C$14=$A$124,B124,IF('1. SUMMARY'!$C$14=$A$132,B132,""))))))))</f>
        <v>44469</v>
      </c>
      <c r="U23" s="510">
        <f>IF('1. SUMMARY'!$C$14=Sheet1!$A$35,Sheet1!C35,IF('1. SUMMARY'!$C$14=Sheet1!$A$40,C40,IF('1. SUMMARY'!$C$14=Sheet1!$A$60,C60,IF('1. SUMMARY'!$C$14=$A$76,C76,IF('1. SUMMARY'!$C$14=$A$84,C84,IF('1. SUMMARY'!$C$14=$A$111,C111,IF('1. SUMMARY'!$C$14=$A$124,C124,IF('1. SUMMARY'!$C$14=$A$132,C132,""))))))))</f>
        <v>44834</v>
      </c>
      <c r="V23" s="510">
        <f>IF('1. SUMMARY'!$C$14=Sheet1!$A$35,Sheet1!D35,IF('1. SUMMARY'!$C$14=Sheet1!$A$40,D40,IF('1. SUMMARY'!$C$14=Sheet1!$A$60,D60,IF('1. SUMMARY'!$C$14=$A$76,D76,IF('1. SUMMARY'!$C$14=$A$84,D84,IF('1. SUMMARY'!$C$14=$A$111,D111,IF('1. SUMMARY'!$C$14=$A$124,D124,IF('1. SUMMARY'!$C$14=$A$132,D132,""))))))))</f>
        <v>45199</v>
      </c>
      <c r="W23" s="510">
        <f>IF('1. SUMMARY'!$C$14=Sheet1!$A$35,Sheet1!E35,IF('1. SUMMARY'!$C$14=Sheet1!$A$40,E40,IF('1. SUMMARY'!$C$14=Sheet1!$A$60,E60,IF('1. SUMMARY'!$C$14=$A$76,E76,IF('1. SUMMARY'!$C$14=$A$84,E84,IF('1. SUMMARY'!$C$14=$A$111,E111,IF('1. SUMMARY'!$C$14=$A$124,E124,IF('1. SUMMARY'!$C$14=$A$132,E132,""))))))))</f>
        <v>45565</v>
      </c>
      <c r="X23" s="510">
        <f>IF('1. SUMMARY'!$C$14=Sheet1!$A$35,Sheet1!F35,IF('1. SUMMARY'!$C$14=Sheet1!$A$40,F40,IF('1. SUMMARY'!$C$14=Sheet1!$A$60,F60,IF('1. SUMMARY'!$C$14=$A$76,F76,IF('1. SUMMARY'!$C$14=$A$84,F84,IF('1. SUMMARY'!$C$14=$A$111,F111,IF('1. SUMMARY'!$C$14=$A$124,F124,IF('1. SUMMARY'!$C$14=$A$132,F132,""))))))))</f>
        <v>45930</v>
      </c>
      <c r="Y23" s="510">
        <f>IF('1. SUMMARY'!$C$14=Sheet1!$A$35,Sheet1!G35,IF('1. SUMMARY'!$C$14=Sheet1!$A$40,G40,IF('1. SUMMARY'!$C$14=Sheet1!$A$60,G60,IF('1. SUMMARY'!$C$14=$A$76,G76,IF('1. SUMMARY'!$C$14=$A$84,G84,IF('1. SUMMARY'!$C$14=$A$111,G111,IF('1. SUMMARY'!$C$14=$A$124,G124,IF('1. SUMMARY'!$C$14=$A$132,G132,""))))))))</f>
        <v>46295</v>
      </c>
      <c r="Z23" s="510">
        <f>IF('1. SUMMARY'!$C$14=Sheet1!$A$35,Sheet1!H35,IF('1. SUMMARY'!$C$14=Sheet1!$A$40,H40,IF('1. SUMMARY'!$C$14=Sheet1!$A$60,H60,IF('1. SUMMARY'!$C$14=$A$76,H76,IF('1. SUMMARY'!$C$14=$A$84,H84,IF('1. SUMMARY'!$C$14=$A$111,H111,IF('1. SUMMARY'!$C$14=$A$124,H124,IF('1. SUMMARY'!$C$14=$A$132,H132,""))))))))</f>
        <v>46660</v>
      </c>
      <c r="AA23" s="510">
        <f>IF('1. SUMMARY'!$C$14=Sheet1!$A$35,Sheet1!I35,IF('1. SUMMARY'!$C$14=Sheet1!$A$40,I40,IF('1. SUMMARY'!$C$14=Sheet1!$A$60,I60,IF('1. SUMMARY'!$C$14=$A$76,I76,IF('1. SUMMARY'!$C$14=$A$84,I84,IF('1. SUMMARY'!$C$14=$A$111,I111,IF('1. SUMMARY'!$C$14=$A$124,I124,IF('1. SUMMARY'!$C$14=$A$132,I132,""))))))))</f>
        <v>47026</v>
      </c>
      <c r="AB23" s="510">
        <f>IF('1. SUMMARY'!$C$14=Sheet1!$A$35,Sheet1!J35,IF('1. SUMMARY'!$C$14=Sheet1!$A$40,J40,IF('1. SUMMARY'!$C$14=Sheet1!$A$60,J60,IF('1. SUMMARY'!$C$14=$A$76,J76,IF('1. SUMMARY'!$C$14=$A$84,J84,IF('1. SUMMARY'!$C$14=$A$111,J111,IF('1. SUMMARY'!$C$14=$A$124,J124,IF('1. SUMMARY'!$C$14=$A$132,J132,""))))))))</f>
        <v>47391</v>
      </c>
      <c r="AC23" s="510">
        <f>IF('1. SUMMARY'!$C$14=Sheet1!$A$35,Sheet1!K35,IF('1. SUMMARY'!$C$14=Sheet1!$A$40,K40,IF('1. SUMMARY'!$C$14=Sheet1!$A$60,K60,IF('1. SUMMARY'!$C$14=$A$76,K76,IF('1. SUMMARY'!$C$14=$A$84,K84,IF('1. SUMMARY'!$C$14=$A$111,K111,IF('1. SUMMARY'!$C$14=$A$124,K124,IF('1. SUMMARY'!$C$14=$A$132,K132,""))))))))</f>
        <v>47756</v>
      </c>
      <c r="AD23" s="510">
        <f>IF('1. SUMMARY'!$C$14=Sheet1!$A$35,Sheet1!L35,IF('1. SUMMARY'!$C$14=Sheet1!$A$40,L40,IF('1. SUMMARY'!$C$14=Sheet1!$A$60,L60,IF('1. SUMMARY'!$C$14=$A$76,L76,IF('1. SUMMARY'!$C$14=$A$84,L84,IF('1. SUMMARY'!$C$14=$A$111,L111,IF('1. SUMMARY'!$C$14=$A$124,L124,IF('1. SUMMARY'!$C$14=$A$132,L132,""))))))))</f>
        <v>48121</v>
      </c>
      <c r="AE23" s="510">
        <f>IF('1. SUMMARY'!$C$14=Sheet1!$A$35,Sheet1!M35,IF('1. SUMMARY'!$C$14=Sheet1!$A$40,M40,IF('1. SUMMARY'!$C$14=Sheet1!$A$60,M60,IF('1. SUMMARY'!$C$14=$A$76,M76,IF('1. SUMMARY'!$C$14=$A$84,M84,IF('1. SUMMARY'!$C$14=$A$111,M111,IF('1. SUMMARY'!$C$14=$A$124,M124,IF('1. SUMMARY'!$C$14=$A$132,M132,""))))))))</f>
        <v>48487</v>
      </c>
      <c r="AF23" s="510">
        <f>IF('1. SUMMARY'!$C$14=Sheet1!$A$35,Sheet1!N35,IF('1. SUMMARY'!$C$14=Sheet1!$A$40,N40,IF('1. SUMMARY'!$C$14=Sheet1!$A$60,N60,IF('1. SUMMARY'!$C$14=$A$76,N76,IF('1. SUMMARY'!$C$14=$A$84,N84,IF('1. SUMMARY'!$C$14=$A$111,N111,IF('1. SUMMARY'!$C$14=$A$124,N124,IF('1. SUMMARY'!$C$14=$A$132,N132,""))))))))</f>
        <v>48852</v>
      </c>
      <c r="AG23" s="510">
        <f>IF('1. SUMMARY'!$C$14=Sheet1!$A$35,Sheet1!O35,IF('1. SUMMARY'!$C$14=Sheet1!$A$40,O40,IF('1. SUMMARY'!$C$14=Sheet1!$A$60,O60,IF('1. SUMMARY'!$C$14=$A$76,O76,IF('1. SUMMARY'!$C$14=$A$84,O84,IF('1. SUMMARY'!$C$14=$A$111,O111,IF('1. SUMMARY'!$C$14=$A$124,O124,IF('1. SUMMARY'!$C$14=$A$132,O132,""))))))))</f>
        <v>49217</v>
      </c>
      <c r="AH23" s="510">
        <f>IF('1. SUMMARY'!$C$14=Sheet1!$A$35,Sheet1!P35,IF('1. SUMMARY'!$C$14=Sheet1!$A$40,P40,IF('1. SUMMARY'!$C$14=Sheet1!$A$60,P60,IF('1. SUMMARY'!$C$14=$A$76,P76,IF('1. SUMMARY'!$C$14=$A$84,P84,IF('1. SUMMARY'!$C$14=$A$111,P111,IF('1. SUMMARY'!$C$14=$A$124,P124,IF('1. SUMMARY'!$C$14=$A$132,P132,""))))))))</f>
        <v>49582</v>
      </c>
      <c r="AI23" s="510">
        <f>IF('1. SUMMARY'!$C$14=Sheet1!$A$35,Sheet1!Q35,IF('1. SUMMARY'!$C$14=Sheet1!$A$40,Q40,IF('1. SUMMARY'!$C$14=Sheet1!$A$60,Q60,IF('1. SUMMARY'!$C$14=$A$76,Q76,IF('1. SUMMARY'!$C$14=$A$84,Q84,IF('1. SUMMARY'!$C$14=$A$111,Q111,IF('1. SUMMARY'!$C$14=$A$124,Q124,IF('1. SUMMARY'!$C$14=$A$132,Q132,""))))))))</f>
        <v>49948</v>
      </c>
      <c r="AJ23" s="510">
        <f>IF('1. SUMMARY'!$C$14=Sheet1!$A$35,Sheet1!R35,IF('1. SUMMARY'!$C$14=Sheet1!$A$40,R40,IF('1. SUMMARY'!$C$14=Sheet1!$A$60,R60,IF('1. SUMMARY'!$C$14=$A$76,R76,IF('1. SUMMARY'!$C$14=$A$84,R84,IF('1. SUMMARY'!$C$14=$A$111,R111,IF('1. SUMMARY'!$C$14=$A$124,R124,IF('1. SUMMARY'!$C$14=$A$132,R132,""))))))))</f>
        <v>50313</v>
      </c>
    </row>
    <row r="24" spans="1:36">
      <c r="B24" s="101">
        <v>44105</v>
      </c>
      <c r="C24" s="101">
        <v>44470</v>
      </c>
      <c r="D24" s="101">
        <v>44835</v>
      </c>
      <c r="E24" s="101">
        <v>45200</v>
      </c>
      <c r="F24" s="101">
        <v>45566</v>
      </c>
      <c r="G24" s="101">
        <v>45931</v>
      </c>
      <c r="H24" s="101">
        <v>46296</v>
      </c>
      <c r="I24" s="101">
        <v>46661</v>
      </c>
      <c r="J24" s="101">
        <v>47027</v>
      </c>
      <c r="K24" s="101">
        <v>47392</v>
      </c>
      <c r="L24" s="101">
        <v>47757</v>
      </c>
      <c r="M24" s="101">
        <v>48122</v>
      </c>
      <c r="N24" s="101">
        <v>48488</v>
      </c>
      <c r="O24" s="101">
        <v>48853</v>
      </c>
      <c r="P24" s="101">
        <v>49218</v>
      </c>
      <c r="Q24" s="101">
        <v>49583</v>
      </c>
      <c r="R24" s="101">
        <v>49949</v>
      </c>
      <c r="S24" s="94" t="s">
        <v>80</v>
      </c>
      <c r="T24" s="507">
        <f>IF('1. SUMMARY'!$C$14=Sheet1!$A$35,Sheet1!B36,IF('1. SUMMARY'!$C$14=Sheet1!$A$40,B41,IF('1. SUMMARY'!$C$14=Sheet1!$A$60,B61,IF('1. SUMMARY'!$C$14=$A$76,B77,IF('1. SUMMARY'!$C$14=$A$84,B93,IF('1. SUMMARY'!$C$14=$A$111,B112,IF('1. SUMMARY'!$C$14=$A$124,B125,IF('1. SUMMARY'!$C$14=$A$141,B142,""))))))))</f>
        <v>0.68</v>
      </c>
      <c r="U24" s="507">
        <f>IF('1. SUMMARY'!$C$14=Sheet1!$A$35,Sheet1!C36,IF('1. SUMMARY'!$C$14=Sheet1!$A$40,C41,IF('1. SUMMARY'!$C$14=Sheet1!$A$60,C61,IF('1. SUMMARY'!$C$14=$A$76,C77,IF('1. SUMMARY'!$C$14=$A$84,C93,IF('1. SUMMARY'!$C$14=$A$111,C112,IF('1. SUMMARY'!$C$14=$A$124,C125,IF('1. SUMMARY'!$C$14=$A$141,C142,""))))))))</f>
        <v>0.68</v>
      </c>
      <c r="V24" s="507">
        <f>IF('1. SUMMARY'!$C$14=Sheet1!$A$35,Sheet1!D36,IF('1. SUMMARY'!$C$14=Sheet1!$A$40,D41,IF('1. SUMMARY'!$C$14=Sheet1!$A$60,D61,IF('1. SUMMARY'!$C$14=$A$76,D77,IF('1. SUMMARY'!$C$14=$A$84,D93,IF('1. SUMMARY'!$C$14=$A$111,D112,IF('1. SUMMARY'!$C$14=$A$124,D125,IF('1. SUMMARY'!$C$14=$A$141,D142,""))))))))</f>
        <v>0.68</v>
      </c>
      <c r="W24" s="507">
        <f>IF('1. SUMMARY'!$C$14=Sheet1!$A$35,Sheet1!E36,IF('1. SUMMARY'!$C$14=Sheet1!$A$40,E41,IF('1. SUMMARY'!$C$14=Sheet1!$A$60,E61,IF('1. SUMMARY'!$C$14=$A$76,E77,IF('1. SUMMARY'!$C$14=$A$84,E93,IF('1. SUMMARY'!$C$14=$A$111,E112,IF('1. SUMMARY'!$C$14=$A$124,E125,IF('1. SUMMARY'!$C$14=$A$141,E142,""))))))))</f>
        <v>0.68</v>
      </c>
      <c r="X24" s="507">
        <f>IF('1. SUMMARY'!$C$14=Sheet1!$A$35,Sheet1!F36,IF('1. SUMMARY'!$C$14=Sheet1!$A$40,F41,IF('1. SUMMARY'!$C$14=Sheet1!$A$60,F61,IF('1. SUMMARY'!$C$14=$A$76,F77,IF('1. SUMMARY'!$C$14=$A$84,F93,IF('1. SUMMARY'!$C$14=$A$111,F112,IF('1. SUMMARY'!$C$14=$A$124,F125,IF('1. SUMMARY'!$C$14=$A$141,F142,""))))))))</f>
        <v>0.68</v>
      </c>
      <c r="Y24" s="507">
        <f>IF('1. SUMMARY'!$C$14=Sheet1!$A$35,Sheet1!G36,IF('1. SUMMARY'!$C$14=Sheet1!$A$40,G41,IF('1. SUMMARY'!$C$14=Sheet1!$A$60,G61,IF('1. SUMMARY'!$C$14=$A$76,G77,IF('1. SUMMARY'!$C$14=$A$84,G93,IF('1. SUMMARY'!$C$14=$A$111,G112,IF('1. SUMMARY'!$C$14=$A$124,G125,IF('1. SUMMARY'!$C$14=$A$141,G142,""))))))))</f>
        <v>0.68</v>
      </c>
      <c r="Z24" s="507">
        <f>IF('1. SUMMARY'!$C$14=Sheet1!$A$35,Sheet1!H36,IF('1. SUMMARY'!$C$14=Sheet1!$A$40,H41,IF('1. SUMMARY'!$C$14=Sheet1!$A$60,H61,IF('1. SUMMARY'!$C$14=$A$76,H77,IF('1. SUMMARY'!$C$14=$A$84,H93,IF('1. SUMMARY'!$C$14=$A$111,H112,IF('1. SUMMARY'!$C$14=$A$124,H125,IF('1. SUMMARY'!$C$14=$A$141,H142,""))))))))</f>
        <v>0.68</v>
      </c>
      <c r="AA24" s="507">
        <f>IF('1. SUMMARY'!$C$14=Sheet1!$A$35,Sheet1!I36,IF('1. SUMMARY'!$C$14=Sheet1!$A$40,I41,IF('1. SUMMARY'!$C$14=Sheet1!$A$60,I61,IF('1. SUMMARY'!$C$14=$A$76,I77,IF('1. SUMMARY'!$C$14=$A$84,I93,IF('1. SUMMARY'!$C$14=$A$111,I112,IF('1. SUMMARY'!$C$14=$A$124,I125,IF('1. SUMMARY'!$C$14=$A$141,I142,""))))))))</f>
        <v>0.68</v>
      </c>
      <c r="AB24" s="507">
        <f>IF('1. SUMMARY'!$C$14=Sheet1!$A$35,Sheet1!J36,IF('1. SUMMARY'!$C$14=Sheet1!$A$40,J41,IF('1. SUMMARY'!$C$14=Sheet1!$A$60,J61,IF('1. SUMMARY'!$C$14=$A$76,J77,IF('1. SUMMARY'!$C$14=$A$84,J93,IF('1. SUMMARY'!$C$14=$A$111,J112,IF('1. SUMMARY'!$C$14=$A$124,J125,IF('1. SUMMARY'!$C$14=$A$141,J142,""))))))))</f>
        <v>0.68</v>
      </c>
      <c r="AC24" s="507">
        <f>IF('1. SUMMARY'!$C$14=Sheet1!$A$35,Sheet1!K36,IF('1. SUMMARY'!$C$14=Sheet1!$A$40,K41,IF('1. SUMMARY'!$C$14=Sheet1!$A$60,K61,IF('1. SUMMARY'!$C$14=$A$76,K77,IF('1. SUMMARY'!$C$14=$A$84,K93,IF('1. SUMMARY'!$C$14=$A$111,K112,IF('1. SUMMARY'!$C$14=$A$124,K125,IF('1. SUMMARY'!$C$14=$A$141,K142,""))))))))</f>
        <v>0.68</v>
      </c>
      <c r="AD24" s="507">
        <f>IF('1. SUMMARY'!$C$14=Sheet1!$A$35,Sheet1!L36,IF('1. SUMMARY'!$C$14=Sheet1!$A$40,L41,IF('1. SUMMARY'!$C$14=Sheet1!$A$60,L61,IF('1. SUMMARY'!$C$14=$A$76,L77,IF('1. SUMMARY'!$C$14=$A$84,L93,IF('1. SUMMARY'!$C$14=$A$111,L112,IF('1. SUMMARY'!$C$14=$A$124,L125,IF('1. SUMMARY'!$C$14=$A$141,L142,""))))))))</f>
        <v>0.68</v>
      </c>
      <c r="AE24" s="507">
        <f>IF('1. SUMMARY'!$C$14=Sheet1!$A$35,Sheet1!M36,IF('1. SUMMARY'!$C$14=Sheet1!$A$40,M41,IF('1. SUMMARY'!$C$14=Sheet1!$A$60,M61,IF('1. SUMMARY'!$C$14=$A$76,M77,IF('1. SUMMARY'!$C$14=$A$84,M93,IF('1. SUMMARY'!$C$14=$A$111,M112,IF('1. SUMMARY'!$C$14=$A$124,M125,IF('1. SUMMARY'!$C$14=$A$141,M142,""))))))))</f>
        <v>0.68</v>
      </c>
      <c r="AF24" s="507">
        <f>IF('1. SUMMARY'!$C$14=Sheet1!$A$35,Sheet1!N36,IF('1. SUMMARY'!$C$14=Sheet1!$A$40,N41,IF('1. SUMMARY'!$C$14=Sheet1!$A$60,N61,IF('1. SUMMARY'!$C$14=$A$76,N77,IF('1. SUMMARY'!$C$14=$A$84,N93,IF('1. SUMMARY'!$C$14=$A$111,N112,IF('1. SUMMARY'!$C$14=$A$124,N125,IF('1. SUMMARY'!$C$14=$A$141,N142,""))))))))</f>
        <v>0.68</v>
      </c>
      <c r="AG24" s="507">
        <f>IF('1. SUMMARY'!$C$14=Sheet1!$A$35,Sheet1!O36,IF('1. SUMMARY'!$C$14=Sheet1!$A$40,O41,IF('1. SUMMARY'!$C$14=Sheet1!$A$60,O61,IF('1. SUMMARY'!$C$14=$A$76,O77,IF('1. SUMMARY'!$C$14=$A$84,O93,IF('1. SUMMARY'!$C$14=$A$111,O112,IF('1. SUMMARY'!$C$14=$A$124,O125,IF('1. SUMMARY'!$C$14=$A$141,O142,""))))))))</f>
        <v>0.68</v>
      </c>
      <c r="AH24" s="507">
        <f>IF('1. SUMMARY'!$C$14=Sheet1!$A$35,Sheet1!P36,IF('1. SUMMARY'!$C$14=Sheet1!$A$40,P41,IF('1. SUMMARY'!$C$14=Sheet1!$A$60,P61,IF('1. SUMMARY'!$C$14=$A$76,P77,IF('1. SUMMARY'!$C$14=$A$84,P93,IF('1. SUMMARY'!$C$14=$A$111,P112,IF('1. SUMMARY'!$C$14=$A$124,P125,IF('1. SUMMARY'!$C$14=$A$141,P142,""))))))))</f>
        <v>0.68</v>
      </c>
      <c r="AI24" s="507">
        <f>IF('1. SUMMARY'!$C$14=Sheet1!$A$35,Sheet1!Q36,IF('1. SUMMARY'!$C$14=Sheet1!$A$40,Q41,IF('1. SUMMARY'!$C$14=Sheet1!$A$60,Q61,IF('1. SUMMARY'!$C$14=$A$76,Q77,IF('1. SUMMARY'!$C$14=$A$84,Q93,IF('1. SUMMARY'!$C$14=$A$111,Q112,IF('1. SUMMARY'!$C$14=$A$124,Q125,IF('1. SUMMARY'!$C$14=$A$141,Q142,""))))))))</f>
        <v>0.68</v>
      </c>
      <c r="AJ24" s="507">
        <f>IF('1. SUMMARY'!$C$14=Sheet1!$A$35,Sheet1!R36,IF('1. SUMMARY'!$C$14=Sheet1!$A$40,R41,IF('1. SUMMARY'!$C$14=Sheet1!$A$60,R61,IF('1. SUMMARY'!$C$14=$A$76,R77,IF('1. SUMMARY'!$C$14=$A$84,R93,IF('1. SUMMARY'!$C$14=$A$111,R112,IF('1. SUMMARY'!$C$14=$A$124,R125,IF('1. SUMMARY'!$C$14=$A$141,R142,""))))))))</f>
        <v>0.68</v>
      </c>
    </row>
    <row r="25" spans="1:36">
      <c r="A25" s="500" t="s">
        <v>96</v>
      </c>
      <c r="B25" s="101">
        <v>44469</v>
      </c>
      <c r="C25" s="101">
        <v>44834</v>
      </c>
      <c r="D25" s="101">
        <v>45199</v>
      </c>
      <c r="E25" s="101">
        <v>45565</v>
      </c>
      <c r="F25" s="101">
        <v>45930</v>
      </c>
      <c r="G25" s="101">
        <v>46295</v>
      </c>
      <c r="H25" s="101">
        <v>46660</v>
      </c>
      <c r="I25" s="101">
        <v>47026</v>
      </c>
      <c r="J25" s="101">
        <v>47391</v>
      </c>
      <c r="K25" s="101">
        <v>47756</v>
      </c>
      <c r="L25" s="101">
        <v>48121</v>
      </c>
      <c r="M25" s="101">
        <v>48487</v>
      </c>
      <c r="N25" s="101">
        <v>48852</v>
      </c>
      <c r="O25" s="101">
        <v>49217</v>
      </c>
      <c r="P25" s="101">
        <v>49582</v>
      </c>
      <c r="Q25" s="101">
        <v>49948</v>
      </c>
      <c r="R25" s="101">
        <v>50313</v>
      </c>
      <c r="S25" s="94" t="str">
        <f>IF(Hospital=Sheet1!A8,"",IF(Hospital=Sheet1!A9,"",IF(Hospital=Sheet1!A10,"",IF(Hospital=Sheet1!A6,"","Offsite"))))</f>
        <v>Offsite</v>
      </c>
      <c r="T25" s="507">
        <f>IF('1. SUMMARY'!$C$14=Sheet1!$A$35,Sheet1!B37,IF('1. SUMMARY'!$C$14=Sheet1!$A$40,B42,IF('1. SUMMARY'!$C$14=Sheet1!$A$60,B62,IF('1. SUMMARY'!$C$14=$A$76,B78,IF('1. SUMMARY'!$C$14=$A$84,B88,IF('1. SUMMARY'!$C$14=$A$111,B113,IF('1. SUMMARY'!$C$14=$A$124,B126,"")))))))</f>
        <v>0.34</v>
      </c>
      <c r="U25" s="507">
        <f>IF('1. SUMMARY'!$C$14=Sheet1!$A$35,Sheet1!C37,IF('1. SUMMARY'!$C$14=Sheet1!$A$40,C42,IF('1. SUMMARY'!$C$14=Sheet1!$A$60,C62,IF('1. SUMMARY'!$C$14=$A$76,C78,IF('1. SUMMARY'!$C$14=$A$84,C88,IF('1. SUMMARY'!$C$14=$A$111,C113,IF('1. SUMMARY'!$C$14=$A$124,C126,"")))))))</f>
        <v>0.34</v>
      </c>
      <c r="V25" s="507">
        <f>IF('1. SUMMARY'!$C$14=Sheet1!$A$35,Sheet1!D37,IF('1. SUMMARY'!$C$14=Sheet1!$A$40,D42,IF('1. SUMMARY'!$C$14=Sheet1!$A$60,D62,IF('1. SUMMARY'!$C$14=$A$76,D78,IF('1. SUMMARY'!$C$14=$A$84,D88,IF('1. SUMMARY'!$C$14=$A$111,D113,IF('1. SUMMARY'!$C$14=$A$124,D126,"")))))))</f>
        <v>0.34</v>
      </c>
      <c r="W25" s="507">
        <f>IF('1. SUMMARY'!$C$14=Sheet1!$A$35,Sheet1!E37,IF('1. SUMMARY'!$C$14=Sheet1!$A$40,E42,IF('1. SUMMARY'!$C$14=Sheet1!$A$60,E62,IF('1. SUMMARY'!$C$14=$A$76,E78,IF('1. SUMMARY'!$C$14=$A$84,E88,IF('1. SUMMARY'!$C$14=$A$111,E113,IF('1. SUMMARY'!$C$14=$A$124,E126,"")))))))</f>
        <v>0.34</v>
      </c>
      <c r="X25" s="507">
        <f>IF('1. SUMMARY'!$C$14=Sheet1!$A$35,Sheet1!F37,IF('1. SUMMARY'!$C$14=Sheet1!$A$40,F42,IF('1. SUMMARY'!$C$14=Sheet1!$A$60,F62,IF('1. SUMMARY'!$C$14=$A$76,F78,IF('1. SUMMARY'!$C$14=$A$84,F88,IF('1. SUMMARY'!$C$14=$A$111,F113,IF('1. SUMMARY'!$C$14=$A$124,F126,"")))))))</f>
        <v>0.34</v>
      </c>
      <c r="Y25" s="507">
        <f>IF('1. SUMMARY'!$C$14=Sheet1!$A$35,Sheet1!G37,IF('1. SUMMARY'!$C$14=Sheet1!$A$40,G42,IF('1. SUMMARY'!$C$14=Sheet1!$A$60,G62,IF('1. SUMMARY'!$C$14=$A$76,G78,IF('1. SUMMARY'!$C$14=$A$84,G88,IF('1. SUMMARY'!$C$14=$A$111,G113,IF('1. SUMMARY'!$C$14=$A$124,G126,"")))))))</f>
        <v>0.34</v>
      </c>
      <c r="Z25" s="507">
        <f>IF('1. SUMMARY'!$C$14=Sheet1!$A$35,Sheet1!H37,IF('1. SUMMARY'!$C$14=Sheet1!$A$40,H42,IF('1. SUMMARY'!$C$14=Sheet1!$A$60,H62,IF('1. SUMMARY'!$C$14=$A$76,H78,IF('1. SUMMARY'!$C$14=$A$84,H88,IF('1. SUMMARY'!$C$14=$A$111,H113,IF('1. SUMMARY'!$C$14=$A$124,H126,"")))))))</f>
        <v>0.34</v>
      </c>
      <c r="AA25" s="507">
        <f>IF('1. SUMMARY'!$C$14=Sheet1!$A$35,Sheet1!I37,IF('1. SUMMARY'!$C$14=Sheet1!$A$40,I42,IF('1. SUMMARY'!$C$14=Sheet1!$A$60,I62,IF('1. SUMMARY'!$C$14=$A$76,I78,IF('1. SUMMARY'!$C$14=$A$84,I88,IF('1. SUMMARY'!$C$14=$A$111,I113,IF('1. SUMMARY'!$C$14=$A$124,I126,"")))))))</f>
        <v>0.34</v>
      </c>
      <c r="AB25" s="507">
        <f>IF('1. SUMMARY'!$C$14=Sheet1!$A$35,Sheet1!J37,IF('1. SUMMARY'!$C$14=Sheet1!$A$40,J42,IF('1. SUMMARY'!$C$14=Sheet1!$A$60,J62,IF('1. SUMMARY'!$C$14=$A$76,J78,IF('1. SUMMARY'!$C$14=$A$84,J88,IF('1. SUMMARY'!$C$14=$A$111,J113,IF('1. SUMMARY'!$C$14=$A$124,J126,"")))))))</f>
        <v>0.34</v>
      </c>
      <c r="AC25" s="507">
        <f>IF('1. SUMMARY'!$C$14=Sheet1!$A$35,Sheet1!K37,IF('1. SUMMARY'!$C$14=Sheet1!$A$40,K42,IF('1. SUMMARY'!$C$14=Sheet1!$A$60,K62,IF('1. SUMMARY'!$C$14=$A$76,K78,IF('1. SUMMARY'!$C$14=$A$84,K88,IF('1. SUMMARY'!$C$14=$A$111,K113,IF('1. SUMMARY'!$C$14=$A$124,K126,"")))))))</f>
        <v>0.34</v>
      </c>
      <c r="AD25" s="507">
        <f>IF('1. SUMMARY'!$C$14=Sheet1!$A$35,Sheet1!L37,IF('1. SUMMARY'!$C$14=Sheet1!$A$40,L42,IF('1. SUMMARY'!$C$14=Sheet1!$A$60,L62,IF('1. SUMMARY'!$C$14=$A$76,L78,IF('1. SUMMARY'!$C$14=$A$84,L88,IF('1. SUMMARY'!$C$14=$A$111,L113,IF('1. SUMMARY'!$C$14=$A$124,L126,"")))))))</f>
        <v>0.34</v>
      </c>
      <c r="AE25" s="507">
        <f>IF('1. SUMMARY'!$C$14=Sheet1!$A$35,Sheet1!M37,IF('1. SUMMARY'!$C$14=Sheet1!$A$40,M42,IF('1. SUMMARY'!$C$14=Sheet1!$A$60,M62,IF('1. SUMMARY'!$C$14=$A$76,M78,IF('1. SUMMARY'!$C$14=$A$84,M88,IF('1. SUMMARY'!$C$14=$A$111,M113,IF('1. SUMMARY'!$C$14=$A$124,M126,"")))))))</f>
        <v>0.34</v>
      </c>
      <c r="AF25" s="507">
        <f>IF('1. SUMMARY'!$C$14=Sheet1!$A$35,Sheet1!N37,IF('1. SUMMARY'!$C$14=Sheet1!$A$40,N42,IF('1. SUMMARY'!$C$14=Sheet1!$A$60,N62,IF('1. SUMMARY'!$C$14=$A$76,N78,IF('1. SUMMARY'!$C$14=$A$84,N88,IF('1. SUMMARY'!$C$14=$A$111,N113,IF('1. SUMMARY'!$C$14=$A$124,N126,"")))))))</f>
        <v>0.34</v>
      </c>
      <c r="AG25" s="507">
        <f>IF('1. SUMMARY'!$C$14=Sheet1!$A$35,Sheet1!O37,IF('1. SUMMARY'!$C$14=Sheet1!$A$40,O42,IF('1. SUMMARY'!$C$14=Sheet1!$A$60,O62,IF('1. SUMMARY'!$C$14=$A$76,O78,IF('1. SUMMARY'!$C$14=$A$84,O88,IF('1. SUMMARY'!$C$14=$A$111,O113,IF('1. SUMMARY'!$C$14=$A$124,O126,"")))))))</f>
        <v>0.34</v>
      </c>
      <c r="AH25" s="507">
        <f>IF('1. SUMMARY'!$C$14=Sheet1!$A$35,Sheet1!P37,IF('1. SUMMARY'!$C$14=Sheet1!$A$40,P42,IF('1. SUMMARY'!$C$14=Sheet1!$A$60,P62,IF('1. SUMMARY'!$C$14=$A$76,P78,IF('1. SUMMARY'!$C$14=$A$84,P88,IF('1. SUMMARY'!$C$14=$A$111,P113,IF('1. SUMMARY'!$C$14=$A$124,P126,"")))))))</f>
        <v>0.34</v>
      </c>
      <c r="AI25" s="507">
        <f>IF('1. SUMMARY'!$C$14=Sheet1!$A$35,Sheet1!Q37,IF('1. SUMMARY'!$C$14=Sheet1!$A$40,Q42,IF('1. SUMMARY'!$C$14=Sheet1!$A$60,Q62,IF('1. SUMMARY'!$C$14=$A$76,Q78,IF('1. SUMMARY'!$C$14=$A$84,Q88,IF('1. SUMMARY'!$C$14=$A$111,Q113,IF('1. SUMMARY'!$C$14=$A$124,Q126,"")))))))</f>
        <v>0.34</v>
      </c>
      <c r="AJ25" s="507">
        <f>IF('1. SUMMARY'!$C$14=Sheet1!$A$35,Sheet1!R37,IF('1. SUMMARY'!$C$14=Sheet1!$A$40,R42,IF('1. SUMMARY'!$C$14=Sheet1!$A$60,R62,IF('1. SUMMARY'!$C$14=$A$76,R78,IF('1. SUMMARY'!$C$14=$A$84,R88,IF('1. SUMMARY'!$C$14=$A$111,R113,IF('1. SUMMARY'!$C$14=$A$124,R126,"")))))))</f>
        <v>0.34</v>
      </c>
    </row>
    <row r="26" spans="1:36">
      <c r="A26" s="94" t="s">
        <v>273</v>
      </c>
      <c r="B26" s="512">
        <v>0.3</v>
      </c>
      <c r="C26" s="512">
        <v>0.31</v>
      </c>
      <c r="D26" s="512">
        <v>0.31</v>
      </c>
      <c r="E26" s="512">
        <v>0.32</v>
      </c>
      <c r="F26" s="512">
        <v>0.32</v>
      </c>
      <c r="G26" s="512">
        <v>0.32</v>
      </c>
      <c r="H26" s="512">
        <v>0.32</v>
      </c>
      <c r="I26" s="512">
        <v>0.32</v>
      </c>
      <c r="J26" s="512">
        <v>0.32</v>
      </c>
      <c r="K26" s="512">
        <v>0.32</v>
      </c>
      <c r="L26" s="512">
        <v>0.32</v>
      </c>
      <c r="M26" s="512">
        <v>0.32</v>
      </c>
      <c r="N26" s="512">
        <v>0.32</v>
      </c>
      <c r="O26" s="512">
        <v>0.32</v>
      </c>
      <c r="P26" s="512">
        <v>0.32</v>
      </c>
      <c r="Q26" s="512">
        <v>0.32</v>
      </c>
      <c r="R26" s="512">
        <v>0.32</v>
      </c>
      <c r="S26" s="94" t="s">
        <v>97</v>
      </c>
      <c r="T26" s="507" t="str">
        <f>'1. SUMMARY'!$D$20</f>
        <v xml:space="preserve"> </v>
      </c>
      <c r="U26" s="507" t="str">
        <f>'1. SUMMARY'!$D$20</f>
        <v xml:space="preserve"> </v>
      </c>
      <c r="V26" s="507" t="str">
        <f>'1. SUMMARY'!$D$20</f>
        <v xml:space="preserve"> </v>
      </c>
      <c r="W26" s="507" t="str">
        <f>'1. SUMMARY'!$D$20</f>
        <v xml:space="preserve"> </v>
      </c>
      <c r="X26" s="507" t="str">
        <f>'1. SUMMARY'!$D$20</f>
        <v xml:space="preserve"> </v>
      </c>
      <c r="Y26" s="507" t="str">
        <f>'1. SUMMARY'!$D$20</f>
        <v xml:space="preserve"> </v>
      </c>
      <c r="Z26" s="507" t="str">
        <f>'1. SUMMARY'!$D$20</f>
        <v xml:space="preserve"> </v>
      </c>
      <c r="AA26" s="507" t="str">
        <f>'1. SUMMARY'!$D$20</f>
        <v xml:space="preserve"> </v>
      </c>
      <c r="AB26" s="507" t="str">
        <f>'1. SUMMARY'!$D$20</f>
        <v xml:space="preserve"> </v>
      </c>
      <c r="AC26" s="507" t="str">
        <f>'1. SUMMARY'!$D$20</f>
        <v xml:space="preserve"> </v>
      </c>
      <c r="AD26" s="507" t="str">
        <f>'1. SUMMARY'!$D$20</f>
        <v xml:space="preserve"> </v>
      </c>
      <c r="AE26" s="507" t="str">
        <f>'1. SUMMARY'!$D$20</f>
        <v xml:space="preserve"> </v>
      </c>
      <c r="AF26" s="507" t="str">
        <f>'1. SUMMARY'!$D$20</f>
        <v xml:space="preserve"> </v>
      </c>
      <c r="AG26" s="507" t="str">
        <f>'1. SUMMARY'!$D$20</f>
        <v xml:space="preserve"> </v>
      </c>
      <c r="AH26" s="507" t="str">
        <f>'1. SUMMARY'!$D$20</f>
        <v xml:space="preserve"> </v>
      </c>
      <c r="AI26" s="507" t="str">
        <f>'1. SUMMARY'!$D$20</f>
        <v xml:space="preserve"> </v>
      </c>
      <c r="AJ26" s="507" t="str">
        <f>'1. SUMMARY'!$D$20</f>
        <v xml:space="preserve"> </v>
      </c>
    </row>
    <row r="27" spans="1:36" ht="14">
      <c r="A27" s="503" t="s">
        <v>270</v>
      </c>
      <c r="B27" s="507">
        <v>0.35</v>
      </c>
      <c r="C27" s="507">
        <v>0.35</v>
      </c>
      <c r="D27" s="507">
        <v>0.35</v>
      </c>
      <c r="E27" s="507">
        <v>0.35</v>
      </c>
      <c r="F27" s="507">
        <v>0.35</v>
      </c>
      <c r="G27" s="507">
        <v>0.35</v>
      </c>
      <c r="H27" s="507">
        <v>0.35</v>
      </c>
      <c r="I27" s="507">
        <v>0.35</v>
      </c>
      <c r="J27" s="507">
        <v>0.35</v>
      </c>
      <c r="K27" s="507">
        <v>0.35</v>
      </c>
      <c r="L27" s="507">
        <v>0.35</v>
      </c>
      <c r="M27" s="507">
        <v>0.35</v>
      </c>
      <c r="N27" s="507">
        <v>0.35</v>
      </c>
      <c r="O27" s="507">
        <v>0.35</v>
      </c>
      <c r="P27" s="507">
        <v>0.35</v>
      </c>
      <c r="Q27" s="507">
        <v>0.35</v>
      </c>
      <c r="R27" s="507">
        <v>0.35</v>
      </c>
      <c r="T27" s="507"/>
    </row>
    <row r="28" spans="1:36">
      <c r="A28" s="94" t="s">
        <v>100</v>
      </c>
      <c r="B28" s="512">
        <v>0.36</v>
      </c>
      <c r="C28" s="512">
        <v>0.36</v>
      </c>
      <c r="D28" s="512">
        <v>0.36</v>
      </c>
      <c r="E28" s="512">
        <v>0.36</v>
      </c>
      <c r="F28" s="512">
        <v>0.36</v>
      </c>
      <c r="G28" s="512">
        <v>0.36</v>
      </c>
      <c r="H28" s="512">
        <v>0.36</v>
      </c>
      <c r="I28" s="512">
        <v>0.36</v>
      </c>
      <c r="J28" s="512">
        <v>0.36</v>
      </c>
      <c r="K28" s="512">
        <v>0.36</v>
      </c>
      <c r="L28" s="512">
        <v>0.36</v>
      </c>
      <c r="M28" s="512">
        <v>0.36</v>
      </c>
      <c r="N28" s="512">
        <v>0.36</v>
      </c>
      <c r="O28" s="512">
        <v>0.36</v>
      </c>
      <c r="P28" s="512">
        <v>0.36</v>
      </c>
      <c r="Q28" s="512">
        <v>0.36</v>
      </c>
      <c r="R28" s="512">
        <v>0.36</v>
      </c>
      <c r="T28" s="507"/>
    </row>
    <row r="29" spans="1:36">
      <c r="A29" s="94" t="s">
        <v>99</v>
      </c>
      <c r="B29" s="512">
        <v>0.32</v>
      </c>
      <c r="C29" s="512">
        <v>0.34</v>
      </c>
      <c r="D29" s="512">
        <v>0.34</v>
      </c>
      <c r="E29" s="512">
        <v>0.35</v>
      </c>
      <c r="F29" s="512">
        <v>0.35</v>
      </c>
      <c r="G29" s="512">
        <v>0.35</v>
      </c>
      <c r="H29" s="512">
        <v>0.35</v>
      </c>
      <c r="I29" s="512">
        <v>0.35</v>
      </c>
      <c r="J29" s="512">
        <v>0.35</v>
      </c>
      <c r="K29" s="512">
        <v>0.35</v>
      </c>
      <c r="L29" s="512">
        <v>0.35</v>
      </c>
      <c r="M29" s="512">
        <v>0.35</v>
      </c>
      <c r="N29" s="512">
        <v>0.35</v>
      </c>
      <c r="O29" s="512">
        <v>0.35</v>
      </c>
      <c r="P29" s="512">
        <v>0.35</v>
      </c>
      <c r="Q29" s="512">
        <v>0.35</v>
      </c>
      <c r="R29" s="512">
        <v>0.35</v>
      </c>
      <c r="T29" s="507">
        <f>IF('1. SUMMARY'!$C$14=Sheet1!$A$35,Sheet1!B41,IF('1. SUMMARY'!$C$14=Sheet1!$A$40,B46,IF('1. SUMMARY'!$C$14=Sheet1!$A$60,B66,IF('1. SUMMARY'!$C$14=$A$76,B82,IF('1. SUMMARY'!$C$14=$A$84,B98,IF('1. SUMMARY'!$C$14=$A$111,B117,IF('1. SUMMARY'!$C$14=$A$124,B130,IF('1. SUMMARY'!$C$14=$A$132,B138,""))))))))</f>
        <v>0.79</v>
      </c>
    </row>
    <row r="30" spans="1:36">
      <c r="A30" s="499" t="s">
        <v>271</v>
      </c>
      <c r="B30" s="507">
        <v>0.28000000000000003</v>
      </c>
      <c r="C30" s="507">
        <v>0.28000000000000003</v>
      </c>
      <c r="D30" s="507">
        <v>0.28000000000000003</v>
      </c>
      <c r="E30" s="507">
        <v>0.28000000000000003</v>
      </c>
      <c r="F30" s="507">
        <v>0.28000000000000003</v>
      </c>
      <c r="G30" s="507">
        <v>0.28000000000000003</v>
      </c>
      <c r="H30" s="507">
        <v>0.28000000000000003</v>
      </c>
      <c r="I30" s="507">
        <v>0.28000000000000003</v>
      </c>
      <c r="J30" s="507">
        <v>0.28000000000000003</v>
      </c>
      <c r="K30" s="507">
        <v>0.28000000000000003</v>
      </c>
      <c r="L30" s="507">
        <v>0.28000000000000003</v>
      </c>
      <c r="M30" s="507">
        <v>0.28000000000000003</v>
      </c>
      <c r="N30" s="507">
        <v>0.28000000000000003</v>
      </c>
      <c r="O30" s="507">
        <v>0.28000000000000003</v>
      </c>
      <c r="P30" s="507">
        <v>0.28000000000000003</v>
      </c>
      <c r="Q30" s="507">
        <v>0.28000000000000003</v>
      </c>
      <c r="R30" s="507">
        <v>0.28000000000000003</v>
      </c>
    </row>
    <row r="31" spans="1:36">
      <c r="A31" s="94" t="s">
        <v>98</v>
      </c>
      <c r="B31" s="507">
        <v>0.12</v>
      </c>
      <c r="C31" s="507">
        <v>0.12</v>
      </c>
      <c r="D31" s="507">
        <v>0.12</v>
      </c>
      <c r="E31" s="507">
        <v>0.12</v>
      </c>
      <c r="F31" s="507">
        <v>0.12</v>
      </c>
      <c r="G31" s="507">
        <v>0.12</v>
      </c>
      <c r="H31" s="507">
        <v>0.12</v>
      </c>
      <c r="I31" s="507">
        <v>0.12</v>
      </c>
      <c r="J31" s="507">
        <v>0.12</v>
      </c>
      <c r="K31" s="507">
        <v>0.12</v>
      </c>
      <c r="L31" s="507">
        <v>0.12</v>
      </c>
      <c r="M31" s="507">
        <v>0.12</v>
      </c>
      <c r="N31" s="507">
        <v>0.12</v>
      </c>
      <c r="O31" s="507">
        <v>0.12</v>
      </c>
      <c r="P31" s="507">
        <v>0.12</v>
      </c>
      <c r="Q31" s="507">
        <v>0.12</v>
      </c>
      <c r="R31" s="507">
        <v>0.12</v>
      </c>
      <c r="S31" s="94">
        <v>1</v>
      </c>
      <c r="T31" s="94">
        <v>2</v>
      </c>
      <c r="U31" s="94">
        <v>3</v>
      </c>
      <c r="V31" s="94">
        <v>4</v>
      </c>
      <c r="W31" s="94">
        <v>5</v>
      </c>
      <c r="X31" s="94">
        <v>6</v>
      </c>
      <c r="Y31" s="94">
        <v>7</v>
      </c>
      <c r="Z31" s="94">
        <v>8</v>
      </c>
      <c r="AA31" s="94">
        <v>9</v>
      </c>
      <c r="AB31" s="94">
        <v>10</v>
      </c>
      <c r="AC31" s="94">
        <v>11</v>
      </c>
      <c r="AD31" s="94">
        <v>12</v>
      </c>
      <c r="AE31" s="94">
        <v>13</v>
      </c>
      <c r="AF31" s="94">
        <v>14</v>
      </c>
      <c r="AG31" s="94">
        <v>15</v>
      </c>
      <c r="AH31" s="94">
        <v>16</v>
      </c>
      <c r="AI31" s="94">
        <v>17</v>
      </c>
      <c r="AJ31" s="94">
        <v>18</v>
      </c>
    </row>
    <row r="32" spans="1:36" ht="15">
      <c r="B32" s="109"/>
      <c r="C32" s="109"/>
      <c r="D32" s="109"/>
      <c r="E32" s="109"/>
      <c r="F32" s="109"/>
      <c r="G32" s="109"/>
      <c r="H32" s="109"/>
      <c r="I32" s="109"/>
      <c r="J32" s="109"/>
      <c r="K32" s="109"/>
      <c r="L32" s="109"/>
      <c r="M32" s="109"/>
      <c r="N32" s="109"/>
      <c r="O32" s="109"/>
      <c r="P32" s="109"/>
      <c r="Q32" s="109"/>
      <c r="R32" s="109"/>
      <c r="T32" s="101">
        <f>IF('1. SUMMARY'!$C$14=Sheet1!$A$35,Sheet1!B34,IF('1. SUMMARY'!$C$14=Sheet1!$A$40,B39,IF('1. SUMMARY'!$C$14=$A$66,B75,"")))</f>
        <v>44105</v>
      </c>
      <c r="U32" s="101">
        <f>IF('1. SUMMARY'!$C$14=Sheet1!$A$35,Sheet1!C34,IF('1. SUMMARY'!$C$14=Sheet1!$A$40,C39,IF('1. SUMMARY'!$C$14=$A$66,C75,"")))</f>
        <v>44470</v>
      </c>
      <c r="V32" s="101">
        <f>IF('1. SUMMARY'!$C$14=Sheet1!$A$35,Sheet1!D34,IF('1. SUMMARY'!$C$14=Sheet1!$A$40,D39,IF('1. SUMMARY'!$C$14=$A$66,D75,"")))</f>
        <v>44835</v>
      </c>
      <c r="W32" s="101">
        <f>IF('1. SUMMARY'!$C$14=Sheet1!$A$35,Sheet1!E34,IF('1. SUMMARY'!$C$14=Sheet1!$A$40,E39,IF('1. SUMMARY'!$C$14=$A$66,E75,"")))</f>
        <v>45200</v>
      </c>
      <c r="X32" s="101">
        <f>IF('1. SUMMARY'!$C$14=Sheet1!$A$35,Sheet1!F34,IF('1. SUMMARY'!$C$14=Sheet1!$A$40,F39,IF('1. SUMMARY'!$C$14=$A$66,F75,"")))</f>
        <v>45566</v>
      </c>
      <c r="Y32" s="101">
        <f>IF('1. SUMMARY'!$C$14=Sheet1!$A$35,Sheet1!G34,IF('1. SUMMARY'!$C$14=Sheet1!$A$40,G39,IF('1. SUMMARY'!$C$14=$A$66,G75,"")))</f>
        <v>45931</v>
      </c>
      <c r="Z32" s="101">
        <f>IF('1. SUMMARY'!$C$14=Sheet1!$A$35,Sheet1!H34,IF('1. SUMMARY'!$C$14=Sheet1!$A$40,H39,IF('1. SUMMARY'!$C$14=$A$66,H75,"")))</f>
        <v>46296</v>
      </c>
      <c r="AA32" s="101">
        <f>IF('1. SUMMARY'!$C$14=Sheet1!$A$35,Sheet1!I34,IF('1. SUMMARY'!$C$14=Sheet1!$A$40,I39,IF('1. SUMMARY'!$C$14=$A$66,I75,"")))</f>
        <v>46661</v>
      </c>
      <c r="AB32" s="101">
        <f>IF('1. SUMMARY'!$C$14=Sheet1!$A$35,Sheet1!J34,IF('1. SUMMARY'!$C$14=Sheet1!$A$40,J39,IF('1. SUMMARY'!$C$14=$A$66,J75,"")))</f>
        <v>47027</v>
      </c>
      <c r="AC32" s="101">
        <f>IF('1. SUMMARY'!$C$14=Sheet1!$A$35,Sheet1!K34,IF('1. SUMMARY'!$C$14=Sheet1!$A$40,K39,IF('1. SUMMARY'!$C$14=$A$66,K75,"")))</f>
        <v>47392</v>
      </c>
      <c r="AD32" s="101">
        <f>IF('1. SUMMARY'!$C$14=Sheet1!$A$35,Sheet1!L34,IF('1. SUMMARY'!$C$14=Sheet1!$A$40,L39,IF('1. SUMMARY'!$C$14=$A$66,L75,"")))</f>
        <v>47757</v>
      </c>
      <c r="AE32" s="101">
        <f>IF('1. SUMMARY'!$C$14=Sheet1!$A$35,Sheet1!M34,IF('1. SUMMARY'!$C$14=Sheet1!$A$40,M39,IF('1. SUMMARY'!$C$14=$A$66,M75,"")))</f>
        <v>48122</v>
      </c>
      <c r="AF32" s="101">
        <f>IF('1. SUMMARY'!$C$14=Sheet1!$A$35,Sheet1!N34,IF('1. SUMMARY'!$C$14=Sheet1!$A$40,N39,IF('1. SUMMARY'!$C$14=$A$66,N75,"")))</f>
        <v>48488</v>
      </c>
      <c r="AG32" s="101">
        <f>IF('1. SUMMARY'!$C$14=Sheet1!$A$35,Sheet1!O34,IF('1. SUMMARY'!$C$14=Sheet1!$A$40,O39,IF('1. SUMMARY'!$C$14=$A$66,O75,"")))</f>
        <v>48853</v>
      </c>
      <c r="AH32" s="101">
        <f>IF('1. SUMMARY'!$C$14=Sheet1!$A$35,Sheet1!P34,IF('1. SUMMARY'!$C$14=Sheet1!$A$40,P39,IF('1. SUMMARY'!$C$14=$A$66,P75,"")))</f>
        <v>49218</v>
      </c>
      <c r="AI32" s="101">
        <f>IF('1. SUMMARY'!$C$14=Sheet1!$A$35,Sheet1!Q34,IF('1. SUMMARY'!$C$14=Sheet1!$A$40,Q39,IF('1. SUMMARY'!$C$14=$A$66,Q75,"")))</f>
        <v>49583</v>
      </c>
      <c r="AJ32" s="101">
        <f>IF('1. SUMMARY'!$C$14=Sheet1!$A$35,Sheet1!R34,IF('1. SUMMARY'!$C$14=Sheet1!$A$40,R39,IF('1. SUMMARY'!$C$14=$A$66,R75,"")))</f>
        <v>49949</v>
      </c>
    </row>
    <row r="33" spans="1:36">
      <c r="T33" s="101">
        <f>IF('1. SUMMARY'!$C$14=Sheet1!$A$35,Sheet1!B35,IF('1. SUMMARY'!$C$14=Sheet1!$A$40,B40,IF('1. SUMMARY'!$C$14=$A$66,B76,"")))</f>
        <v>44469</v>
      </c>
      <c r="U33" s="101">
        <f>IF('1. SUMMARY'!$C$14=Sheet1!$A$35,Sheet1!C35,IF('1. SUMMARY'!$C$14=Sheet1!$A$40,C40,IF('1. SUMMARY'!$C$14=$A$66,C76,"")))</f>
        <v>44834</v>
      </c>
      <c r="V33" s="101">
        <f>IF('1. SUMMARY'!$C$14=Sheet1!$A$35,Sheet1!D35,IF('1. SUMMARY'!$C$14=Sheet1!$A$40,D40,IF('1. SUMMARY'!$C$14=$A$66,D76,"")))</f>
        <v>45199</v>
      </c>
      <c r="W33" s="101">
        <f>IF('1. SUMMARY'!$C$14=Sheet1!$A$35,Sheet1!E35,IF('1. SUMMARY'!$C$14=Sheet1!$A$40,E40,IF('1. SUMMARY'!$C$14=$A$66,E76,"")))</f>
        <v>45565</v>
      </c>
      <c r="X33" s="101">
        <f>IF('1. SUMMARY'!$C$14=Sheet1!$A$35,Sheet1!F35,IF('1. SUMMARY'!$C$14=Sheet1!$A$40,F40,IF('1. SUMMARY'!$C$14=$A$66,F76,"")))</f>
        <v>45930</v>
      </c>
      <c r="Y33" s="101">
        <f>IF('1. SUMMARY'!$C$14=Sheet1!$A$35,Sheet1!G35,IF('1. SUMMARY'!$C$14=Sheet1!$A$40,G40,IF('1. SUMMARY'!$C$14=$A$66,G76,"")))</f>
        <v>46295</v>
      </c>
      <c r="Z33" s="101">
        <f>IF('1. SUMMARY'!$C$14=Sheet1!$A$35,Sheet1!H35,IF('1. SUMMARY'!$C$14=Sheet1!$A$40,H40,IF('1. SUMMARY'!$C$14=$A$66,H76,"")))</f>
        <v>46660</v>
      </c>
      <c r="AA33" s="101">
        <f>IF('1. SUMMARY'!$C$14=Sheet1!$A$35,Sheet1!I35,IF('1. SUMMARY'!$C$14=Sheet1!$A$40,I40,IF('1. SUMMARY'!$C$14=$A$66,I76,"")))</f>
        <v>47026</v>
      </c>
      <c r="AB33" s="101">
        <f>IF('1. SUMMARY'!$C$14=Sheet1!$A$35,Sheet1!J35,IF('1. SUMMARY'!$C$14=Sheet1!$A$40,J40,IF('1. SUMMARY'!$C$14=$A$66,J76,"")))</f>
        <v>47391</v>
      </c>
      <c r="AC33" s="101">
        <f>IF('1. SUMMARY'!$C$14=Sheet1!$A$35,Sheet1!K35,IF('1. SUMMARY'!$C$14=Sheet1!$A$40,K40,IF('1. SUMMARY'!$C$14=$A$66,K76,"")))</f>
        <v>47756</v>
      </c>
      <c r="AD33" s="101">
        <f>IF('1. SUMMARY'!$C$14=Sheet1!$A$35,Sheet1!L35,IF('1. SUMMARY'!$C$14=Sheet1!$A$40,L40,IF('1. SUMMARY'!$C$14=$A$66,L76,"")))</f>
        <v>48121</v>
      </c>
      <c r="AE33" s="101">
        <f>IF('1. SUMMARY'!$C$14=Sheet1!$A$35,Sheet1!M35,IF('1. SUMMARY'!$C$14=Sheet1!$A$40,M40,IF('1. SUMMARY'!$C$14=$A$66,M76,"")))</f>
        <v>48487</v>
      </c>
      <c r="AF33" s="101">
        <f>IF('1. SUMMARY'!$C$14=Sheet1!$A$35,Sheet1!N35,IF('1. SUMMARY'!$C$14=Sheet1!$A$40,N40,IF('1. SUMMARY'!$C$14=$A$66,N76,"")))</f>
        <v>48852</v>
      </c>
      <c r="AG33" s="101">
        <f>IF('1. SUMMARY'!$C$14=Sheet1!$A$35,Sheet1!O35,IF('1. SUMMARY'!$C$14=Sheet1!$A$40,O40,IF('1. SUMMARY'!$C$14=$A$66,O76,"")))</f>
        <v>49217</v>
      </c>
      <c r="AH33" s="101">
        <f>IF('1. SUMMARY'!$C$14=Sheet1!$A$35,Sheet1!P35,IF('1. SUMMARY'!$C$14=Sheet1!$A$40,P40,IF('1. SUMMARY'!$C$14=$A$66,P76,"")))</f>
        <v>49582</v>
      </c>
      <c r="AI33" s="101">
        <f>IF('1. SUMMARY'!$C$14=Sheet1!$A$35,Sheet1!Q35,IF('1. SUMMARY'!$C$14=Sheet1!$A$40,Q40,IF('1. SUMMARY'!$C$14=$A$66,Q76,"")))</f>
        <v>49948</v>
      </c>
      <c r="AJ33" s="101">
        <f>IF('1. SUMMARY'!$C$14=Sheet1!$A$35,Sheet1!R35,IF('1. SUMMARY'!$C$14=Sheet1!$A$40,R40,IF('1. SUMMARY'!$C$14=$A$66,R76,"")))</f>
        <v>50313</v>
      </c>
    </row>
    <row r="34" spans="1:36" ht="15">
      <c r="B34" s="101">
        <v>44105</v>
      </c>
      <c r="C34" s="101">
        <v>44470</v>
      </c>
      <c r="D34" s="101">
        <v>44835</v>
      </c>
      <c r="E34" s="101">
        <v>45200</v>
      </c>
      <c r="F34" s="101">
        <v>45566</v>
      </c>
      <c r="G34" s="101">
        <v>45931</v>
      </c>
      <c r="H34" s="101">
        <v>46296</v>
      </c>
      <c r="I34" s="101">
        <v>46661</v>
      </c>
      <c r="J34" s="101">
        <v>47027</v>
      </c>
      <c r="K34" s="101">
        <v>47392</v>
      </c>
      <c r="L34" s="101">
        <v>47757</v>
      </c>
      <c r="M34" s="101">
        <v>48122</v>
      </c>
      <c r="N34" s="101">
        <v>48488</v>
      </c>
      <c r="O34" s="101">
        <v>48853</v>
      </c>
      <c r="P34" s="101">
        <v>49218</v>
      </c>
      <c r="Q34" s="101">
        <v>49583</v>
      </c>
      <c r="R34" s="101">
        <v>49949</v>
      </c>
      <c r="S34" s="107" t="s">
        <v>95</v>
      </c>
      <c r="T34" s="106">
        <v>0.6</v>
      </c>
      <c r="U34" s="106">
        <v>0.6</v>
      </c>
      <c r="V34" s="106">
        <v>0.6</v>
      </c>
      <c r="W34" s="106">
        <v>0.6</v>
      </c>
      <c r="X34" s="106">
        <v>0.6</v>
      </c>
      <c r="Y34" s="106">
        <v>0.6</v>
      </c>
      <c r="Z34" s="106">
        <v>0.6</v>
      </c>
      <c r="AA34" s="106">
        <v>0.6</v>
      </c>
      <c r="AB34" s="106">
        <v>0.6</v>
      </c>
      <c r="AC34" s="106">
        <v>0.6</v>
      </c>
      <c r="AD34" s="106">
        <v>0.6</v>
      </c>
      <c r="AE34" s="106">
        <v>0.6</v>
      </c>
      <c r="AF34" s="106">
        <v>0.6</v>
      </c>
      <c r="AG34" s="106">
        <v>0.6</v>
      </c>
      <c r="AH34" s="106">
        <v>0.6</v>
      </c>
      <c r="AI34" s="106">
        <v>0.6</v>
      </c>
      <c r="AJ34" s="106">
        <v>0.6</v>
      </c>
    </row>
    <row r="35" spans="1:36">
      <c r="A35" s="500" t="s">
        <v>73</v>
      </c>
      <c r="B35" s="101">
        <v>44469</v>
      </c>
      <c r="C35" s="101">
        <v>44834</v>
      </c>
      <c r="D35" s="101">
        <v>45199</v>
      </c>
      <c r="E35" s="101">
        <v>45565</v>
      </c>
      <c r="F35" s="101">
        <v>45930</v>
      </c>
      <c r="G35" s="101">
        <v>46295</v>
      </c>
      <c r="H35" s="101">
        <v>46660</v>
      </c>
      <c r="I35" s="101">
        <v>47026</v>
      </c>
      <c r="J35" s="101">
        <v>47391</v>
      </c>
      <c r="K35" s="101">
        <v>47756</v>
      </c>
      <c r="L35" s="101">
        <v>48121</v>
      </c>
      <c r="M35" s="101">
        <v>48487</v>
      </c>
      <c r="N35" s="101">
        <v>48852</v>
      </c>
      <c r="O35" s="101">
        <v>49217</v>
      </c>
      <c r="P35" s="101">
        <v>49582</v>
      </c>
      <c r="Q35" s="101">
        <v>49948</v>
      </c>
      <c r="R35" s="101">
        <v>50313</v>
      </c>
    </row>
    <row r="36" spans="1:36">
      <c r="A36" s="94" t="s">
        <v>80</v>
      </c>
      <c r="B36" s="507">
        <v>0.68</v>
      </c>
      <c r="C36" s="507">
        <v>0.68</v>
      </c>
      <c r="D36" s="507">
        <v>0.68</v>
      </c>
      <c r="E36" s="507">
        <v>0.68</v>
      </c>
      <c r="F36" s="507">
        <v>0.68</v>
      </c>
      <c r="G36" s="507">
        <v>0.68</v>
      </c>
      <c r="H36" s="507">
        <v>0.68</v>
      </c>
      <c r="I36" s="507">
        <v>0.68</v>
      </c>
      <c r="J36" s="507">
        <v>0.68</v>
      </c>
      <c r="K36" s="507">
        <v>0.68</v>
      </c>
      <c r="L36" s="507">
        <v>0.68</v>
      </c>
      <c r="M36" s="507">
        <v>0.68</v>
      </c>
      <c r="N36" s="507">
        <v>0.68</v>
      </c>
      <c r="O36" s="507">
        <v>0.68</v>
      </c>
      <c r="P36" s="507">
        <v>0.68</v>
      </c>
      <c r="Q36" s="507">
        <v>0.68</v>
      </c>
      <c r="R36" s="507">
        <v>0.68</v>
      </c>
    </row>
    <row r="37" spans="1:36">
      <c r="A37" s="94" t="s">
        <v>272</v>
      </c>
      <c r="B37" s="507">
        <v>0.34</v>
      </c>
      <c r="C37" s="507">
        <v>0.34</v>
      </c>
      <c r="D37" s="507">
        <v>0.34</v>
      </c>
      <c r="E37" s="507">
        <v>0.34</v>
      </c>
      <c r="F37" s="507">
        <v>0.34</v>
      </c>
      <c r="G37" s="507">
        <v>0.34</v>
      </c>
      <c r="H37" s="507">
        <v>0.34</v>
      </c>
      <c r="I37" s="507">
        <v>0.34</v>
      </c>
      <c r="J37" s="507">
        <v>0.34</v>
      </c>
      <c r="K37" s="507">
        <v>0.34</v>
      </c>
      <c r="L37" s="507">
        <v>0.34</v>
      </c>
      <c r="M37" s="507">
        <v>0.34</v>
      </c>
      <c r="N37" s="507">
        <v>0.34</v>
      </c>
      <c r="O37" s="507">
        <v>0.34</v>
      </c>
      <c r="P37" s="507">
        <v>0.34</v>
      </c>
      <c r="Q37" s="507">
        <v>0.34</v>
      </c>
      <c r="R37" s="507">
        <v>0.34</v>
      </c>
    </row>
    <row r="39" spans="1:36">
      <c r="B39" s="101">
        <v>44105</v>
      </c>
      <c r="C39" s="101">
        <v>44470</v>
      </c>
      <c r="D39" s="101">
        <v>44835</v>
      </c>
      <c r="E39" s="101">
        <v>45200</v>
      </c>
      <c r="F39" s="101">
        <v>45566</v>
      </c>
      <c r="G39" s="101">
        <v>45931</v>
      </c>
      <c r="H39" s="101">
        <v>46296</v>
      </c>
      <c r="I39" s="101">
        <v>46661</v>
      </c>
      <c r="J39" s="101">
        <v>47027</v>
      </c>
      <c r="K39" s="101">
        <v>47392</v>
      </c>
      <c r="L39" s="101">
        <v>47757</v>
      </c>
      <c r="M39" s="101">
        <v>48122</v>
      </c>
      <c r="N39" s="101">
        <v>48488</v>
      </c>
      <c r="O39" s="101">
        <v>48853</v>
      </c>
      <c r="P39" s="101">
        <v>49218</v>
      </c>
      <c r="Q39" s="101">
        <v>49583</v>
      </c>
      <c r="R39" s="101">
        <v>49949</v>
      </c>
    </row>
    <row r="40" spans="1:36">
      <c r="A40" s="500" t="s">
        <v>96</v>
      </c>
      <c r="B40" s="101">
        <v>44469</v>
      </c>
      <c r="C40" s="101">
        <v>44834</v>
      </c>
      <c r="D40" s="101">
        <v>45199</v>
      </c>
      <c r="E40" s="101">
        <v>45565</v>
      </c>
      <c r="F40" s="101">
        <v>45930</v>
      </c>
      <c r="G40" s="101">
        <v>46295</v>
      </c>
      <c r="H40" s="101">
        <v>46660</v>
      </c>
      <c r="I40" s="101">
        <v>47026</v>
      </c>
      <c r="J40" s="101">
        <v>47391</v>
      </c>
      <c r="K40" s="101">
        <v>47756</v>
      </c>
      <c r="L40" s="101">
        <v>48121</v>
      </c>
      <c r="M40" s="101">
        <v>48487</v>
      </c>
      <c r="N40" s="101">
        <v>48852</v>
      </c>
      <c r="O40" s="101">
        <v>49217</v>
      </c>
      <c r="P40" s="101">
        <v>49582</v>
      </c>
      <c r="Q40" s="101">
        <v>49948</v>
      </c>
      <c r="R40" s="101">
        <v>50313</v>
      </c>
    </row>
    <row r="41" spans="1:36">
      <c r="A41" s="94" t="s">
        <v>80</v>
      </c>
      <c r="B41" s="507">
        <v>0.79</v>
      </c>
      <c r="C41" s="507">
        <v>0.79</v>
      </c>
      <c r="D41" s="507">
        <v>0.79</v>
      </c>
      <c r="E41" s="507">
        <v>0.79</v>
      </c>
      <c r="F41" s="507">
        <v>0.79</v>
      </c>
      <c r="G41" s="507">
        <v>0.79</v>
      </c>
      <c r="H41" s="507">
        <v>0.79</v>
      </c>
      <c r="I41" s="507">
        <v>0.79</v>
      </c>
      <c r="J41" s="507">
        <v>0.79</v>
      </c>
      <c r="K41" s="507">
        <v>0.79</v>
      </c>
      <c r="L41" s="507">
        <v>0.79</v>
      </c>
      <c r="M41" s="507">
        <v>0.79</v>
      </c>
      <c r="N41" s="507">
        <v>0.79</v>
      </c>
      <c r="O41" s="507">
        <v>0.79</v>
      </c>
      <c r="P41" s="507">
        <v>0.79</v>
      </c>
      <c r="Q41" s="507">
        <v>0.79</v>
      </c>
      <c r="R41" s="507">
        <v>0.79</v>
      </c>
      <c r="S41" s="103"/>
      <c r="T41" s="103"/>
      <c r="U41" s="103"/>
    </row>
    <row r="42" spans="1:36" s="497" customFormat="1">
      <c r="A42" s="94" t="s">
        <v>272</v>
      </c>
      <c r="B42" s="511">
        <v>0.28999999999999998</v>
      </c>
      <c r="C42" s="511">
        <v>0.32</v>
      </c>
      <c r="D42" s="511">
        <v>0.32</v>
      </c>
      <c r="E42" s="511">
        <v>0.32</v>
      </c>
      <c r="F42" s="511">
        <v>0.32</v>
      </c>
      <c r="G42" s="511">
        <v>0.32</v>
      </c>
      <c r="H42" s="511">
        <v>0.32</v>
      </c>
      <c r="I42" s="511">
        <v>0.32</v>
      </c>
      <c r="J42" s="511">
        <v>0.32</v>
      </c>
      <c r="K42" s="511">
        <v>0.32</v>
      </c>
      <c r="L42" s="511">
        <v>0.32</v>
      </c>
      <c r="M42" s="511">
        <v>0.32</v>
      </c>
      <c r="N42" s="511">
        <v>0.32</v>
      </c>
      <c r="O42" s="511">
        <v>0.32</v>
      </c>
      <c r="P42" s="511">
        <v>0.32</v>
      </c>
      <c r="Q42" s="511">
        <v>0.32</v>
      </c>
      <c r="R42" s="511">
        <v>0.32</v>
      </c>
      <c r="S42" s="496"/>
      <c r="T42" s="496"/>
      <c r="U42" s="496"/>
    </row>
    <row r="43" spans="1:36" s="497" customFormat="1">
      <c r="A43" s="94"/>
      <c r="B43" s="94" t="s">
        <v>25</v>
      </c>
      <c r="C43" s="94" t="s">
        <v>25</v>
      </c>
      <c r="D43" s="94" t="s">
        <v>25</v>
      </c>
      <c r="E43" s="94" t="s">
        <v>25</v>
      </c>
      <c r="F43" s="94" t="s">
        <v>25</v>
      </c>
      <c r="G43" s="94" t="s">
        <v>25</v>
      </c>
      <c r="H43" s="94" t="s">
        <v>25</v>
      </c>
      <c r="I43" s="94" t="s">
        <v>25</v>
      </c>
      <c r="J43" s="94" t="s">
        <v>25</v>
      </c>
      <c r="K43" s="94" t="s">
        <v>25</v>
      </c>
      <c r="L43" s="94" t="s">
        <v>25</v>
      </c>
      <c r="M43" s="94" t="s">
        <v>25</v>
      </c>
      <c r="N43" s="94" t="s">
        <v>25</v>
      </c>
      <c r="O43" s="94" t="s">
        <v>25</v>
      </c>
      <c r="P43" s="94" t="s">
        <v>25</v>
      </c>
      <c r="Q43" s="94" t="s">
        <v>25</v>
      </c>
      <c r="R43" s="94" t="s">
        <v>25</v>
      </c>
      <c r="S43" s="496"/>
      <c r="T43" s="496"/>
      <c r="U43" s="496"/>
    </row>
    <row r="44" spans="1:36" s="497" customFormat="1">
      <c r="A44" s="108"/>
      <c r="B44" s="94"/>
      <c r="C44" s="94"/>
      <c r="D44" s="94"/>
      <c r="E44" s="94"/>
      <c r="F44" s="94"/>
      <c r="G44" s="94"/>
      <c r="H44" s="94"/>
      <c r="I44" s="94"/>
      <c r="J44" s="94"/>
      <c r="K44" s="94"/>
      <c r="L44" s="94"/>
      <c r="M44" s="94"/>
      <c r="N44" s="94"/>
      <c r="O44" s="94"/>
      <c r="P44" s="94"/>
      <c r="Q44" s="94"/>
      <c r="R44" s="94"/>
      <c r="S44" s="496"/>
      <c r="T44" s="496"/>
      <c r="U44" s="496"/>
    </row>
    <row r="45" spans="1:36">
      <c r="S45" s="102"/>
      <c r="T45" s="102"/>
      <c r="U45" s="102"/>
    </row>
    <row r="46" spans="1:36">
      <c r="A46" s="105"/>
      <c r="S46" s="98"/>
      <c r="T46" s="98"/>
      <c r="U46" s="98"/>
    </row>
    <row r="47" spans="1:36">
      <c r="A47" s="104"/>
      <c r="S47" s="98"/>
      <c r="T47" s="98"/>
      <c r="U47" s="98"/>
      <c r="Y47" s="94" t="str">
        <f>IF(Hospital=Sheet1!A6,"","Offsite")</f>
        <v>Offsite</v>
      </c>
      <c r="Z47" s="94" t="s">
        <v>80</v>
      </c>
    </row>
    <row r="48" spans="1:36">
      <c r="A48" s="104"/>
      <c r="S48" s="98"/>
      <c r="T48" s="98"/>
      <c r="U48" s="98"/>
      <c r="Z48" s="94" t="s">
        <v>272</v>
      </c>
    </row>
    <row r="49" spans="1:26">
      <c r="S49" s="100"/>
      <c r="T49" s="100"/>
      <c r="U49" s="100"/>
      <c r="Z49" s="94" t="s">
        <v>97</v>
      </c>
    </row>
    <row r="50" spans="1:26" s="495" customFormat="1">
      <c r="A50" s="94"/>
      <c r="B50" s="94"/>
      <c r="C50" s="94"/>
      <c r="D50" s="94"/>
      <c r="E50" s="94"/>
      <c r="F50" s="94"/>
      <c r="G50" s="94"/>
      <c r="H50" s="94"/>
      <c r="I50" s="94"/>
      <c r="J50" s="94"/>
      <c r="K50" s="94"/>
      <c r="L50" s="94"/>
      <c r="M50" s="94"/>
      <c r="N50" s="94"/>
      <c r="O50" s="94"/>
      <c r="P50" s="94"/>
      <c r="Q50" s="94"/>
      <c r="R50" s="94"/>
      <c r="S50" s="494"/>
      <c r="T50" s="494"/>
      <c r="U50" s="494"/>
    </row>
    <row r="51" spans="1:26">
      <c r="B51" s="101">
        <v>44105</v>
      </c>
      <c r="C51" s="101">
        <v>44470</v>
      </c>
      <c r="D51" s="101">
        <v>44835</v>
      </c>
      <c r="E51" s="101">
        <v>45200</v>
      </c>
      <c r="F51" s="101">
        <v>45566</v>
      </c>
      <c r="G51" s="101">
        <v>45931</v>
      </c>
      <c r="H51" s="101">
        <v>46296</v>
      </c>
      <c r="I51" s="101">
        <v>46661</v>
      </c>
      <c r="J51" s="101">
        <v>47027</v>
      </c>
      <c r="K51" s="101">
        <v>47392</v>
      </c>
      <c r="L51" s="101">
        <v>47757</v>
      </c>
      <c r="M51" s="101">
        <v>48122</v>
      </c>
      <c r="N51" s="101">
        <v>48488</v>
      </c>
      <c r="O51" s="101">
        <v>48853</v>
      </c>
      <c r="P51" s="101">
        <v>49218</v>
      </c>
      <c r="Q51" s="101">
        <v>49583</v>
      </c>
      <c r="R51" s="101">
        <v>49949</v>
      </c>
      <c r="S51" s="98"/>
      <c r="T51" s="98"/>
      <c r="U51" s="98"/>
    </row>
    <row r="52" spans="1:26">
      <c r="A52" s="500" t="s">
        <v>91</v>
      </c>
      <c r="B52" s="101">
        <v>44469</v>
      </c>
      <c r="C52" s="101">
        <v>44834</v>
      </c>
      <c r="D52" s="101">
        <v>45199</v>
      </c>
      <c r="E52" s="101">
        <v>45565</v>
      </c>
      <c r="F52" s="101">
        <v>45930</v>
      </c>
      <c r="G52" s="101">
        <v>46295</v>
      </c>
      <c r="H52" s="101">
        <v>46660</v>
      </c>
      <c r="I52" s="101">
        <v>47026</v>
      </c>
      <c r="J52" s="101">
        <v>47391</v>
      </c>
      <c r="K52" s="101">
        <v>47756</v>
      </c>
      <c r="L52" s="101">
        <v>48121</v>
      </c>
      <c r="M52" s="101">
        <v>48487</v>
      </c>
      <c r="N52" s="101">
        <v>48852</v>
      </c>
      <c r="O52" s="101">
        <v>49217</v>
      </c>
      <c r="P52" s="101">
        <v>49582</v>
      </c>
      <c r="Q52" s="101">
        <v>49948</v>
      </c>
      <c r="R52" s="101">
        <v>50313</v>
      </c>
    </row>
    <row r="53" spans="1:26">
      <c r="A53" s="504" t="s">
        <v>94</v>
      </c>
      <c r="B53" s="512">
        <v>0.32</v>
      </c>
      <c r="C53" s="512">
        <v>0.32</v>
      </c>
      <c r="D53" s="512">
        <v>0.32</v>
      </c>
      <c r="E53" s="512">
        <v>0.32</v>
      </c>
      <c r="F53" s="512">
        <v>0.32</v>
      </c>
      <c r="G53" s="512">
        <v>0.32</v>
      </c>
      <c r="H53" s="512">
        <v>0.32</v>
      </c>
      <c r="I53" s="512">
        <v>0.32</v>
      </c>
      <c r="J53" s="512">
        <v>0.32</v>
      </c>
      <c r="K53" s="512">
        <v>0.32</v>
      </c>
      <c r="L53" s="512">
        <v>0.32</v>
      </c>
      <c r="M53" s="512">
        <v>0.32</v>
      </c>
      <c r="N53" s="512">
        <v>0.32</v>
      </c>
      <c r="O53" s="512">
        <v>0.32</v>
      </c>
      <c r="P53" s="512">
        <v>0.32</v>
      </c>
      <c r="Q53" s="512">
        <v>0.32</v>
      </c>
      <c r="R53" s="512">
        <v>0.32</v>
      </c>
    </row>
    <row r="54" spans="1:26">
      <c r="A54" s="504" t="s">
        <v>93</v>
      </c>
      <c r="B54" s="505">
        <v>0.33</v>
      </c>
      <c r="C54" s="505">
        <v>0.33</v>
      </c>
      <c r="D54" s="505">
        <v>0.34</v>
      </c>
      <c r="E54" s="505">
        <v>0.34</v>
      </c>
      <c r="F54" s="505">
        <v>0.34</v>
      </c>
      <c r="G54" s="505">
        <v>0.34</v>
      </c>
      <c r="H54" s="505">
        <v>0.34</v>
      </c>
      <c r="I54" s="505">
        <v>0.34</v>
      </c>
      <c r="J54" s="505">
        <v>0.34</v>
      </c>
      <c r="K54" s="505">
        <v>0.34</v>
      </c>
      <c r="L54" s="505">
        <v>0.34</v>
      </c>
      <c r="M54" s="505">
        <v>0.34</v>
      </c>
      <c r="N54" s="505">
        <v>0.34</v>
      </c>
      <c r="O54" s="505">
        <v>0.34</v>
      </c>
      <c r="P54" s="505">
        <v>0.34</v>
      </c>
      <c r="Q54" s="505">
        <v>0.34</v>
      </c>
      <c r="R54" s="505">
        <v>0.34</v>
      </c>
    </row>
    <row r="55" spans="1:26">
      <c r="A55" s="504" t="s">
        <v>92</v>
      </c>
      <c r="B55" s="505">
        <v>0.12</v>
      </c>
      <c r="C55" s="505">
        <v>0.12</v>
      </c>
      <c r="D55" s="505">
        <v>0.12</v>
      </c>
      <c r="E55" s="505">
        <v>0.12</v>
      </c>
      <c r="F55" s="505">
        <v>0.12</v>
      </c>
      <c r="G55" s="505">
        <v>0.12</v>
      </c>
      <c r="H55" s="505">
        <v>0.12</v>
      </c>
      <c r="I55" s="505">
        <v>0.12</v>
      </c>
      <c r="J55" s="505">
        <v>0.12</v>
      </c>
      <c r="K55" s="505">
        <v>0.12</v>
      </c>
      <c r="L55" s="505">
        <v>0.12</v>
      </c>
      <c r="M55" s="505">
        <v>0.12</v>
      </c>
      <c r="N55" s="505">
        <v>0.12</v>
      </c>
      <c r="O55" s="505">
        <v>0.12</v>
      </c>
      <c r="P55" s="505">
        <v>0.12</v>
      </c>
      <c r="Q55" s="505">
        <v>0.12</v>
      </c>
      <c r="R55" s="505">
        <v>0.12</v>
      </c>
    </row>
    <row r="56" spans="1:26">
      <c r="A56" s="98" t="s">
        <v>25</v>
      </c>
      <c r="B56" s="102" t="s">
        <v>25</v>
      </c>
      <c r="C56" s="102" t="s">
        <v>25</v>
      </c>
      <c r="D56" s="102" t="s">
        <v>25</v>
      </c>
      <c r="E56" s="102" t="s">
        <v>25</v>
      </c>
      <c r="F56" s="102" t="s">
        <v>25</v>
      </c>
      <c r="G56" s="102" t="s">
        <v>25</v>
      </c>
      <c r="H56" s="102" t="s">
        <v>25</v>
      </c>
      <c r="I56" s="102" t="s">
        <v>25</v>
      </c>
      <c r="J56" s="102" t="s">
        <v>25</v>
      </c>
      <c r="K56" s="102" t="s">
        <v>25</v>
      </c>
      <c r="L56" s="102" t="s">
        <v>25</v>
      </c>
      <c r="M56" s="102" t="s">
        <v>25</v>
      </c>
      <c r="N56" s="102" t="s">
        <v>25</v>
      </c>
      <c r="O56" s="102" t="s">
        <v>25</v>
      </c>
      <c r="P56" s="102" t="s">
        <v>25</v>
      </c>
      <c r="Q56" s="102" t="s">
        <v>25</v>
      </c>
      <c r="R56" s="102" t="s">
        <v>25</v>
      </c>
    </row>
    <row r="57" spans="1:26">
      <c r="A57" s="98" t="s">
        <v>25</v>
      </c>
      <c r="B57" s="98" t="s">
        <v>25</v>
      </c>
      <c r="C57" s="98" t="s">
        <v>25</v>
      </c>
      <c r="D57" s="98" t="s">
        <v>25</v>
      </c>
      <c r="E57" s="98" t="s">
        <v>25</v>
      </c>
      <c r="F57" s="98" t="s">
        <v>25</v>
      </c>
      <c r="G57" s="98" t="s">
        <v>25</v>
      </c>
      <c r="H57" s="98" t="s">
        <v>25</v>
      </c>
      <c r="I57" s="98" t="s">
        <v>25</v>
      </c>
      <c r="J57" s="98" t="s">
        <v>25</v>
      </c>
      <c r="K57" s="98" t="s">
        <v>25</v>
      </c>
      <c r="L57" s="98" t="s">
        <v>25</v>
      </c>
      <c r="M57" s="98" t="s">
        <v>25</v>
      </c>
      <c r="N57" s="98" t="s">
        <v>25</v>
      </c>
      <c r="O57" s="98" t="s">
        <v>25</v>
      </c>
      <c r="P57" s="98" t="s">
        <v>25</v>
      </c>
      <c r="Q57" s="98" t="s">
        <v>25</v>
      </c>
      <c r="R57" s="98" t="s">
        <v>25</v>
      </c>
    </row>
    <row r="58" spans="1:26">
      <c r="A58" s="98" t="s">
        <v>25</v>
      </c>
      <c r="B58" s="98" t="s">
        <v>25</v>
      </c>
      <c r="C58" s="98" t="s">
        <v>25</v>
      </c>
      <c r="D58" s="98" t="s">
        <v>25</v>
      </c>
      <c r="E58" s="98" t="s">
        <v>25</v>
      </c>
      <c r="F58" s="98" t="s">
        <v>25</v>
      </c>
      <c r="G58" s="98" t="s">
        <v>25</v>
      </c>
      <c r="H58" s="98" t="s">
        <v>25</v>
      </c>
      <c r="I58" s="98" t="s">
        <v>25</v>
      </c>
      <c r="J58" s="98" t="s">
        <v>25</v>
      </c>
      <c r="K58" s="98" t="s">
        <v>25</v>
      </c>
      <c r="L58" s="98" t="s">
        <v>25</v>
      </c>
      <c r="M58" s="98" t="s">
        <v>25</v>
      </c>
      <c r="N58" s="98" t="s">
        <v>25</v>
      </c>
      <c r="O58" s="98" t="s">
        <v>25</v>
      </c>
      <c r="P58" s="98" t="s">
        <v>25</v>
      </c>
      <c r="Q58" s="98" t="s">
        <v>25</v>
      </c>
      <c r="R58" s="98" t="s">
        <v>25</v>
      </c>
    </row>
    <row r="59" spans="1:26">
      <c r="B59" s="101">
        <v>44105</v>
      </c>
      <c r="C59" s="101">
        <v>44470</v>
      </c>
      <c r="D59" s="101">
        <v>44835</v>
      </c>
      <c r="E59" s="101">
        <v>45200</v>
      </c>
      <c r="F59" s="101">
        <v>45566</v>
      </c>
      <c r="G59" s="101">
        <v>45931</v>
      </c>
      <c r="H59" s="101">
        <v>46296</v>
      </c>
      <c r="I59" s="101">
        <v>46661</v>
      </c>
      <c r="J59" s="101">
        <v>47027</v>
      </c>
      <c r="K59" s="101">
        <v>47392</v>
      </c>
      <c r="L59" s="101">
        <v>47757</v>
      </c>
      <c r="M59" s="101">
        <v>48122</v>
      </c>
      <c r="N59" s="101">
        <v>48488</v>
      </c>
      <c r="O59" s="101">
        <v>48853</v>
      </c>
      <c r="P59" s="101">
        <v>49218</v>
      </c>
      <c r="Q59" s="101">
        <v>49583</v>
      </c>
      <c r="R59" s="101">
        <v>49949</v>
      </c>
    </row>
    <row r="60" spans="1:26">
      <c r="A60" s="525" t="s">
        <v>91</v>
      </c>
      <c r="B60" s="101">
        <v>44469</v>
      </c>
      <c r="C60" s="101">
        <v>44834</v>
      </c>
      <c r="D60" s="101">
        <v>45199</v>
      </c>
      <c r="E60" s="101">
        <v>45565</v>
      </c>
      <c r="F60" s="101">
        <v>45930</v>
      </c>
      <c r="G60" s="101">
        <v>46295</v>
      </c>
      <c r="H60" s="101">
        <v>46660</v>
      </c>
      <c r="I60" s="101">
        <v>47026</v>
      </c>
      <c r="J60" s="101">
        <v>47391</v>
      </c>
      <c r="K60" s="101">
        <v>47756</v>
      </c>
      <c r="L60" s="101">
        <v>48121</v>
      </c>
      <c r="M60" s="101">
        <v>48487</v>
      </c>
      <c r="N60" s="101">
        <v>48852</v>
      </c>
      <c r="O60" s="101">
        <v>49217</v>
      </c>
      <c r="P60" s="101">
        <v>49582</v>
      </c>
      <c r="Q60" s="101">
        <v>49948</v>
      </c>
      <c r="R60" s="101">
        <v>50313</v>
      </c>
    </row>
    <row r="61" spans="1:26">
      <c r="A61" s="94" t="s">
        <v>80</v>
      </c>
      <c r="B61" s="506">
        <v>0.74</v>
      </c>
      <c r="C61" s="506">
        <v>0.74</v>
      </c>
      <c r="D61" s="507">
        <v>0.74</v>
      </c>
      <c r="E61" s="507">
        <v>0.74</v>
      </c>
      <c r="F61" s="507">
        <v>0.74</v>
      </c>
      <c r="G61" s="507">
        <v>0.74</v>
      </c>
      <c r="H61" s="507">
        <v>0.74</v>
      </c>
      <c r="I61" s="507">
        <v>0.74</v>
      </c>
      <c r="J61" s="507">
        <v>0.74</v>
      </c>
      <c r="K61" s="507">
        <v>0.74</v>
      </c>
      <c r="L61" s="507">
        <v>0.74</v>
      </c>
      <c r="M61" s="507">
        <v>0.74</v>
      </c>
      <c r="N61" s="507">
        <v>0.74</v>
      </c>
      <c r="O61" s="507">
        <v>0.74</v>
      </c>
      <c r="P61" s="507">
        <v>0.74</v>
      </c>
      <c r="Q61" s="507">
        <v>0.74</v>
      </c>
      <c r="R61" s="507">
        <v>0.74</v>
      </c>
    </row>
    <row r="62" spans="1:26">
      <c r="A62" s="98"/>
      <c r="B62" s="98"/>
      <c r="C62" s="98"/>
      <c r="D62" s="98"/>
      <c r="E62" s="98"/>
      <c r="F62" s="98"/>
      <c r="G62" s="98"/>
      <c r="H62" s="98"/>
      <c r="I62" s="98"/>
      <c r="J62" s="98"/>
      <c r="K62" s="98"/>
      <c r="L62" s="98"/>
      <c r="M62" s="98"/>
      <c r="N62" s="98"/>
      <c r="O62" s="98"/>
      <c r="P62" s="98"/>
      <c r="Q62" s="98"/>
      <c r="R62" s="98"/>
    </row>
    <row r="65" spans="1:18">
      <c r="B65" s="101">
        <v>44105</v>
      </c>
      <c r="C65" s="101">
        <v>44470</v>
      </c>
      <c r="D65" s="101">
        <v>44835</v>
      </c>
      <c r="E65" s="101">
        <v>45200</v>
      </c>
      <c r="F65" s="101">
        <v>45566</v>
      </c>
      <c r="G65" s="101">
        <v>45931</v>
      </c>
      <c r="H65" s="101">
        <v>46296</v>
      </c>
      <c r="I65" s="101">
        <v>46661</v>
      </c>
      <c r="J65" s="101">
        <v>47027</v>
      </c>
      <c r="K65" s="101">
        <v>47392</v>
      </c>
      <c r="L65" s="101">
        <v>47757</v>
      </c>
      <c r="M65" s="101">
        <v>48122</v>
      </c>
      <c r="N65" s="101">
        <v>48488</v>
      </c>
      <c r="O65" s="101">
        <v>48853</v>
      </c>
      <c r="P65" s="101">
        <v>49218</v>
      </c>
      <c r="Q65" s="101">
        <v>49583</v>
      </c>
      <c r="R65" s="101">
        <v>49949</v>
      </c>
    </row>
    <row r="66" spans="1:18">
      <c r="A66" s="500" t="s">
        <v>269</v>
      </c>
      <c r="B66" s="101">
        <v>44469</v>
      </c>
      <c r="C66" s="101">
        <v>44834</v>
      </c>
      <c r="D66" s="101">
        <v>45199</v>
      </c>
      <c r="E66" s="101">
        <v>45565</v>
      </c>
      <c r="F66" s="101">
        <v>45930</v>
      </c>
      <c r="G66" s="101">
        <v>46295</v>
      </c>
      <c r="H66" s="101">
        <v>46660</v>
      </c>
      <c r="I66" s="101">
        <v>47026</v>
      </c>
      <c r="J66" s="101">
        <v>47391</v>
      </c>
      <c r="K66" s="101">
        <v>47756</v>
      </c>
      <c r="L66" s="101">
        <v>48121</v>
      </c>
      <c r="M66" s="101">
        <v>48487</v>
      </c>
      <c r="N66" s="101">
        <v>48852</v>
      </c>
      <c r="O66" s="101">
        <v>49217</v>
      </c>
      <c r="P66" s="101">
        <v>49582</v>
      </c>
      <c r="Q66" s="101">
        <v>49948</v>
      </c>
      <c r="R66" s="101">
        <v>50313</v>
      </c>
    </row>
    <row r="67" spans="1:18">
      <c r="A67" s="94" t="s">
        <v>50</v>
      </c>
      <c r="B67" s="512">
        <v>0.32</v>
      </c>
      <c r="C67" s="512">
        <v>0.35</v>
      </c>
      <c r="D67" s="512">
        <v>0.35</v>
      </c>
      <c r="E67" s="512">
        <v>0.35</v>
      </c>
      <c r="F67" s="512">
        <v>0.35</v>
      </c>
      <c r="G67" s="512">
        <v>0.35</v>
      </c>
      <c r="H67" s="512">
        <v>0.35</v>
      </c>
      <c r="I67" s="512">
        <v>0.35</v>
      </c>
      <c r="J67" s="512">
        <v>0.35</v>
      </c>
      <c r="K67" s="512">
        <v>0.35</v>
      </c>
      <c r="L67" s="512">
        <v>0.35</v>
      </c>
      <c r="M67" s="512">
        <v>0.35</v>
      </c>
      <c r="N67" s="512">
        <v>0.35</v>
      </c>
      <c r="O67" s="512">
        <v>0.35</v>
      </c>
      <c r="P67" s="512">
        <v>0.35</v>
      </c>
      <c r="Q67" s="512">
        <v>0.35</v>
      </c>
      <c r="R67" s="512">
        <v>0.35</v>
      </c>
    </row>
    <row r="68" spans="1:18">
      <c r="A68" s="94" t="s">
        <v>100</v>
      </c>
      <c r="B68" s="512">
        <v>0.34</v>
      </c>
      <c r="C68" s="512">
        <v>0.35</v>
      </c>
      <c r="D68" s="512">
        <v>0.35</v>
      </c>
      <c r="E68" s="512">
        <v>0.35</v>
      </c>
      <c r="F68" s="512">
        <v>0.35</v>
      </c>
      <c r="G68" s="512">
        <v>0.35</v>
      </c>
      <c r="H68" s="512">
        <v>0.35</v>
      </c>
      <c r="I68" s="512">
        <v>0.35</v>
      </c>
      <c r="J68" s="512">
        <v>0.35</v>
      </c>
      <c r="K68" s="512">
        <v>0.35</v>
      </c>
      <c r="L68" s="512">
        <v>0.35</v>
      </c>
      <c r="M68" s="512">
        <v>0.35</v>
      </c>
      <c r="N68" s="512">
        <v>0.35</v>
      </c>
      <c r="O68" s="512">
        <v>0.35</v>
      </c>
      <c r="P68" s="512">
        <v>0.35</v>
      </c>
      <c r="Q68" s="512">
        <v>0.35</v>
      </c>
      <c r="R68" s="512">
        <v>0.35</v>
      </c>
    </row>
    <row r="69" spans="1:18">
      <c r="A69" s="94" t="s">
        <v>92</v>
      </c>
      <c r="B69" s="502">
        <v>0.12</v>
      </c>
      <c r="C69" s="502">
        <v>0.12</v>
      </c>
      <c r="D69" s="502">
        <v>0.12</v>
      </c>
      <c r="E69" s="502">
        <v>0.12</v>
      </c>
      <c r="F69" s="502">
        <v>0.12</v>
      </c>
      <c r="G69" s="502">
        <v>0.12</v>
      </c>
      <c r="H69" s="502">
        <v>0.12</v>
      </c>
      <c r="I69" s="502">
        <v>0.12</v>
      </c>
      <c r="J69" s="502">
        <v>0.12</v>
      </c>
      <c r="K69" s="502">
        <v>0.12</v>
      </c>
      <c r="L69" s="502">
        <v>0.12</v>
      </c>
      <c r="M69" s="502">
        <v>0.12</v>
      </c>
      <c r="N69" s="502">
        <v>0.12</v>
      </c>
      <c r="O69" s="502">
        <v>0.12</v>
      </c>
      <c r="P69" s="502">
        <v>0.12</v>
      </c>
      <c r="Q69" s="502">
        <v>0.12</v>
      </c>
      <c r="R69" s="502">
        <v>0.12</v>
      </c>
    </row>
    <row r="70" spans="1:18">
      <c r="A70" s="94" t="s">
        <v>25</v>
      </c>
      <c r="B70" s="537" t="s">
        <v>25</v>
      </c>
      <c r="C70" s="537" t="s">
        <v>25</v>
      </c>
      <c r="D70" s="537" t="s">
        <v>25</v>
      </c>
      <c r="E70" s="537" t="s">
        <v>25</v>
      </c>
      <c r="F70" s="537" t="s">
        <v>25</v>
      </c>
      <c r="G70" s="537" t="s">
        <v>25</v>
      </c>
      <c r="H70" s="537" t="s">
        <v>25</v>
      </c>
      <c r="I70" s="537" t="s">
        <v>25</v>
      </c>
      <c r="J70" s="537" t="s">
        <v>25</v>
      </c>
      <c r="K70" s="537" t="s">
        <v>25</v>
      </c>
      <c r="L70" s="537" t="s">
        <v>25</v>
      </c>
      <c r="M70" s="537" t="s">
        <v>25</v>
      </c>
      <c r="N70" s="537" t="s">
        <v>25</v>
      </c>
      <c r="O70" s="537" t="s">
        <v>25</v>
      </c>
      <c r="P70" s="537" t="s">
        <v>25</v>
      </c>
      <c r="Q70" s="537" t="s">
        <v>25</v>
      </c>
      <c r="R70" s="537" t="s">
        <v>25</v>
      </c>
    </row>
    <row r="71" spans="1:18">
      <c r="A71" s="94" t="s">
        <v>25</v>
      </c>
      <c r="B71" s="537" t="s">
        <v>25</v>
      </c>
      <c r="C71" s="537" t="s">
        <v>25</v>
      </c>
      <c r="D71" s="537" t="s">
        <v>25</v>
      </c>
      <c r="E71" s="537" t="s">
        <v>25</v>
      </c>
      <c r="F71" s="537" t="s">
        <v>25</v>
      </c>
      <c r="G71" s="537" t="s">
        <v>25</v>
      </c>
      <c r="H71" s="537" t="s">
        <v>25</v>
      </c>
      <c r="I71" s="537" t="s">
        <v>25</v>
      </c>
      <c r="J71" s="537" t="s">
        <v>25</v>
      </c>
      <c r="K71" s="537" t="s">
        <v>25</v>
      </c>
      <c r="L71" s="537" t="s">
        <v>25</v>
      </c>
      <c r="M71" s="537" t="s">
        <v>25</v>
      </c>
      <c r="N71" s="537" t="s">
        <v>25</v>
      </c>
      <c r="O71" s="537" t="s">
        <v>25</v>
      </c>
      <c r="P71" s="537" t="s">
        <v>25</v>
      </c>
      <c r="Q71" s="537" t="s">
        <v>25</v>
      </c>
      <c r="R71" s="537" t="s">
        <v>25</v>
      </c>
    </row>
    <row r="72" spans="1:18">
      <c r="A72" s="94" t="s">
        <v>25</v>
      </c>
      <c r="B72" s="537" t="s">
        <v>25</v>
      </c>
      <c r="C72" s="537" t="s">
        <v>25</v>
      </c>
      <c r="D72" s="537" t="s">
        <v>25</v>
      </c>
      <c r="E72" s="537" t="s">
        <v>25</v>
      </c>
      <c r="F72" s="537" t="s">
        <v>25</v>
      </c>
      <c r="G72" s="537" t="s">
        <v>25</v>
      </c>
      <c r="H72" s="537" t="s">
        <v>25</v>
      </c>
      <c r="I72" s="537" t="s">
        <v>25</v>
      </c>
      <c r="J72" s="537" t="s">
        <v>25</v>
      </c>
      <c r="K72" s="537" t="s">
        <v>25</v>
      </c>
      <c r="L72" s="537" t="s">
        <v>25</v>
      </c>
      <c r="M72" s="537" t="s">
        <v>25</v>
      </c>
      <c r="N72" s="537" t="s">
        <v>25</v>
      </c>
      <c r="O72" s="537" t="s">
        <v>25</v>
      </c>
      <c r="P72" s="537" t="s">
        <v>25</v>
      </c>
      <c r="Q72" s="537" t="s">
        <v>25</v>
      </c>
      <c r="R72" s="537" t="s">
        <v>25</v>
      </c>
    </row>
    <row r="73" spans="1:18">
      <c r="A73" s="94" t="s">
        <v>25</v>
      </c>
      <c r="B73" s="94" t="s">
        <v>25</v>
      </c>
      <c r="C73" s="94" t="s">
        <v>25</v>
      </c>
      <c r="D73" s="94" t="s">
        <v>25</v>
      </c>
      <c r="E73" s="94" t="s">
        <v>25</v>
      </c>
      <c r="F73" s="94" t="s">
        <v>25</v>
      </c>
      <c r="G73" s="94" t="s">
        <v>25</v>
      </c>
      <c r="H73" s="94" t="s">
        <v>25</v>
      </c>
      <c r="I73" s="94" t="s">
        <v>25</v>
      </c>
      <c r="J73" s="94" t="s">
        <v>25</v>
      </c>
      <c r="K73" s="94" t="s">
        <v>25</v>
      </c>
      <c r="L73" s="94" t="s">
        <v>25</v>
      </c>
      <c r="M73" s="94" t="s">
        <v>25</v>
      </c>
      <c r="N73" s="94" t="s">
        <v>25</v>
      </c>
      <c r="O73" s="94" t="s">
        <v>25</v>
      </c>
      <c r="P73" s="94" t="s">
        <v>25</v>
      </c>
      <c r="Q73" s="94" t="s">
        <v>25</v>
      </c>
      <c r="R73" s="94" t="s">
        <v>25</v>
      </c>
    </row>
    <row r="75" spans="1:18">
      <c r="B75" s="101">
        <v>44105</v>
      </c>
      <c r="C75" s="101">
        <v>44470</v>
      </c>
      <c r="D75" s="101">
        <v>44835</v>
      </c>
      <c r="E75" s="101">
        <v>45200</v>
      </c>
      <c r="F75" s="101">
        <v>45566</v>
      </c>
      <c r="G75" s="101">
        <v>45931</v>
      </c>
      <c r="H75" s="101">
        <v>46296</v>
      </c>
      <c r="I75" s="101">
        <v>46661</v>
      </c>
      <c r="J75" s="101">
        <v>47027</v>
      </c>
      <c r="K75" s="101">
        <v>47392</v>
      </c>
      <c r="L75" s="101">
        <v>47757</v>
      </c>
      <c r="M75" s="101">
        <v>48122</v>
      </c>
      <c r="N75" s="101">
        <v>48488</v>
      </c>
      <c r="O75" s="101">
        <v>48853</v>
      </c>
      <c r="P75" s="101">
        <v>49218</v>
      </c>
      <c r="Q75" s="101">
        <v>49583</v>
      </c>
      <c r="R75" s="101">
        <v>49949</v>
      </c>
    </row>
    <row r="76" spans="1:18">
      <c r="A76" s="500" t="s">
        <v>269</v>
      </c>
      <c r="B76" s="101">
        <v>44469</v>
      </c>
      <c r="C76" s="101">
        <v>44834</v>
      </c>
      <c r="D76" s="101">
        <v>45199</v>
      </c>
      <c r="E76" s="101">
        <v>45565</v>
      </c>
      <c r="F76" s="101">
        <v>45930</v>
      </c>
      <c r="G76" s="101">
        <v>46295</v>
      </c>
      <c r="H76" s="101">
        <v>46660</v>
      </c>
      <c r="I76" s="101">
        <v>47026</v>
      </c>
      <c r="J76" s="101">
        <v>47391</v>
      </c>
      <c r="K76" s="101">
        <v>47756</v>
      </c>
      <c r="L76" s="101">
        <v>48121</v>
      </c>
      <c r="M76" s="101">
        <v>48487</v>
      </c>
      <c r="N76" s="101">
        <v>48852</v>
      </c>
      <c r="O76" s="101">
        <v>49217</v>
      </c>
      <c r="P76" s="101">
        <v>49582</v>
      </c>
      <c r="Q76" s="101">
        <v>49948</v>
      </c>
      <c r="R76" s="101">
        <v>50313</v>
      </c>
    </row>
    <row r="77" spans="1:18">
      <c r="A77" s="94" t="s">
        <v>276</v>
      </c>
      <c r="B77" s="507">
        <v>0.6</v>
      </c>
      <c r="C77" s="507">
        <v>0.6</v>
      </c>
      <c r="D77" s="507">
        <v>0.6</v>
      </c>
      <c r="E77" s="507">
        <v>0.6</v>
      </c>
      <c r="F77" s="507">
        <v>0.6</v>
      </c>
      <c r="G77" s="507">
        <v>0.6</v>
      </c>
      <c r="H77" s="507">
        <v>0.6</v>
      </c>
      <c r="I77" s="507">
        <v>0.6</v>
      </c>
      <c r="J77" s="507">
        <v>0.6</v>
      </c>
      <c r="K77" s="507">
        <v>0.6</v>
      </c>
      <c r="L77" s="507">
        <v>0.6</v>
      </c>
      <c r="M77" s="507">
        <v>0.6</v>
      </c>
      <c r="N77" s="507">
        <v>0.6</v>
      </c>
      <c r="O77" s="507">
        <v>0.6</v>
      </c>
      <c r="P77" s="507">
        <v>0.6</v>
      </c>
      <c r="Q77" s="507">
        <v>0.6</v>
      </c>
      <c r="R77" s="507">
        <v>0.6</v>
      </c>
    </row>
    <row r="78" spans="1:18">
      <c r="A78" s="94" t="s">
        <v>277</v>
      </c>
      <c r="B78" s="511">
        <v>0.35</v>
      </c>
      <c r="C78" s="511">
        <v>0.35</v>
      </c>
      <c r="D78" s="511">
        <v>0.35</v>
      </c>
      <c r="E78" s="511">
        <v>0.35</v>
      </c>
      <c r="F78" s="511">
        <v>0.35</v>
      </c>
      <c r="G78" s="511">
        <v>0.35</v>
      </c>
      <c r="H78" s="511">
        <v>0.35</v>
      </c>
      <c r="I78" s="511">
        <v>0.35</v>
      </c>
      <c r="J78" s="511">
        <v>0.35</v>
      </c>
      <c r="K78" s="511">
        <v>0.35</v>
      </c>
      <c r="L78" s="511">
        <v>0.35</v>
      </c>
      <c r="M78" s="511">
        <v>0.35</v>
      </c>
      <c r="N78" s="511">
        <v>0.35</v>
      </c>
      <c r="O78" s="511">
        <v>0.35</v>
      </c>
      <c r="P78" s="511">
        <v>0.35</v>
      </c>
      <c r="Q78" s="511">
        <v>0.35</v>
      </c>
      <c r="R78" s="511">
        <v>0.35</v>
      </c>
    </row>
    <row r="79" spans="1:18">
      <c r="B79" s="498" t="s">
        <v>25</v>
      </c>
      <c r="C79" s="498" t="s">
        <v>25</v>
      </c>
      <c r="D79" s="498" t="s">
        <v>25</v>
      </c>
      <c r="E79" s="498" t="s">
        <v>25</v>
      </c>
      <c r="F79" s="498" t="s">
        <v>25</v>
      </c>
      <c r="G79" s="498" t="s">
        <v>25</v>
      </c>
      <c r="H79" s="498" t="s">
        <v>25</v>
      </c>
      <c r="I79" s="498" t="s">
        <v>25</v>
      </c>
      <c r="J79" s="498" t="s">
        <v>25</v>
      </c>
      <c r="K79" s="498" t="s">
        <v>25</v>
      </c>
      <c r="L79" s="498" t="s">
        <v>25</v>
      </c>
      <c r="M79" s="498" t="s">
        <v>25</v>
      </c>
      <c r="N79" s="498" t="s">
        <v>25</v>
      </c>
      <c r="O79" s="498" t="s">
        <v>25</v>
      </c>
      <c r="P79" s="498" t="s">
        <v>25</v>
      </c>
      <c r="Q79" s="498" t="s">
        <v>25</v>
      </c>
      <c r="R79" s="498" t="s">
        <v>25</v>
      </c>
    </row>
    <row r="83" spans="1:18">
      <c r="A83" s="526"/>
      <c r="B83" s="101">
        <v>44105</v>
      </c>
      <c r="C83" s="101">
        <v>44470</v>
      </c>
      <c r="D83" s="101">
        <v>44835</v>
      </c>
      <c r="E83" s="101">
        <v>45200</v>
      </c>
      <c r="F83" s="101">
        <v>45566</v>
      </c>
      <c r="G83" s="101">
        <v>45931</v>
      </c>
      <c r="H83" s="101">
        <v>46296</v>
      </c>
      <c r="I83" s="101">
        <v>46661</v>
      </c>
      <c r="J83" s="101">
        <v>47027</v>
      </c>
      <c r="K83" s="101">
        <v>47392</v>
      </c>
      <c r="L83" s="101">
        <v>47757</v>
      </c>
      <c r="M83" s="101">
        <v>48122</v>
      </c>
      <c r="N83" s="101">
        <v>48488</v>
      </c>
      <c r="O83" s="101">
        <v>48853</v>
      </c>
      <c r="P83" s="101">
        <v>49218</v>
      </c>
      <c r="Q83" s="101">
        <v>49583</v>
      </c>
      <c r="R83" s="101">
        <v>49949</v>
      </c>
    </row>
    <row r="84" spans="1:18" s="95" customFormat="1">
      <c r="A84" s="500" t="s">
        <v>274</v>
      </c>
      <c r="B84" s="101">
        <v>44469</v>
      </c>
      <c r="C84" s="101">
        <v>44834</v>
      </c>
      <c r="D84" s="101">
        <v>45199</v>
      </c>
      <c r="E84" s="101">
        <v>45565</v>
      </c>
      <c r="F84" s="101">
        <v>45930</v>
      </c>
      <c r="G84" s="101">
        <v>46295</v>
      </c>
      <c r="H84" s="101">
        <v>46660</v>
      </c>
      <c r="I84" s="101">
        <v>47026</v>
      </c>
      <c r="J84" s="101">
        <v>47391</v>
      </c>
      <c r="K84" s="101">
        <v>47756</v>
      </c>
      <c r="L84" s="101">
        <v>48121</v>
      </c>
      <c r="M84" s="101">
        <v>48487</v>
      </c>
      <c r="N84" s="101">
        <v>48852</v>
      </c>
      <c r="O84" s="101">
        <v>49217</v>
      </c>
      <c r="P84" s="101">
        <v>49582</v>
      </c>
      <c r="Q84" s="101">
        <v>49948</v>
      </c>
      <c r="R84" s="101">
        <v>50313</v>
      </c>
    </row>
    <row r="85" spans="1:18" s="95" customFormat="1">
      <c r="A85" s="504" t="s">
        <v>275</v>
      </c>
      <c r="B85" s="508">
        <v>0.32</v>
      </c>
      <c r="C85" s="507">
        <v>0.31</v>
      </c>
      <c r="D85" s="507">
        <v>0.31</v>
      </c>
      <c r="E85" s="507">
        <v>0.31</v>
      </c>
      <c r="F85" s="507">
        <v>0.31</v>
      </c>
      <c r="G85" s="507">
        <v>0.31</v>
      </c>
      <c r="H85" s="507">
        <v>0.31</v>
      </c>
      <c r="I85" s="507">
        <v>0.31</v>
      </c>
      <c r="J85" s="507">
        <v>0.31</v>
      </c>
      <c r="K85" s="507">
        <v>0.31</v>
      </c>
      <c r="L85" s="507">
        <v>0.31</v>
      </c>
      <c r="M85" s="507">
        <v>0.31</v>
      </c>
      <c r="N85" s="507">
        <v>0.31</v>
      </c>
      <c r="O85" s="507">
        <v>0.31</v>
      </c>
      <c r="P85" s="507">
        <v>0.31</v>
      </c>
      <c r="Q85" s="507">
        <v>0.31</v>
      </c>
      <c r="R85" s="507">
        <v>0.31</v>
      </c>
    </row>
    <row r="86" spans="1:18" s="95" customFormat="1">
      <c r="A86" s="504" t="s">
        <v>25</v>
      </c>
      <c r="B86" s="540" t="s">
        <v>25</v>
      </c>
      <c r="C86" s="540" t="s">
        <v>25</v>
      </c>
      <c r="D86" s="540" t="s">
        <v>25</v>
      </c>
      <c r="E86" s="540" t="s">
        <v>25</v>
      </c>
      <c r="F86" s="540" t="s">
        <v>25</v>
      </c>
      <c r="G86" s="540" t="s">
        <v>25</v>
      </c>
      <c r="H86" s="540" t="s">
        <v>25</v>
      </c>
      <c r="I86" s="540" t="s">
        <v>25</v>
      </c>
      <c r="J86" s="540" t="s">
        <v>25</v>
      </c>
      <c r="K86" s="540" t="s">
        <v>25</v>
      </c>
      <c r="L86" s="540" t="s">
        <v>25</v>
      </c>
      <c r="M86" s="540" t="s">
        <v>25</v>
      </c>
      <c r="N86" s="540" t="s">
        <v>25</v>
      </c>
      <c r="O86" s="540" t="s">
        <v>25</v>
      </c>
      <c r="P86" s="540" t="s">
        <v>25</v>
      </c>
      <c r="Q86" s="540" t="s">
        <v>25</v>
      </c>
      <c r="R86" s="540" t="s">
        <v>25</v>
      </c>
    </row>
    <row r="87" spans="1:18" s="95" customFormat="1">
      <c r="A87" s="504" t="s">
        <v>25</v>
      </c>
      <c r="B87" s="540" t="s">
        <v>25</v>
      </c>
      <c r="C87" s="540" t="s">
        <v>25</v>
      </c>
      <c r="D87" s="540" t="s">
        <v>25</v>
      </c>
      <c r="E87" s="540" t="s">
        <v>25</v>
      </c>
      <c r="F87" s="540" t="s">
        <v>25</v>
      </c>
      <c r="G87" s="540" t="s">
        <v>25</v>
      </c>
      <c r="H87" s="540" t="s">
        <v>25</v>
      </c>
      <c r="I87" s="540" t="s">
        <v>25</v>
      </c>
      <c r="J87" s="540" t="s">
        <v>25</v>
      </c>
      <c r="K87" s="540" t="s">
        <v>25</v>
      </c>
      <c r="L87" s="540" t="s">
        <v>25</v>
      </c>
      <c r="M87" s="540" t="s">
        <v>25</v>
      </c>
      <c r="N87" s="540" t="s">
        <v>25</v>
      </c>
      <c r="O87" s="540" t="s">
        <v>25</v>
      </c>
      <c r="P87" s="540" t="s">
        <v>25</v>
      </c>
      <c r="Q87" s="540" t="s">
        <v>25</v>
      </c>
      <c r="R87" s="540" t="s">
        <v>25</v>
      </c>
    </row>
    <row r="88" spans="1:18" s="95" customFormat="1">
      <c r="A88" s="107" t="s">
        <v>25</v>
      </c>
      <c r="B88" s="107" t="s">
        <v>25</v>
      </c>
      <c r="C88" s="107" t="s">
        <v>25</v>
      </c>
      <c r="D88" s="107" t="s">
        <v>25</v>
      </c>
      <c r="E88" s="107" t="s">
        <v>25</v>
      </c>
      <c r="F88" s="107" t="s">
        <v>25</v>
      </c>
      <c r="G88" s="107" t="s">
        <v>25</v>
      </c>
      <c r="H88" s="107" t="s">
        <v>25</v>
      </c>
      <c r="I88" s="107" t="s">
        <v>25</v>
      </c>
      <c r="J88" s="107" t="s">
        <v>25</v>
      </c>
      <c r="K88" s="107" t="s">
        <v>25</v>
      </c>
      <c r="L88" s="107" t="s">
        <v>25</v>
      </c>
      <c r="M88" s="107" t="s">
        <v>25</v>
      </c>
      <c r="N88" s="107" t="s">
        <v>25</v>
      </c>
      <c r="O88" s="107" t="s">
        <v>25</v>
      </c>
      <c r="P88" s="107" t="s">
        <v>25</v>
      </c>
      <c r="Q88" s="107" t="s">
        <v>25</v>
      </c>
      <c r="R88" s="107" t="s">
        <v>25</v>
      </c>
    </row>
    <row r="89" spans="1:18" s="95" customFormat="1">
      <c r="A89" s="107" t="s">
        <v>25</v>
      </c>
      <c r="B89" s="541" t="s">
        <v>25</v>
      </c>
      <c r="C89" s="94" t="s">
        <v>25</v>
      </c>
      <c r="D89" s="94" t="s">
        <v>25</v>
      </c>
      <c r="E89" s="94" t="s">
        <v>25</v>
      </c>
      <c r="F89" s="94" t="s">
        <v>25</v>
      </c>
      <c r="G89" s="94" t="s">
        <v>25</v>
      </c>
      <c r="H89" s="94" t="s">
        <v>25</v>
      </c>
      <c r="I89" s="94" t="s">
        <v>25</v>
      </c>
      <c r="J89" s="94" t="s">
        <v>25</v>
      </c>
      <c r="K89" s="94" t="s">
        <v>25</v>
      </c>
      <c r="L89" s="94" t="s">
        <v>25</v>
      </c>
      <c r="M89" s="94" t="s">
        <v>25</v>
      </c>
      <c r="N89" s="94" t="s">
        <v>25</v>
      </c>
      <c r="O89" s="94" t="s">
        <v>25</v>
      </c>
      <c r="P89" s="94" t="s">
        <v>25</v>
      </c>
      <c r="Q89" s="94" t="s">
        <v>25</v>
      </c>
      <c r="R89" s="94" t="s">
        <v>25</v>
      </c>
    </row>
    <row r="90" spans="1:18" s="95" customFormat="1">
      <c r="A90" s="542" t="s">
        <v>25</v>
      </c>
      <c r="B90" s="107" t="s">
        <v>25</v>
      </c>
      <c r="C90" s="94" t="s">
        <v>25</v>
      </c>
      <c r="D90" s="94" t="s">
        <v>25</v>
      </c>
      <c r="E90" s="94" t="s">
        <v>25</v>
      </c>
      <c r="F90" s="94" t="s">
        <v>25</v>
      </c>
      <c r="G90" s="94" t="s">
        <v>25</v>
      </c>
      <c r="H90" s="94" t="s">
        <v>25</v>
      </c>
      <c r="I90" s="94" t="s">
        <v>25</v>
      </c>
      <c r="J90" s="94" t="s">
        <v>25</v>
      </c>
      <c r="K90" s="94" t="s">
        <v>25</v>
      </c>
      <c r="L90" s="94" t="s">
        <v>25</v>
      </c>
      <c r="M90" s="94" t="s">
        <v>25</v>
      </c>
      <c r="N90" s="94" t="s">
        <v>25</v>
      </c>
      <c r="O90" s="94" t="s">
        <v>25</v>
      </c>
      <c r="P90" s="94" t="s">
        <v>25</v>
      </c>
      <c r="Q90" s="94" t="s">
        <v>25</v>
      </c>
      <c r="R90" s="94" t="s">
        <v>25</v>
      </c>
    </row>
    <row r="91" spans="1:18" s="95" customFormat="1">
      <c r="A91" s="94"/>
      <c r="B91" s="101">
        <v>44105</v>
      </c>
      <c r="C91" s="101">
        <v>44470</v>
      </c>
      <c r="D91" s="101">
        <v>44835</v>
      </c>
      <c r="E91" s="101">
        <v>45200</v>
      </c>
      <c r="F91" s="101">
        <v>45566</v>
      </c>
      <c r="G91" s="101">
        <v>45931</v>
      </c>
      <c r="H91" s="101">
        <v>46296</v>
      </c>
      <c r="I91" s="101">
        <v>46661</v>
      </c>
      <c r="J91" s="101">
        <v>47027</v>
      </c>
      <c r="K91" s="101">
        <v>47392</v>
      </c>
      <c r="L91" s="101">
        <v>47757</v>
      </c>
      <c r="M91" s="101">
        <v>48122</v>
      </c>
      <c r="N91" s="101">
        <v>48488</v>
      </c>
      <c r="O91" s="101">
        <v>48853</v>
      </c>
      <c r="P91" s="101">
        <v>49218</v>
      </c>
      <c r="Q91" s="101">
        <v>49583</v>
      </c>
      <c r="R91" s="101">
        <v>49949</v>
      </c>
    </row>
    <row r="92" spans="1:18" s="95" customFormat="1">
      <c r="A92" s="500" t="s">
        <v>274</v>
      </c>
      <c r="B92" s="101">
        <v>44469</v>
      </c>
      <c r="C92" s="101">
        <v>44834</v>
      </c>
      <c r="D92" s="101">
        <v>45199</v>
      </c>
      <c r="E92" s="101">
        <v>45565</v>
      </c>
      <c r="F92" s="101">
        <v>45930</v>
      </c>
      <c r="G92" s="101">
        <v>46295</v>
      </c>
      <c r="H92" s="101">
        <v>46660</v>
      </c>
      <c r="I92" s="101">
        <v>47026</v>
      </c>
      <c r="J92" s="101">
        <v>47391</v>
      </c>
      <c r="K92" s="101">
        <v>47756</v>
      </c>
      <c r="L92" s="101">
        <v>48121</v>
      </c>
      <c r="M92" s="101">
        <v>48487</v>
      </c>
      <c r="N92" s="101">
        <v>48852</v>
      </c>
      <c r="O92" s="101">
        <v>49217</v>
      </c>
      <c r="P92" s="101">
        <v>49582</v>
      </c>
      <c r="Q92" s="101">
        <v>49948</v>
      </c>
      <c r="R92" s="101">
        <v>50313</v>
      </c>
    </row>
    <row r="93" spans="1:18" s="95" customFormat="1">
      <c r="A93" s="94" t="s">
        <v>80</v>
      </c>
      <c r="B93" s="506">
        <v>0.64</v>
      </c>
      <c r="C93" s="506">
        <v>0.64</v>
      </c>
      <c r="D93" s="507">
        <v>0.64</v>
      </c>
      <c r="E93" s="507">
        <v>0.64</v>
      </c>
      <c r="F93" s="507">
        <v>0.64</v>
      </c>
      <c r="G93" s="507">
        <v>0.64</v>
      </c>
      <c r="H93" s="507">
        <v>0.64</v>
      </c>
      <c r="I93" s="507">
        <v>0.64</v>
      </c>
      <c r="J93" s="507">
        <v>0.64</v>
      </c>
      <c r="K93" s="507">
        <v>0.64</v>
      </c>
      <c r="L93" s="507">
        <v>0.64</v>
      </c>
      <c r="M93" s="507">
        <v>0.64</v>
      </c>
      <c r="N93" s="507">
        <v>0.64</v>
      </c>
      <c r="O93" s="507">
        <v>0.64</v>
      </c>
      <c r="P93" s="507">
        <v>0.64</v>
      </c>
      <c r="Q93" s="507">
        <v>0.64</v>
      </c>
      <c r="R93" s="507">
        <v>0.64</v>
      </c>
    </row>
    <row r="94" spans="1:18" s="95" customFormat="1">
      <c r="A94" s="99"/>
      <c r="B94" s="98"/>
      <c r="C94" s="94"/>
      <c r="D94" s="94"/>
      <c r="E94" s="94"/>
      <c r="F94" s="94"/>
      <c r="G94" s="94"/>
      <c r="H94" s="94"/>
      <c r="I94" s="94"/>
      <c r="J94" s="94"/>
      <c r="K94" s="94"/>
      <c r="L94" s="94"/>
      <c r="M94" s="94"/>
      <c r="N94" s="94"/>
      <c r="O94" s="94"/>
      <c r="P94" s="94"/>
      <c r="Q94" s="94"/>
      <c r="R94" s="94"/>
    </row>
    <row r="95" spans="1:18" s="95" customFormat="1">
      <c r="A95" s="94"/>
      <c r="B95" s="94"/>
      <c r="C95" s="94"/>
      <c r="D95" s="94"/>
      <c r="E95" s="94"/>
      <c r="F95" s="94"/>
      <c r="G95" s="94"/>
      <c r="H95" s="94"/>
      <c r="I95" s="94"/>
      <c r="J95" s="94"/>
      <c r="K95" s="94"/>
      <c r="L95" s="94"/>
      <c r="M95" s="94"/>
      <c r="N95" s="94"/>
      <c r="O95" s="94"/>
      <c r="P95" s="94"/>
      <c r="Q95" s="94"/>
      <c r="R95" s="94"/>
    </row>
    <row r="96" spans="1:18" s="95" customFormat="1">
      <c r="A96" s="94"/>
      <c r="B96" s="94"/>
      <c r="C96" s="94"/>
      <c r="D96" s="94"/>
      <c r="E96" s="94"/>
      <c r="F96" s="94"/>
      <c r="G96" s="94"/>
      <c r="H96" s="94"/>
      <c r="I96" s="94"/>
      <c r="J96" s="94"/>
      <c r="K96" s="94"/>
      <c r="L96" s="94"/>
      <c r="M96" s="94"/>
      <c r="N96" s="94"/>
      <c r="O96" s="94"/>
      <c r="P96" s="94"/>
      <c r="Q96" s="94"/>
      <c r="R96" s="94"/>
    </row>
    <row r="97" spans="1:18" s="95" customFormat="1">
      <c r="A97" s="94"/>
      <c r="B97" s="94"/>
      <c r="C97" s="94"/>
      <c r="D97" s="94"/>
      <c r="E97" s="94"/>
      <c r="F97" s="94"/>
      <c r="G97" s="94"/>
      <c r="H97" s="94"/>
      <c r="I97" s="94"/>
      <c r="J97" s="94"/>
      <c r="K97" s="94"/>
      <c r="L97" s="94"/>
      <c r="M97" s="94"/>
      <c r="N97" s="94"/>
      <c r="O97" s="94"/>
      <c r="P97" s="94"/>
      <c r="Q97" s="94"/>
      <c r="R97" s="94"/>
    </row>
    <row r="98" spans="1:18" s="95" customFormat="1">
      <c r="A98" s="94"/>
      <c r="B98" s="94"/>
      <c r="C98" s="516" t="s">
        <v>278</v>
      </c>
      <c r="D98" s="517" t="s">
        <v>279</v>
      </c>
      <c r="E98" s="517"/>
      <c r="F98" s="517"/>
      <c r="G98" s="94"/>
      <c r="H98" s="94"/>
      <c r="I98" s="94"/>
      <c r="J98" s="94"/>
      <c r="K98" s="94"/>
      <c r="L98" s="94"/>
      <c r="M98" s="94"/>
      <c r="N98" s="94"/>
      <c r="O98" s="94"/>
      <c r="P98" s="94"/>
      <c r="Q98" s="94"/>
      <c r="R98" s="94"/>
    </row>
    <row r="99" spans="1:18" s="95" customFormat="1">
      <c r="A99" s="94"/>
      <c r="B99" s="94"/>
      <c r="C99" s="94"/>
      <c r="D99" s="94"/>
      <c r="E99" s="94"/>
      <c r="F99" s="94"/>
      <c r="G99" s="94"/>
      <c r="H99" s="94"/>
      <c r="I99" s="94"/>
      <c r="J99" s="94"/>
      <c r="K99" s="94"/>
      <c r="L99" s="94"/>
      <c r="M99" s="94"/>
      <c r="N99" s="94"/>
      <c r="O99" s="94"/>
      <c r="P99" s="94"/>
      <c r="Q99" s="94"/>
      <c r="R99" s="94"/>
    </row>
    <row r="100" spans="1:18">
      <c r="A100" s="96"/>
      <c r="B100" s="96"/>
      <c r="C100" s="95"/>
      <c r="D100" s="95"/>
      <c r="E100" s="95"/>
      <c r="F100" s="95"/>
      <c r="G100" s="95"/>
      <c r="H100" s="95"/>
      <c r="I100" s="95"/>
      <c r="J100" s="95"/>
      <c r="K100" s="95"/>
      <c r="L100" s="95"/>
      <c r="M100" s="95"/>
      <c r="N100" s="95"/>
      <c r="O100" s="95"/>
      <c r="P100" s="95"/>
      <c r="Q100" s="95"/>
      <c r="R100" s="95"/>
    </row>
    <row r="101" spans="1:18">
      <c r="A101" s="526"/>
      <c r="B101" s="101">
        <v>44105</v>
      </c>
      <c r="C101" s="101">
        <v>44470</v>
      </c>
      <c r="D101" s="101">
        <v>44835</v>
      </c>
      <c r="E101" s="101">
        <v>45200</v>
      </c>
      <c r="F101" s="101">
        <v>45566</v>
      </c>
      <c r="G101" s="101">
        <v>45931</v>
      </c>
      <c r="H101" s="101">
        <v>46296</v>
      </c>
      <c r="I101" s="101">
        <v>46661</v>
      </c>
      <c r="J101" s="101">
        <v>47027</v>
      </c>
      <c r="K101" s="101">
        <v>47392</v>
      </c>
      <c r="L101" s="101">
        <v>47757</v>
      </c>
      <c r="M101" s="101">
        <v>48122</v>
      </c>
      <c r="N101" s="101">
        <v>48488</v>
      </c>
      <c r="O101" s="101">
        <v>48853</v>
      </c>
      <c r="P101" s="101">
        <v>49218</v>
      </c>
      <c r="Q101" s="101">
        <v>49583</v>
      </c>
      <c r="R101" s="101">
        <v>49949</v>
      </c>
    </row>
    <row r="102" spans="1:18">
      <c r="A102" s="500" t="s">
        <v>285</v>
      </c>
      <c r="B102" s="101">
        <v>44469</v>
      </c>
      <c r="C102" s="101">
        <v>44834</v>
      </c>
      <c r="D102" s="101">
        <v>45199</v>
      </c>
      <c r="E102" s="101">
        <v>45565</v>
      </c>
      <c r="F102" s="101">
        <v>45930</v>
      </c>
      <c r="G102" s="101">
        <v>46295</v>
      </c>
      <c r="H102" s="101">
        <v>46660</v>
      </c>
      <c r="I102" s="101">
        <v>47026</v>
      </c>
      <c r="J102" s="101">
        <v>47391</v>
      </c>
      <c r="K102" s="101">
        <v>47756</v>
      </c>
      <c r="L102" s="101">
        <v>48121</v>
      </c>
      <c r="M102" s="101">
        <v>48487</v>
      </c>
      <c r="N102" s="101">
        <v>48852</v>
      </c>
      <c r="O102" s="101">
        <v>49217</v>
      </c>
      <c r="P102" s="101">
        <v>49582</v>
      </c>
      <c r="Q102" s="101">
        <v>49948</v>
      </c>
      <c r="R102" s="101">
        <v>50313</v>
      </c>
    </row>
    <row r="103" spans="1:18">
      <c r="A103" s="94" t="s">
        <v>288</v>
      </c>
      <c r="B103" s="528">
        <v>0.3</v>
      </c>
      <c r="C103" s="528">
        <v>0.3</v>
      </c>
      <c r="D103" s="528">
        <v>0.3</v>
      </c>
      <c r="E103" s="528">
        <v>0.3</v>
      </c>
      <c r="F103" s="528">
        <v>0.3</v>
      </c>
      <c r="G103" s="528">
        <v>0.3</v>
      </c>
      <c r="H103" s="528">
        <v>0.3</v>
      </c>
      <c r="I103" s="528">
        <v>0.3</v>
      </c>
      <c r="J103" s="528">
        <v>0.3</v>
      </c>
      <c r="K103" s="528">
        <v>0.3</v>
      </c>
      <c r="L103" s="528">
        <v>0.3</v>
      </c>
      <c r="M103" s="528">
        <v>0.3</v>
      </c>
      <c r="N103" s="528">
        <v>0.3</v>
      </c>
      <c r="O103" s="528">
        <v>0.3</v>
      </c>
      <c r="P103" s="528">
        <v>0.3</v>
      </c>
      <c r="Q103" s="528">
        <v>0.3</v>
      </c>
      <c r="R103" s="528">
        <v>0.3</v>
      </c>
    </row>
    <row r="104" spans="1:18">
      <c r="A104" s="94" t="s">
        <v>289</v>
      </c>
      <c r="B104" s="528">
        <v>0.3</v>
      </c>
      <c r="C104" s="528">
        <v>0.3</v>
      </c>
      <c r="D104" s="528">
        <v>0.3</v>
      </c>
      <c r="E104" s="528">
        <v>0.3</v>
      </c>
      <c r="F104" s="528">
        <v>0.3</v>
      </c>
      <c r="G104" s="528">
        <v>0.3</v>
      </c>
      <c r="H104" s="528">
        <v>0.3</v>
      </c>
      <c r="I104" s="528">
        <v>0.3</v>
      </c>
      <c r="J104" s="528">
        <v>0.3</v>
      </c>
      <c r="K104" s="528">
        <v>0.3</v>
      </c>
      <c r="L104" s="528">
        <v>0.3</v>
      </c>
      <c r="M104" s="528">
        <v>0.3</v>
      </c>
      <c r="N104" s="528">
        <v>0.3</v>
      </c>
      <c r="O104" s="528">
        <v>0.3</v>
      </c>
      <c r="P104" s="528">
        <v>0.3</v>
      </c>
      <c r="Q104" s="528">
        <v>0.3</v>
      </c>
      <c r="R104" s="528">
        <v>0.3</v>
      </c>
    </row>
    <row r="105" spans="1:18">
      <c r="A105" s="94" t="s">
        <v>290</v>
      </c>
      <c r="B105" s="528">
        <v>0.12</v>
      </c>
      <c r="C105" s="528">
        <v>0.12</v>
      </c>
      <c r="D105" s="528">
        <v>0.12</v>
      </c>
      <c r="E105" s="528">
        <v>0.12</v>
      </c>
      <c r="F105" s="528">
        <v>0.12</v>
      </c>
      <c r="G105" s="528">
        <v>0.12</v>
      </c>
      <c r="H105" s="528">
        <v>0.12</v>
      </c>
      <c r="I105" s="528">
        <v>0.12</v>
      </c>
      <c r="J105" s="528">
        <v>0.12</v>
      </c>
      <c r="K105" s="528">
        <v>0.12</v>
      </c>
      <c r="L105" s="528">
        <v>0.12</v>
      </c>
      <c r="M105" s="528">
        <v>0.12</v>
      </c>
      <c r="N105" s="528">
        <v>0.12</v>
      </c>
      <c r="O105" s="528">
        <v>0.12</v>
      </c>
      <c r="P105" s="528">
        <v>0.12</v>
      </c>
      <c r="Q105" s="528">
        <v>0.12</v>
      </c>
      <c r="R105" s="528">
        <v>0.12</v>
      </c>
    </row>
    <row r="106" spans="1:18">
      <c r="A106" s="94" t="s">
        <v>25</v>
      </c>
      <c r="B106" s="545" t="s">
        <v>25</v>
      </c>
      <c r="C106" s="546" t="s">
        <v>25</v>
      </c>
      <c r="D106" s="546" t="s">
        <v>25</v>
      </c>
      <c r="E106" s="546" t="s">
        <v>25</v>
      </c>
      <c r="F106" s="546" t="s">
        <v>25</v>
      </c>
      <c r="G106" s="546" t="s">
        <v>25</v>
      </c>
      <c r="H106" s="546" t="s">
        <v>25</v>
      </c>
      <c r="I106" s="546" t="s">
        <v>25</v>
      </c>
      <c r="J106" s="546" t="s">
        <v>25</v>
      </c>
      <c r="K106" s="546" t="s">
        <v>25</v>
      </c>
      <c r="L106" s="546" t="s">
        <v>25</v>
      </c>
      <c r="M106" s="546" t="s">
        <v>25</v>
      </c>
      <c r="N106" s="546" t="s">
        <v>25</v>
      </c>
      <c r="O106" s="546" t="s">
        <v>25</v>
      </c>
      <c r="P106" s="546" t="s">
        <v>25</v>
      </c>
      <c r="Q106" s="546" t="s">
        <v>25</v>
      </c>
      <c r="R106" s="546" t="s">
        <v>25</v>
      </c>
    </row>
    <row r="107" spans="1:18">
      <c r="A107" s="94" t="s">
        <v>25</v>
      </c>
      <c r="B107" s="545" t="s">
        <v>25</v>
      </c>
      <c r="C107" s="546" t="s">
        <v>25</v>
      </c>
      <c r="D107" s="546" t="s">
        <v>25</v>
      </c>
      <c r="E107" s="546" t="s">
        <v>25</v>
      </c>
      <c r="F107" s="546" t="s">
        <v>25</v>
      </c>
      <c r="G107" s="546" t="s">
        <v>25</v>
      </c>
      <c r="H107" s="546" t="s">
        <v>25</v>
      </c>
      <c r="I107" s="546" t="s">
        <v>25</v>
      </c>
      <c r="J107" s="546" t="s">
        <v>25</v>
      </c>
      <c r="K107" s="546" t="s">
        <v>25</v>
      </c>
      <c r="L107" s="546" t="s">
        <v>25</v>
      </c>
      <c r="M107" s="546" t="s">
        <v>25</v>
      </c>
      <c r="N107" s="546" t="s">
        <v>25</v>
      </c>
      <c r="O107" s="546" t="s">
        <v>25</v>
      </c>
      <c r="P107" s="546" t="s">
        <v>25</v>
      </c>
      <c r="Q107" s="546" t="s">
        <v>25</v>
      </c>
      <c r="R107" s="546" t="s">
        <v>25</v>
      </c>
    </row>
    <row r="108" spans="1:18">
      <c r="A108" s="97" t="s">
        <v>25</v>
      </c>
      <c r="B108" s="97" t="s">
        <v>25</v>
      </c>
      <c r="C108" s="95" t="s">
        <v>25</v>
      </c>
      <c r="D108" s="95" t="s">
        <v>25</v>
      </c>
      <c r="E108" s="95" t="s">
        <v>25</v>
      </c>
      <c r="F108" s="95" t="s">
        <v>25</v>
      </c>
      <c r="G108" s="95" t="s">
        <v>25</v>
      </c>
      <c r="H108" s="95" t="s">
        <v>25</v>
      </c>
      <c r="I108" s="95" t="s">
        <v>25</v>
      </c>
      <c r="J108" s="95" t="s">
        <v>25</v>
      </c>
      <c r="K108" s="95" t="s">
        <v>25</v>
      </c>
      <c r="L108" s="95" t="s">
        <v>25</v>
      </c>
      <c r="M108" s="95" t="s">
        <v>25</v>
      </c>
      <c r="N108" s="95" t="s">
        <v>25</v>
      </c>
      <c r="O108" s="95" t="s">
        <v>25</v>
      </c>
      <c r="P108" s="95" t="s">
        <v>25</v>
      </c>
      <c r="Q108" s="95" t="s">
        <v>25</v>
      </c>
      <c r="R108" s="95" t="s">
        <v>25</v>
      </c>
    </row>
    <row r="109" spans="1:18">
      <c r="A109" s="97"/>
      <c r="B109" s="97"/>
      <c r="C109" s="95"/>
      <c r="D109" s="95"/>
      <c r="E109" s="95"/>
      <c r="F109" s="95"/>
      <c r="G109" s="95"/>
      <c r="H109" s="95"/>
      <c r="I109" s="95"/>
      <c r="J109" s="95"/>
      <c r="K109" s="95"/>
      <c r="L109" s="95"/>
      <c r="M109" s="95"/>
      <c r="N109" s="95"/>
      <c r="O109" s="95"/>
      <c r="P109" s="95"/>
      <c r="Q109" s="95"/>
      <c r="R109" s="95"/>
    </row>
    <row r="110" spans="1:18">
      <c r="B110" s="101">
        <v>44105</v>
      </c>
      <c r="C110" s="101">
        <v>44470</v>
      </c>
      <c r="D110" s="101">
        <v>44835</v>
      </c>
      <c r="E110" s="101">
        <v>45200</v>
      </c>
      <c r="F110" s="101">
        <v>45566</v>
      </c>
      <c r="G110" s="101">
        <v>45931</v>
      </c>
      <c r="H110" s="101">
        <v>46296</v>
      </c>
      <c r="I110" s="101">
        <v>46661</v>
      </c>
      <c r="J110" s="101">
        <v>47027</v>
      </c>
      <c r="K110" s="101">
        <v>47392</v>
      </c>
      <c r="L110" s="101">
        <v>47757</v>
      </c>
      <c r="M110" s="101">
        <v>48122</v>
      </c>
      <c r="N110" s="101">
        <v>48488</v>
      </c>
      <c r="O110" s="101">
        <v>48853</v>
      </c>
      <c r="P110" s="101">
        <v>49218</v>
      </c>
      <c r="Q110" s="101">
        <v>49583</v>
      </c>
      <c r="R110" s="101">
        <v>49949</v>
      </c>
    </row>
    <row r="111" spans="1:18">
      <c r="A111" s="500" t="s">
        <v>285</v>
      </c>
      <c r="B111" s="101">
        <v>44469</v>
      </c>
      <c r="C111" s="101">
        <v>44834</v>
      </c>
      <c r="D111" s="101">
        <v>45199</v>
      </c>
      <c r="E111" s="101">
        <v>45565</v>
      </c>
      <c r="F111" s="101">
        <v>45930</v>
      </c>
      <c r="G111" s="101">
        <v>46295</v>
      </c>
      <c r="H111" s="101">
        <v>46660</v>
      </c>
      <c r="I111" s="101">
        <v>47026</v>
      </c>
      <c r="J111" s="101">
        <v>47391</v>
      </c>
      <c r="K111" s="101">
        <v>47756</v>
      </c>
      <c r="L111" s="101">
        <v>48121</v>
      </c>
      <c r="M111" s="101">
        <v>48487</v>
      </c>
      <c r="N111" s="101">
        <v>48852</v>
      </c>
      <c r="O111" s="101">
        <v>49217</v>
      </c>
      <c r="P111" s="101">
        <v>49582</v>
      </c>
      <c r="Q111" s="101">
        <v>49948</v>
      </c>
      <c r="R111" s="101">
        <v>50313</v>
      </c>
    </row>
    <row r="112" spans="1:18">
      <c r="A112" s="94" t="s">
        <v>80</v>
      </c>
      <c r="B112" s="529">
        <v>0.68</v>
      </c>
      <c r="C112" s="529">
        <v>0.68</v>
      </c>
      <c r="D112" s="529">
        <v>0.68</v>
      </c>
      <c r="E112" s="529">
        <v>0.68</v>
      </c>
      <c r="F112" s="529">
        <v>0.68</v>
      </c>
      <c r="G112" s="529">
        <v>0.68</v>
      </c>
      <c r="H112" s="529">
        <v>0.68</v>
      </c>
      <c r="I112" s="529">
        <v>0.68</v>
      </c>
      <c r="J112" s="529">
        <v>0.68</v>
      </c>
      <c r="K112" s="529">
        <v>0.68</v>
      </c>
      <c r="L112" s="529">
        <v>0.68</v>
      </c>
      <c r="M112" s="529">
        <v>0.68</v>
      </c>
      <c r="N112" s="529">
        <v>0.68</v>
      </c>
      <c r="O112" s="529">
        <v>0.68</v>
      </c>
      <c r="P112" s="529">
        <v>0.68</v>
      </c>
      <c r="Q112" s="529">
        <v>0.68</v>
      </c>
      <c r="R112" s="529">
        <v>0.68</v>
      </c>
    </row>
    <row r="113" spans="1:18">
      <c r="A113" s="96"/>
      <c r="B113" s="522" t="s">
        <v>25</v>
      </c>
      <c r="C113" s="98" t="s">
        <v>25</v>
      </c>
      <c r="D113" s="98" t="s">
        <v>25</v>
      </c>
      <c r="E113" s="98" t="s">
        <v>25</v>
      </c>
      <c r="F113" s="98" t="s">
        <v>25</v>
      </c>
      <c r="G113" s="98" t="s">
        <v>25</v>
      </c>
      <c r="H113" s="98" t="s">
        <v>25</v>
      </c>
      <c r="I113" s="98" t="s">
        <v>25</v>
      </c>
      <c r="J113" s="98" t="s">
        <v>25</v>
      </c>
      <c r="K113" s="98" t="s">
        <v>25</v>
      </c>
      <c r="L113" s="98" t="s">
        <v>25</v>
      </c>
      <c r="M113" s="98" t="s">
        <v>25</v>
      </c>
      <c r="N113" s="98" t="s">
        <v>25</v>
      </c>
      <c r="O113" s="98" t="s">
        <v>25</v>
      </c>
      <c r="P113" s="98" t="s">
        <v>25</v>
      </c>
      <c r="Q113" s="98" t="s">
        <v>25</v>
      </c>
      <c r="R113" s="98" t="s">
        <v>25</v>
      </c>
    </row>
    <row r="114" spans="1:18">
      <c r="A114" s="97"/>
      <c r="B114" s="97"/>
      <c r="C114" s="95"/>
      <c r="D114" s="95"/>
      <c r="E114" s="95"/>
      <c r="F114" s="95"/>
      <c r="G114" s="95"/>
      <c r="H114" s="95"/>
      <c r="I114" s="95"/>
      <c r="J114" s="95"/>
      <c r="K114" s="95"/>
      <c r="L114" s="95"/>
      <c r="M114" s="95"/>
      <c r="N114" s="95"/>
      <c r="O114" s="95"/>
      <c r="P114" s="95"/>
      <c r="Q114" s="95"/>
      <c r="R114" s="95"/>
    </row>
    <row r="115" spans="1:18">
      <c r="A115" s="526"/>
      <c r="B115" s="101">
        <v>44105</v>
      </c>
      <c r="C115" s="101">
        <v>44470</v>
      </c>
      <c r="D115" s="101">
        <v>44835</v>
      </c>
      <c r="E115" s="101">
        <v>45200</v>
      </c>
      <c r="F115" s="101">
        <v>45566</v>
      </c>
      <c r="G115" s="101">
        <v>45931</v>
      </c>
      <c r="H115" s="101">
        <v>46296</v>
      </c>
      <c r="I115" s="101">
        <v>46661</v>
      </c>
      <c r="J115" s="101">
        <v>47027</v>
      </c>
      <c r="K115" s="101">
        <v>47392</v>
      </c>
      <c r="L115" s="101">
        <v>47757</v>
      </c>
      <c r="M115" s="101">
        <v>48122</v>
      </c>
      <c r="N115" s="101">
        <v>48488</v>
      </c>
      <c r="O115" s="101">
        <v>48853</v>
      </c>
      <c r="P115" s="101">
        <v>49218</v>
      </c>
      <c r="Q115" s="101">
        <v>49583</v>
      </c>
      <c r="R115" s="101">
        <v>49949</v>
      </c>
    </row>
    <row r="116" spans="1:18">
      <c r="A116" s="500" t="s">
        <v>284</v>
      </c>
      <c r="B116" s="101">
        <v>44469</v>
      </c>
      <c r="C116" s="101">
        <v>44834</v>
      </c>
      <c r="D116" s="101">
        <v>45199</v>
      </c>
      <c r="E116" s="101">
        <v>45565</v>
      </c>
      <c r="F116" s="101">
        <v>45930</v>
      </c>
      <c r="G116" s="101">
        <v>46295</v>
      </c>
      <c r="H116" s="101">
        <v>46660</v>
      </c>
      <c r="I116" s="101">
        <v>47026</v>
      </c>
      <c r="J116" s="101">
        <v>47391</v>
      </c>
      <c r="K116" s="101">
        <v>47756</v>
      </c>
      <c r="L116" s="101">
        <v>48121</v>
      </c>
      <c r="M116" s="101">
        <v>48487</v>
      </c>
      <c r="N116" s="101">
        <v>48852</v>
      </c>
      <c r="O116" s="101">
        <v>49217</v>
      </c>
      <c r="P116" s="101">
        <v>49582</v>
      </c>
      <c r="Q116" s="101">
        <v>49948</v>
      </c>
      <c r="R116" s="101">
        <v>50313</v>
      </c>
    </row>
    <row r="117" spans="1:18">
      <c r="A117" s="94" t="s">
        <v>288</v>
      </c>
      <c r="B117" s="528">
        <v>0.3</v>
      </c>
      <c r="C117" s="528">
        <v>0.3</v>
      </c>
      <c r="D117" s="528">
        <v>0.3</v>
      </c>
      <c r="E117" s="528">
        <v>0.3</v>
      </c>
      <c r="F117" s="528">
        <v>0.3</v>
      </c>
      <c r="G117" s="528">
        <v>0.3</v>
      </c>
      <c r="H117" s="528">
        <v>0.3</v>
      </c>
      <c r="I117" s="528">
        <v>0.3</v>
      </c>
      <c r="J117" s="528">
        <v>0.3</v>
      </c>
      <c r="K117" s="528">
        <v>0.3</v>
      </c>
      <c r="L117" s="528">
        <v>0.3</v>
      </c>
      <c r="M117" s="528">
        <v>0.3</v>
      </c>
      <c r="N117" s="528">
        <v>0.3</v>
      </c>
      <c r="O117" s="528">
        <v>0.3</v>
      </c>
      <c r="P117" s="528">
        <v>0.3</v>
      </c>
      <c r="Q117" s="528">
        <v>0.3</v>
      </c>
      <c r="R117" s="528">
        <v>0.3</v>
      </c>
    </row>
    <row r="118" spans="1:18">
      <c r="A118" s="94" t="s">
        <v>289</v>
      </c>
      <c r="B118" s="528">
        <v>0.3</v>
      </c>
      <c r="C118" s="528">
        <v>0.3</v>
      </c>
      <c r="D118" s="528">
        <v>0.3</v>
      </c>
      <c r="E118" s="528">
        <v>0.3</v>
      </c>
      <c r="F118" s="528">
        <v>0.3</v>
      </c>
      <c r="G118" s="528">
        <v>0.3</v>
      </c>
      <c r="H118" s="528">
        <v>0.3</v>
      </c>
      <c r="I118" s="528">
        <v>0.3</v>
      </c>
      <c r="J118" s="528">
        <v>0.3</v>
      </c>
      <c r="K118" s="528">
        <v>0.3</v>
      </c>
      <c r="L118" s="528">
        <v>0.3</v>
      </c>
      <c r="M118" s="528">
        <v>0.3</v>
      </c>
      <c r="N118" s="528">
        <v>0.3</v>
      </c>
      <c r="O118" s="528">
        <v>0.3</v>
      </c>
      <c r="P118" s="528">
        <v>0.3</v>
      </c>
      <c r="Q118" s="528">
        <v>0.3</v>
      </c>
      <c r="R118" s="528">
        <v>0.3</v>
      </c>
    </row>
    <row r="119" spans="1:18">
      <c r="A119" s="94" t="s">
        <v>290</v>
      </c>
      <c r="B119" s="528">
        <v>0.12</v>
      </c>
      <c r="C119" s="528">
        <v>0.12</v>
      </c>
      <c r="D119" s="528">
        <v>0.12</v>
      </c>
      <c r="E119" s="528">
        <v>0.12</v>
      </c>
      <c r="F119" s="528">
        <v>0.12</v>
      </c>
      <c r="G119" s="528">
        <v>0.12</v>
      </c>
      <c r="H119" s="528">
        <v>0.12</v>
      </c>
      <c r="I119" s="528">
        <v>0.12</v>
      </c>
      <c r="J119" s="528">
        <v>0.12</v>
      </c>
      <c r="K119" s="528">
        <v>0.12</v>
      </c>
      <c r="L119" s="528">
        <v>0.12</v>
      </c>
      <c r="M119" s="528">
        <v>0.12</v>
      </c>
      <c r="N119" s="528">
        <v>0.12</v>
      </c>
      <c r="O119" s="528">
        <v>0.12</v>
      </c>
      <c r="P119" s="528">
        <v>0.12</v>
      </c>
      <c r="Q119" s="528">
        <v>0.12</v>
      </c>
      <c r="R119" s="528">
        <v>0.12</v>
      </c>
    </row>
    <row r="120" spans="1:18">
      <c r="A120" s="98" t="s">
        <v>25</v>
      </c>
      <c r="B120" s="547" t="s">
        <v>25</v>
      </c>
      <c r="C120" s="548" t="s">
        <v>25</v>
      </c>
      <c r="D120" s="548" t="s">
        <v>25</v>
      </c>
      <c r="E120" s="548" t="s">
        <v>25</v>
      </c>
      <c r="F120" s="548" t="s">
        <v>25</v>
      </c>
      <c r="G120" s="548" t="s">
        <v>25</v>
      </c>
      <c r="H120" s="548" t="s">
        <v>25</v>
      </c>
      <c r="I120" s="548" t="s">
        <v>25</v>
      </c>
      <c r="J120" s="548" t="s">
        <v>25</v>
      </c>
      <c r="K120" s="548" t="s">
        <v>25</v>
      </c>
      <c r="L120" s="548" t="s">
        <v>25</v>
      </c>
      <c r="M120" s="548" t="s">
        <v>25</v>
      </c>
      <c r="N120" s="548" t="s">
        <v>25</v>
      </c>
      <c r="O120" s="548" t="s">
        <v>25</v>
      </c>
      <c r="P120" s="548" t="s">
        <v>25</v>
      </c>
      <c r="Q120" s="548" t="s">
        <v>25</v>
      </c>
      <c r="R120" s="548" t="s">
        <v>25</v>
      </c>
    </row>
    <row r="121" spans="1:18">
      <c r="A121" s="98" t="s">
        <v>25</v>
      </c>
      <c r="B121" s="98" t="s">
        <v>25</v>
      </c>
      <c r="C121" s="98" t="s">
        <v>25</v>
      </c>
      <c r="D121" s="98" t="s">
        <v>25</v>
      </c>
      <c r="E121" s="98" t="s">
        <v>25</v>
      </c>
      <c r="F121" s="98" t="s">
        <v>25</v>
      </c>
      <c r="G121" s="98" t="s">
        <v>25</v>
      </c>
      <c r="H121" s="98" t="s">
        <v>25</v>
      </c>
      <c r="I121" s="98" t="s">
        <v>25</v>
      </c>
      <c r="J121" s="98" t="s">
        <v>25</v>
      </c>
      <c r="K121" s="98" t="s">
        <v>25</v>
      </c>
      <c r="L121" s="98" t="s">
        <v>25</v>
      </c>
      <c r="M121" s="98" t="s">
        <v>25</v>
      </c>
      <c r="N121" s="98" t="s">
        <v>25</v>
      </c>
      <c r="O121" s="98" t="s">
        <v>25</v>
      </c>
      <c r="P121" s="98" t="s">
        <v>25</v>
      </c>
      <c r="Q121" s="98" t="s">
        <v>25</v>
      </c>
      <c r="R121" s="98" t="s">
        <v>25</v>
      </c>
    </row>
    <row r="122" spans="1:18">
      <c r="A122" s="98" t="s">
        <v>25</v>
      </c>
      <c r="B122" s="98" t="s">
        <v>25</v>
      </c>
      <c r="C122" s="98" t="s">
        <v>25</v>
      </c>
      <c r="D122" s="98" t="s">
        <v>25</v>
      </c>
      <c r="E122" s="98" t="s">
        <v>25</v>
      </c>
      <c r="F122" s="98" t="s">
        <v>25</v>
      </c>
      <c r="G122" s="98" t="s">
        <v>25</v>
      </c>
      <c r="H122" s="98" t="s">
        <v>25</v>
      </c>
      <c r="I122" s="98" t="s">
        <v>25</v>
      </c>
      <c r="J122" s="98" t="s">
        <v>25</v>
      </c>
      <c r="K122" s="98" t="s">
        <v>25</v>
      </c>
      <c r="L122" s="98" t="s">
        <v>25</v>
      </c>
      <c r="M122" s="98" t="s">
        <v>25</v>
      </c>
      <c r="N122" s="98" t="s">
        <v>25</v>
      </c>
      <c r="O122" s="98" t="s">
        <v>25</v>
      </c>
      <c r="P122" s="98" t="s">
        <v>25</v>
      </c>
      <c r="Q122" s="98" t="s">
        <v>25</v>
      </c>
      <c r="R122" s="98" t="s">
        <v>25</v>
      </c>
    </row>
    <row r="123" spans="1:18">
      <c r="B123" s="101">
        <v>44105</v>
      </c>
      <c r="C123" s="101">
        <v>44470</v>
      </c>
      <c r="D123" s="101">
        <v>44835</v>
      </c>
      <c r="E123" s="101">
        <v>45200</v>
      </c>
      <c r="F123" s="101">
        <v>45566</v>
      </c>
      <c r="G123" s="101">
        <v>45931</v>
      </c>
      <c r="H123" s="101">
        <v>46296</v>
      </c>
      <c r="I123" s="101">
        <v>46661</v>
      </c>
      <c r="J123" s="101">
        <v>47027</v>
      </c>
      <c r="K123" s="101">
        <v>47392</v>
      </c>
      <c r="L123" s="101">
        <v>47757</v>
      </c>
      <c r="M123" s="101">
        <v>48122</v>
      </c>
      <c r="N123" s="101">
        <v>48488</v>
      </c>
      <c r="O123" s="101">
        <v>48853</v>
      </c>
      <c r="P123" s="101">
        <v>49218</v>
      </c>
      <c r="Q123" s="101">
        <v>49583</v>
      </c>
      <c r="R123" s="101">
        <v>49949</v>
      </c>
    </row>
    <row r="124" spans="1:18">
      <c r="A124" s="500" t="s">
        <v>284</v>
      </c>
      <c r="B124" s="101">
        <v>44469</v>
      </c>
      <c r="C124" s="101">
        <v>44834</v>
      </c>
      <c r="D124" s="101">
        <v>45199</v>
      </c>
      <c r="E124" s="101">
        <v>45565</v>
      </c>
      <c r="F124" s="101">
        <v>45930</v>
      </c>
      <c r="G124" s="101">
        <v>46295</v>
      </c>
      <c r="H124" s="101">
        <v>46660</v>
      </c>
      <c r="I124" s="101">
        <v>47026</v>
      </c>
      <c r="J124" s="101">
        <v>47391</v>
      </c>
      <c r="K124" s="101">
        <v>47756</v>
      </c>
      <c r="L124" s="101">
        <v>48121</v>
      </c>
      <c r="M124" s="101">
        <v>48487</v>
      </c>
      <c r="N124" s="101">
        <v>48852</v>
      </c>
      <c r="O124" s="101">
        <v>49217</v>
      </c>
      <c r="P124" s="101">
        <v>49582</v>
      </c>
      <c r="Q124" s="101">
        <v>49948</v>
      </c>
      <c r="R124" s="101">
        <v>50313</v>
      </c>
    </row>
    <row r="125" spans="1:18">
      <c r="A125" s="94" t="s">
        <v>80</v>
      </c>
      <c r="B125" s="507">
        <v>0.97</v>
      </c>
      <c r="C125" s="507">
        <v>0.97</v>
      </c>
      <c r="D125" s="507">
        <v>0.97</v>
      </c>
      <c r="E125" s="507">
        <v>0.97</v>
      </c>
      <c r="F125" s="507">
        <v>0.97</v>
      </c>
      <c r="G125" s="507">
        <v>0.97</v>
      </c>
      <c r="H125" s="507">
        <v>0.97</v>
      </c>
      <c r="I125" s="507">
        <v>0.97</v>
      </c>
      <c r="J125" s="507">
        <v>0.97</v>
      </c>
      <c r="K125" s="507">
        <v>0.97</v>
      </c>
      <c r="L125" s="507">
        <v>0.97</v>
      </c>
      <c r="M125" s="507">
        <v>0.97</v>
      </c>
      <c r="N125" s="507">
        <v>0.97</v>
      </c>
      <c r="O125" s="507">
        <v>0.97</v>
      </c>
      <c r="P125" s="507">
        <v>0.97</v>
      </c>
      <c r="Q125" s="507">
        <v>0.97</v>
      </c>
      <c r="R125" s="507">
        <v>0.97</v>
      </c>
    </row>
    <row r="126" spans="1:18">
      <c r="B126" s="522" t="s">
        <v>25</v>
      </c>
      <c r="C126" s="98" t="s">
        <v>25</v>
      </c>
      <c r="D126" s="98" t="s">
        <v>25</v>
      </c>
      <c r="E126" s="98" t="s">
        <v>25</v>
      </c>
      <c r="F126" s="98" t="s">
        <v>25</v>
      </c>
      <c r="G126" s="98" t="s">
        <v>25</v>
      </c>
      <c r="H126" s="98" t="s">
        <v>25</v>
      </c>
      <c r="I126" s="98" t="s">
        <v>25</v>
      </c>
      <c r="J126" s="98" t="s">
        <v>25</v>
      </c>
      <c r="K126" s="98" t="s">
        <v>25</v>
      </c>
      <c r="L126" s="98" t="s">
        <v>25</v>
      </c>
      <c r="M126" s="98" t="s">
        <v>25</v>
      </c>
      <c r="N126" s="98" t="s">
        <v>25</v>
      </c>
      <c r="O126" s="98" t="s">
        <v>25</v>
      </c>
      <c r="P126" s="98" t="s">
        <v>25</v>
      </c>
      <c r="Q126" s="98" t="s">
        <v>25</v>
      </c>
      <c r="R126" s="98" t="s">
        <v>25</v>
      </c>
    </row>
    <row r="129" spans="1:18">
      <c r="C129" s="94" t="s">
        <v>303</v>
      </c>
    </row>
    <row r="131" spans="1:18">
      <c r="B131" s="101">
        <v>44105</v>
      </c>
      <c r="C131" s="101">
        <v>44470</v>
      </c>
      <c r="D131" s="101">
        <v>44835</v>
      </c>
      <c r="E131" s="101">
        <v>45200</v>
      </c>
      <c r="F131" s="101">
        <v>45566</v>
      </c>
      <c r="G131" s="101">
        <v>45931</v>
      </c>
      <c r="H131" s="101">
        <v>46296</v>
      </c>
      <c r="I131" s="101">
        <v>46661</v>
      </c>
      <c r="J131" s="101">
        <v>47027</v>
      </c>
      <c r="K131" s="101">
        <v>47392</v>
      </c>
      <c r="L131" s="101">
        <v>47757</v>
      </c>
      <c r="M131" s="101">
        <v>48122</v>
      </c>
      <c r="N131" s="101">
        <v>48488</v>
      </c>
      <c r="O131" s="101">
        <v>48853</v>
      </c>
      <c r="P131" s="101">
        <v>49218</v>
      </c>
      <c r="Q131" s="101">
        <v>49583</v>
      </c>
      <c r="R131" s="101">
        <v>49949</v>
      </c>
    </row>
    <row r="132" spans="1:18">
      <c r="A132" s="94" t="s">
        <v>291</v>
      </c>
      <c r="B132" s="101">
        <v>44469</v>
      </c>
      <c r="C132" s="101">
        <v>44834</v>
      </c>
      <c r="D132" s="101">
        <v>45199</v>
      </c>
      <c r="E132" s="101">
        <v>45565</v>
      </c>
      <c r="F132" s="101">
        <v>45930</v>
      </c>
      <c r="G132" s="101">
        <v>46295</v>
      </c>
      <c r="H132" s="101">
        <v>46660</v>
      </c>
      <c r="I132" s="101">
        <v>47026</v>
      </c>
      <c r="J132" s="101">
        <v>47391</v>
      </c>
      <c r="K132" s="101">
        <v>47756</v>
      </c>
      <c r="L132" s="101">
        <v>48121</v>
      </c>
      <c r="M132" s="101">
        <v>48487</v>
      </c>
      <c r="N132" s="101">
        <v>48852</v>
      </c>
      <c r="O132" s="101">
        <v>49217</v>
      </c>
      <c r="P132" s="101">
        <v>49582</v>
      </c>
      <c r="Q132" s="101">
        <v>49948</v>
      </c>
      <c r="R132" s="101">
        <v>50313</v>
      </c>
    </row>
    <row r="133" spans="1:18" ht="16" thickBot="1">
      <c r="A133" s="531" t="s">
        <v>292</v>
      </c>
      <c r="B133" s="532">
        <v>0.12</v>
      </c>
      <c r="C133" s="532">
        <v>0.12</v>
      </c>
      <c r="D133" s="532">
        <v>0.12</v>
      </c>
      <c r="E133" s="532">
        <v>0.12</v>
      </c>
      <c r="F133" s="532">
        <v>0.12</v>
      </c>
      <c r="G133" s="532">
        <v>0.12</v>
      </c>
      <c r="H133" s="532">
        <v>0.12</v>
      </c>
      <c r="I133" s="532">
        <v>0.12</v>
      </c>
      <c r="J133" s="532">
        <v>0.12</v>
      </c>
      <c r="K133" s="532">
        <v>0.12</v>
      </c>
      <c r="L133" s="532">
        <v>0.12</v>
      </c>
      <c r="M133" s="532">
        <v>0.12</v>
      </c>
      <c r="N133" s="532">
        <v>0.12</v>
      </c>
      <c r="O133" s="532">
        <v>0.12</v>
      </c>
      <c r="P133" s="532">
        <v>0.12</v>
      </c>
      <c r="Q133" s="532">
        <v>0.12</v>
      </c>
      <c r="R133" s="532">
        <v>0.12</v>
      </c>
    </row>
    <row r="134" spans="1:18" ht="16" thickBot="1">
      <c r="A134" s="533" t="s">
        <v>99</v>
      </c>
      <c r="B134" s="534">
        <v>0.24</v>
      </c>
      <c r="C134" s="534">
        <v>0.24</v>
      </c>
      <c r="D134" s="534">
        <v>0.24</v>
      </c>
      <c r="E134" s="534">
        <v>0.24</v>
      </c>
      <c r="F134" s="534">
        <v>0.24</v>
      </c>
      <c r="G134" s="534">
        <v>0.24</v>
      </c>
      <c r="H134" s="534">
        <v>0.24</v>
      </c>
      <c r="I134" s="534">
        <v>0.24</v>
      </c>
      <c r="J134" s="534">
        <v>0.24</v>
      </c>
      <c r="K134" s="534">
        <v>0.24</v>
      </c>
      <c r="L134" s="534">
        <v>0.24</v>
      </c>
      <c r="M134" s="534">
        <v>0.24</v>
      </c>
      <c r="N134" s="534">
        <v>0.24</v>
      </c>
      <c r="O134" s="534">
        <v>0.24</v>
      </c>
      <c r="P134" s="534">
        <v>0.24</v>
      </c>
      <c r="Q134" s="534">
        <v>0.24</v>
      </c>
      <c r="R134" s="534">
        <v>0.24</v>
      </c>
    </row>
    <row r="135" spans="1:18" ht="16" thickBot="1">
      <c r="A135" s="531" t="s">
        <v>293</v>
      </c>
      <c r="B135" s="532">
        <v>0.24</v>
      </c>
      <c r="C135" s="532">
        <v>0.24</v>
      </c>
      <c r="D135" s="532">
        <v>0.24</v>
      </c>
      <c r="E135" s="532">
        <v>0.24</v>
      </c>
      <c r="F135" s="532">
        <v>0.24</v>
      </c>
      <c r="G135" s="532">
        <v>0.24</v>
      </c>
      <c r="H135" s="532">
        <v>0.24</v>
      </c>
      <c r="I135" s="532">
        <v>0.24</v>
      </c>
      <c r="J135" s="532">
        <v>0.24</v>
      </c>
      <c r="K135" s="532">
        <v>0.24</v>
      </c>
      <c r="L135" s="532">
        <v>0.24</v>
      </c>
      <c r="M135" s="532">
        <v>0.24</v>
      </c>
      <c r="N135" s="532">
        <v>0.24</v>
      </c>
      <c r="O135" s="532">
        <v>0.24</v>
      </c>
      <c r="P135" s="532">
        <v>0.24</v>
      </c>
      <c r="Q135" s="532">
        <v>0.24</v>
      </c>
      <c r="R135" s="532">
        <v>0.24</v>
      </c>
    </row>
    <row r="136" spans="1:18" ht="16" thickBot="1">
      <c r="A136" s="533" t="s">
        <v>294</v>
      </c>
      <c r="B136" s="534">
        <v>0.24</v>
      </c>
      <c r="C136" s="534">
        <v>0.24</v>
      </c>
      <c r="D136" s="534">
        <v>0.24</v>
      </c>
      <c r="E136" s="534">
        <v>0.24</v>
      </c>
      <c r="F136" s="534">
        <v>0.24</v>
      </c>
      <c r="G136" s="534">
        <v>0.24</v>
      </c>
      <c r="H136" s="534">
        <v>0.24</v>
      </c>
      <c r="I136" s="534">
        <v>0.24</v>
      </c>
      <c r="J136" s="534">
        <v>0.24</v>
      </c>
      <c r="K136" s="534">
        <v>0.24</v>
      </c>
      <c r="L136" s="534">
        <v>0.24</v>
      </c>
      <c r="M136" s="534">
        <v>0.24</v>
      </c>
      <c r="N136" s="534">
        <v>0.24</v>
      </c>
      <c r="O136" s="534">
        <v>0.24</v>
      </c>
      <c r="P136" s="534">
        <v>0.24</v>
      </c>
      <c r="Q136" s="534">
        <v>0.24</v>
      </c>
      <c r="R136" s="534">
        <v>0.24</v>
      </c>
    </row>
    <row r="137" spans="1:18" ht="16" thickBot="1">
      <c r="A137" s="531" t="s">
        <v>295</v>
      </c>
      <c r="B137" s="532">
        <v>0.24</v>
      </c>
      <c r="C137" s="532">
        <v>0.24</v>
      </c>
      <c r="D137" s="532">
        <v>0.24</v>
      </c>
      <c r="E137" s="532">
        <v>0.24</v>
      </c>
      <c r="F137" s="532">
        <v>0.24</v>
      </c>
      <c r="G137" s="532">
        <v>0.24</v>
      </c>
      <c r="H137" s="532">
        <v>0.24</v>
      </c>
      <c r="I137" s="532">
        <v>0.24</v>
      </c>
      <c r="J137" s="532">
        <v>0.24</v>
      </c>
      <c r="K137" s="532">
        <v>0.24</v>
      </c>
      <c r="L137" s="532">
        <v>0.24</v>
      </c>
      <c r="M137" s="532">
        <v>0.24</v>
      </c>
      <c r="N137" s="532">
        <v>0.24</v>
      </c>
      <c r="O137" s="532">
        <v>0.24</v>
      </c>
      <c r="P137" s="532">
        <v>0.24</v>
      </c>
      <c r="Q137" s="532">
        <v>0.24</v>
      </c>
      <c r="R137" s="532">
        <v>0.24</v>
      </c>
    </row>
    <row r="138" spans="1:18">
      <c r="A138" s="94" t="s">
        <v>25</v>
      </c>
      <c r="B138" s="94" t="s">
        <v>25</v>
      </c>
      <c r="C138" s="94" t="s">
        <v>25</v>
      </c>
      <c r="D138" s="94" t="s">
        <v>25</v>
      </c>
      <c r="E138" s="94" t="s">
        <v>25</v>
      </c>
      <c r="F138" s="94" t="s">
        <v>25</v>
      </c>
      <c r="G138" s="94" t="s">
        <v>25</v>
      </c>
      <c r="H138" s="94" t="s">
        <v>25</v>
      </c>
      <c r="I138" s="94" t="s">
        <v>25</v>
      </c>
      <c r="J138" s="94" t="s">
        <v>25</v>
      </c>
      <c r="K138" s="94" t="s">
        <v>25</v>
      </c>
      <c r="L138" s="94" t="s">
        <v>25</v>
      </c>
      <c r="M138" s="94" t="s">
        <v>25</v>
      </c>
      <c r="N138" s="94" t="s">
        <v>25</v>
      </c>
      <c r="O138" s="94" t="s">
        <v>25</v>
      </c>
      <c r="P138" s="94" t="s">
        <v>25</v>
      </c>
      <c r="Q138" s="94" t="s">
        <v>25</v>
      </c>
      <c r="R138" s="94" t="s">
        <v>25</v>
      </c>
    </row>
    <row r="139" spans="1:18">
      <c r="A139" s="94" t="s">
        <v>25</v>
      </c>
      <c r="B139" s="94" t="s">
        <v>25</v>
      </c>
      <c r="C139" s="94" t="s">
        <v>25</v>
      </c>
      <c r="D139" s="94" t="s">
        <v>25</v>
      </c>
      <c r="E139" s="94" t="s">
        <v>25</v>
      </c>
      <c r="F139" s="94" t="s">
        <v>25</v>
      </c>
      <c r="G139" s="94" t="s">
        <v>25</v>
      </c>
      <c r="H139" s="94" t="s">
        <v>25</v>
      </c>
      <c r="I139" s="94" t="s">
        <v>25</v>
      </c>
      <c r="J139" s="94" t="s">
        <v>25</v>
      </c>
      <c r="K139" s="94" t="s">
        <v>25</v>
      </c>
      <c r="L139" s="94" t="s">
        <v>25</v>
      </c>
      <c r="M139" s="94" t="s">
        <v>25</v>
      </c>
      <c r="N139" s="94" t="s">
        <v>25</v>
      </c>
      <c r="O139" s="94" t="s">
        <v>25</v>
      </c>
      <c r="P139" s="94" t="s">
        <v>25</v>
      </c>
      <c r="Q139" s="94" t="s">
        <v>25</v>
      </c>
      <c r="R139" s="94" t="s">
        <v>25</v>
      </c>
    </row>
    <row r="140" spans="1:18">
      <c r="B140" s="101">
        <v>44105</v>
      </c>
      <c r="C140" s="101">
        <v>44470</v>
      </c>
      <c r="D140" s="101">
        <v>44835</v>
      </c>
      <c r="E140" s="101">
        <v>45200</v>
      </c>
      <c r="F140" s="101">
        <v>45566</v>
      </c>
      <c r="G140" s="101">
        <v>45931</v>
      </c>
      <c r="H140" s="101">
        <v>46296</v>
      </c>
      <c r="I140" s="101">
        <v>46661</v>
      </c>
      <c r="J140" s="101">
        <v>47027</v>
      </c>
      <c r="K140" s="101">
        <v>47392</v>
      </c>
      <c r="L140" s="101">
        <v>47757</v>
      </c>
      <c r="M140" s="101">
        <v>48122</v>
      </c>
      <c r="N140" s="101">
        <v>48488</v>
      </c>
      <c r="O140" s="101">
        <v>48853</v>
      </c>
      <c r="P140" s="101">
        <v>49218</v>
      </c>
      <c r="Q140" s="101">
        <v>49583</v>
      </c>
      <c r="R140" s="101">
        <v>49949</v>
      </c>
    </row>
    <row r="141" spans="1:18">
      <c r="A141" s="500" t="s">
        <v>291</v>
      </c>
      <c r="B141" s="101">
        <v>44469</v>
      </c>
      <c r="C141" s="101">
        <v>44834</v>
      </c>
      <c r="D141" s="101">
        <v>45199</v>
      </c>
      <c r="E141" s="101">
        <v>45565</v>
      </c>
      <c r="F141" s="101">
        <v>45930</v>
      </c>
      <c r="G141" s="101">
        <v>46295</v>
      </c>
      <c r="H141" s="101">
        <v>46660</v>
      </c>
      <c r="I141" s="101">
        <v>47026</v>
      </c>
      <c r="J141" s="101">
        <v>47391</v>
      </c>
      <c r="K141" s="101">
        <v>47756</v>
      </c>
      <c r="L141" s="101">
        <v>48121</v>
      </c>
      <c r="M141" s="101">
        <v>48487</v>
      </c>
      <c r="N141" s="101">
        <v>48852</v>
      </c>
      <c r="O141" s="101">
        <v>49217</v>
      </c>
      <c r="P141" s="101">
        <v>49582</v>
      </c>
      <c r="Q141" s="101">
        <v>49948</v>
      </c>
      <c r="R141" s="101">
        <v>50313</v>
      </c>
    </row>
    <row r="142" spans="1:18">
      <c r="A142" s="94" t="s">
        <v>80</v>
      </c>
      <c r="B142" s="507">
        <v>0.1</v>
      </c>
      <c r="C142" s="507">
        <v>0.1</v>
      </c>
      <c r="D142" s="507">
        <v>0.1</v>
      </c>
      <c r="E142" s="507">
        <v>0.1</v>
      </c>
      <c r="F142" s="507">
        <v>0.1</v>
      </c>
      <c r="G142" s="507">
        <v>0.1</v>
      </c>
      <c r="H142" s="507">
        <v>0.1</v>
      </c>
      <c r="I142" s="507">
        <v>0.1</v>
      </c>
      <c r="J142" s="507">
        <v>0.1</v>
      </c>
      <c r="K142" s="507">
        <v>0.1</v>
      </c>
      <c r="L142" s="507">
        <v>0.1</v>
      </c>
      <c r="M142" s="507">
        <v>0.1</v>
      </c>
      <c r="N142" s="507">
        <v>0.1</v>
      </c>
      <c r="O142" s="507">
        <v>0.1</v>
      </c>
      <c r="P142" s="507">
        <v>0.1</v>
      </c>
      <c r="Q142" s="507">
        <v>0.1</v>
      </c>
      <c r="R142" s="507">
        <v>0.1</v>
      </c>
    </row>
  </sheetData>
  <sheetProtection algorithmName="SHA-512" hashValue="wRG1mKVCUAeQZA+7qfg7W5962BKODZ6ibD5Wec/kRHdwTxgwaEDABmnilWJ6uBQ/3xjiipaFOjPIwD3nlQJwRQ==" saltValue="cBdRufX/SQncKCQFxZ5OVg==" spinCount="100000" sheet="1" objects="1" scenarios="1"/>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Contact xmlns="http://schemas.microsoft.com/sharepoint/v3">
      <UserInfo>
        <DisplayName>Teasdale, John W.</DisplayName>
        <AccountId>725</AccountId>
        <AccountType/>
      </UserInfo>
    </PublishingContact>
    <k7951eee8df947e7b5ee05a4e32fd23f xmlns="2fc905c5-5d29-489c-b58c-3dac9c557ed0">
      <Terms xmlns="http://schemas.microsoft.com/office/infopath/2007/PartnerControls"/>
    </k7951eee8df947e7b5ee05a4e32fd23f>
    <pb2878be56224251b163aa9cf71fa2d1 xmlns="2fc905c5-5d29-489c-b58c-3dac9c557ed0">
      <Terms xmlns="http://schemas.microsoft.com/office/infopath/2007/PartnerControls">
        <TermInfo xmlns="http://schemas.microsoft.com/office/infopath/2007/PartnerControls">
          <TermName xmlns="http://schemas.microsoft.com/office/infopath/2007/PartnerControls">Pre-Award (Grants)</TermName>
          <TermId xmlns="http://schemas.microsoft.com/office/infopath/2007/PartnerControls">e3d6ac4c-adb5-4ff5-b197-c76077e4a4cf</TermId>
        </TermInfo>
      </Terms>
    </pb2878be56224251b163aa9cf71fa2d1>
    <f9496c7b67784c6b89b140b217398945 xmlns="2fc905c5-5d29-489c-b58c-3dac9c557ed0">
      <Terms xmlns="http://schemas.microsoft.com/office/infopath/2007/PartnerControls">
        <TermInfo xmlns="http://schemas.microsoft.com/office/infopath/2007/PartnerControls">
          <TermName xmlns="http://schemas.microsoft.com/office/infopath/2007/PartnerControls">Partners</TermName>
          <TermId xmlns="http://schemas.microsoft.com/office/infopath/2007/PartnerControls">2dd0f40d-214d-4a0c-9a7d-35ef1a4b577c</TermId>
        </TermInfo>
      </Terms>
    </f9496c7b67784c6b89b140b217398945>
    <SharedWithUsers xmlns="6c8a398b-2cf4-402e-8e67-52c01a86e853">
      <UserInfo>
        <DisplayName>Gilpin, Sarah E.</DisplayName>
        <AccountId>7293</AccountId>
        <AccountType/>
      </UserInfo>
      <UserInfo>
        <DisplayName>Gollub, Randy L.</DisplayName>
        <AccountId>2291</AccountId>
        <AccountType/>
      </UserInfo>
    </SharedWithUsers>
    <i69ff1bcd5914390b2b2a3275806af05 xmlns="2fc905c5-5d29-489c-b58c-3dac9c557ed0">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abcc1d8b-b69f-49d9-98c4-228b5379ea81</TermId>
        </TermInfo>
      </Terms>
    </i69ff1bcd5914390b2b2a3275806af05>
    <TaxCatchAll xmlns="2fc905c5-5d29-489c-b58c-3dac9c557ed0">
      <Value>15</Value>
      <Value>18</Value>
      <Value>28</Value>
      <Value>4</Value>
      <Value>3</Value>
      <Value>2</Value>
      <Value>1</Value>
      <Value>19</Value>
    </TaxCatchAll>
    <TaxKeywordTaxHTField xmlns="2fc905c5-5d29-489c-b58c-3dac9c557ed0">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11111111-1111-1111-1111-111111111111</TermId>
        </TermInfo>
        <TermInfo xmlns="http://schemas.microsoft.com/office/infopath/2007/PartnerControls">
          <TermName xmlns="http://schemas.microsoft.com/office/infopath/2007/PartnerControls">budget template</TermName>
          <TermId xmlns="http://schemas.microsoft.com/office/infopath/2007/PartnerControls">11111111-1111-1111-1111-111111111111</TermId>
        </TermInfo>
      </Terms>
    </TaxKeywordTaxHTField>
    <dd7bdb02bff84069be6c637aabd9d17f xmlns="2fc905c5-5d29-489c-b58c-3dac9c557ed0">
      <Terms xmlns="http://schemas.microsoft.com/office/infopath/2007/PartnerControls">
        <TermInfo xmlns="http://schemas.microsoft.com/office/infopath/2007/PartnerControls">
          <TermName xmlns="http://schemas.microsoft.com/office/infopath/2007/PartnerControls">BWH</TermName>
          <TermId xmlns="http://schemas.microsoft.com/office/infopath/2007/PartnerControls">85502b99-e70f-4ed3-b38f-d2fd5f669377</TermId>
        </TermInfo>
        <TermInfo xmlns="http://schemas.microsoft.com/office/infopath/2007/PartnerControls">
          <TermName xmlns="http://schemas.microsoft.com/office/infopath/2007/PartnerControls">MGH</TermName>
          <TermId xmlns="http://schemas.microsoft.com/office/infopath/2007/PartnerControls">afa34695-9b57-45e7-acca-909cfb8c3888</TermId>
        </TermInfo>
        <TermInfo xmlns="http://schemas.microsoft.com/office/infopath/2007/PartnerControls">
          <TermName xmlns="http://schemas.microsoft.com/office/infopath/2007/PartnerControls">Spaulding</TermName>
          <TermId xmlns="http://schemas.microsoft.com/office/infopath/2007/PartnerControls">e185c94c-b3eb-4e19-b308-5825abe292ed</TermId>
        </TermInfo>
        <TermInfo xmlns="http://schemas.microsoft.com/office/infopath/2007/PartnerControls">
          <TermName xmlns="http://schemas.microsoft.com/office/infopath/2007/PartnerControls">McLean</TermName>
          <TermId xmlns="http://schemas.microsoft.com/office/infopath/2007/PartnerControls">5c1ced02-1ff6-4196-84e7-ad13f8230006</TermId>
        </TermInfo>
      </Terms>
    </dd7bdb02bff84069be6c637aabd9d17f>
    <j11827e6753242c09a51e26b5162478c xmlns="2fc905c5-5d29-489c-b58c-3dac9c557ed0">
      <Terms xmlns="http://schemas.microsoft.com/office/infopath/2007/PartnerControls">
        <TermInfo xmlns="http://schemas.microsoft.com/office/infopath/2007/PartnerControls">
          <TermName xmlns="http://schemas.microsoft.com/office/infopath/2007/PartnerControls">Proposal Preparation, Submission, JIT</TermName>
          <TermId xmlns="http://schemas.microsoft.com/office/infopath/2007/PartnerControls">84da924b-83d2-4482-8c18-3f0448956175</TermId>
        </TermInfo>
      </Terms>
    </j11827e6753242c09a51e26b5162478c>
    <PHRM_Revised xmlns="2fc905c5-5d29-489c-b58c-3dac9c557ed0">2017-07-19T04:00:00+00:00</PHRM_Revised>
    <h5dc8b0fab484ab4925d279ddb518201 xmlns="2fc905c5-5d29-489c-b58c-3dac9c557ed0">
      <Terms xmlns="http://schemas.microsoft.com/office/infopath/2007/PartnerControls"/>
    </h5dc8b0fab484ab4925d279ddb518201>
  </documentManagement>
</p:properties>
</file>

<file path=customXml/item2.xml><?xml version="1.0" encoding="utf-8"?>
<ct:contentTypeSchema xmlns:ct="http://schemas.microsoft.com/office/2006/metadata/contentType" xmlns:ma="http://schemas.microsoft.com/office/2006/metadata/properties/metaAttributes" ct:_="" ma:_="" ma:contentTypeName="PHRM_Documents" ma:contentTypeID="0x010100CF5A4DC98D8BA6418051232BF31EC931003A8CD3C4E583F248BD091D60F1A88943" ma:contentTypeVersion="25" ma:contentTypeDescription="" ma:contentTypeScope="" ma:versionID="39627553ef909a33aea0b719d4a4d019">
  <xsd:schema xmlns:xsd="http://www.w3.org/2001/XMLSchema" xmlns:xs="http://www.w3.org/2001/XMLSchema" xmlns:p="http://schemas.microsoft.com/office/2006/metadata/properties" xmlns:ns1="http://schemas.microsoft.com/sharepoint/v3" xmlns:ns2="2fc905c5-5d29-489c-b58c-3dac9c557ed0" xmlns:ns3="6c8a398b-2cf4-402e-8e67-52c01a86e853" xmlns:ns4="e3de13c3-fb47-4e71-9677-dcb59f727c73" targetNamespace="http://schemas.microsoft.com/office/2006/metadata/properties" ma:root="true" ma:fieldsID="80fc89ae4aea3709f1119b0931bdfa2a" ns1:_="" ns2:_="" ns3:_="" ns4:_="">
    <xsd:import namespace="http://schemas.microsoft.com/sharepoint/v3"/>
    <xsd:import namespace="2fc905c5-5d29-489c-b58c-3dac9c557ed0"/>
    <xsd:import namespace="6c8a398b-2cf4-402e-8e67-52c01a86e853"/>
    <xsd:import namespace="e3de13c3-fb47-4e71-9677-dcb59f727c73"/>
    <xsd:element name="properties">
      <xsd:complexType>
        <xsd:sequence>
          <xsd:element name="documentManagement">
            <xsd:complexType>
              <xsd:all>
                <xsd:element ref="ns2:PHRM_Revised"/>
                <xsd:element ref="ns1:PublishingContact"/>
                <xsd:element ref="ns2:i69ff1bcd5914390b2b2a3275806af05" minOccurs="0"/>
                <xsd:element ref="ns2:pb2878be56224251b163aa9cf71fa2d1" minOccurs="0"/>
                <xsd:element ref="ns2:f9496c7b67784c6b89b140b217398945" minOccurs="0"/>
                <xsd:element ref="ns2:j11827e6753242c09a51e26b5162478c" minOccurs="0"/>
                <xsd:element ref="ns2:h5dc8b0fab484ab4925d279ddb518201" minOccurs="0"/>
                <xsd:element ref="ns2:dd7bdb02bff84069be6c637aabd9d17f" minOccurs="0"/>
                <xsd:element ref="ns2:k7951eee8df947e7b5ee05a4e32fd23f" minOccurs="0"/>
                <xsd:element ref="ns2:TaxCatchAll" minOccurs="0"/>
                <xsd:element ref="ns2:TaxCatchAllLabel" minOccurs="0"/>
                <xsd:element ref="ns3:SharedWithUsers" minOccurs="0"/>
                <xsd:element ref="ns3:SharingHintHash" minOccurs="0"/>
                <xsd:element ref="ns2:TaxKeywordTaxHTField"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 ma:index="3" ma:displayName="Content Owner" ma:description=""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c905c5-5d29-489c-b58c-3dac9c557ed0" elementFormDefault="qualified">
    <xsd:import namespace="http://schemas.microsoft.com/office/2006/documentManagement/types"/>
    <xsd:import namespace="http://schemas.microsoft.com/office/infopath/2007/PartnerControls"/>
    <xsd:element name="PHRM_Revised" ma:index="2" ma:displayName="Revised" ma:default="[today]" ma:format="DateOnly" ma:internalName="PHRM_Revised">
      <xsd:simpleType>
        <xsd:restriction base="dms:DateTime"/>
      </xsd:simpleType>
    </xsd:element>
    <xsd:element name="i69ff1bcd5914390b2b2a3275806af05" ma:index="11" ma:taxonomy="true" ma:internalName="i69ff1bcd5914390b2b2a3275806af05" ma:taxonomyFieldName="PHRM_Type" ma:displayName="Info Type" ma:default="" ma:fieldId="{269ff1bc-d591-4390-b2b2-a3275806af05}" ma:sspId="860c9a04-0a06-4c47-89e2-9dbcedd85f4d" ma:termSetId="345cc2a7-ad87-4144-9af3-cdc987c4e7c7" ma:anchorId="00000000-0000-0000-0000-000000000000" ma:open="false" ma:isKeyword="false">
      <xsd:complexType>
        <xsd:sequence>
          <xsd:element ref="pc:Terms" minOccurs="0" maxOccurs="1"/>
        </xsd:sequence>
      </xsd:complexType>
    </xsd:element>
    <xsd:element name="pb2878be56224251b163aa9cf71fa2d1" ma:index="13" nillable="true" ma:taxonomy="true" ma:internalName="pb2878be56224251b163aa9cf71fa2d1" ma:taxonomyFieldName="PHRM_Department" ma:displayName="Dept" ma:default="" ma:fieldId="{9b2878be-5622-4251-b163-aa9cf71fa2d1}" ma:taxonomyMulti="true" ma:sspId="860c9a04-0a06-4c47-89e2-9dbcedd85f4d" ma:termSetId="04ba9c27-f441-4bd1-afdd-27f22238bf7b" ma:anchorId="00000000-0000-0000-0000-000000000000" ma:open="false" ma:isKeyword="false">
      <xsd:complexType>
        <xsd:sequence>
          <xsd:element ref="pc:Terms" minOccurs="0" maxOccurs="1"/>
        </xsd:sequence>
      </xsd:complexType>
    </xsd:element>
    <xsd:element name="f9496c7b67784c6b89b140b217398945" ma:index="15" nillable="true" ma:taxonomy="true" ma:internalName="f9496c7b67784c6b89b140b217398945" ma:taxonomyFieldName="PHRM_Institution_Owner" ma:displayName="Institution Owner" ma:default="" ma:fieldId="{f9496c7b-6778-4c6b-89b1-40b217398945}" ma:taxonomyMulti="true" ma:sspId="860c9a04-0a06-4c47-89e2-9dbcedd85f4d" ma:termSetId="bc7024c7-73a9-4159-a64c-8169c9fad47d" ma:anchorId="00000000-0000-0000-0000-000000000000" ma:open="false" ma:isKeyword="false">
      <xsd:complexType>
        <xsd:sequence>
          <xsd:element ref="pc:Terms" minOccurs="0" maxOccurs="1"/>
        </xsd:sequence>
      </xsd:complexType>
    </xsd:element>
    <xsd:element name="j11827e6753242c09a51e26b5162478c" ma:index="17" nillable="true" ma:taxonomy="true" ma:internalName="j11827e6753242c09a51e26b5162478c" ma:taxonomyFieldName="PHRM_Related_Process_Map" ma:displayName="Related Process Map" ma:default="" ma:fieldId="{311827e6-7532-42c0-9a51-e26b5162478c}" ma:taxonomyMulti="true" ma:sspId="860c9a04-0a06-4c47-89e2-9dbcedd85f4d" ma:termSetId="7a12dab6-6c1a-43e9-8f31-529b3e8b53f8" ma:anchorId="00000000-0000-0000-0000-000000000000" ma:open="false" ma:isKeyword="false">
      <xsd:complexType>
        <xsd:sequence>
          <xsd:element ref="pc:Terms" minOccurs="0" maxOccurs="1"/>
        </xsd:sequence>
      </xsd:complexType>
    </xsd:element>
    <xsd:element name="h5dc8b0fab484ab4925d279ddb518201" ma:index="19" nillable="true" ma:taxonomy="true" ma:internalName="h5dc8b0fab484ab4925d279ddb518201" ma:taxonomyFieldName="PHRM_Sponsor_Funding_Type" ma:displayName="Sponsor/Funding Type" ma:default="" ma:fieldId="{15dc8b0f-ab48-4ab4-925d-279ddb518201}" ma:taxonomyMulti="true" ma:sspId="860c9a04-0a06-4c47-89e2-9dbcedd85f4d" ma:termSetId="9e678e96-ae0e-46ae-9862-f01f1a508fcf" ma:anchorId="00000000-0000-0000-0000-000000000000" ma:open="false" ma:isKeyword="false">
      <xsd:complexType>
        <xsd:sequence>
          <xsd:element ref="pc:Terms" minOccurs="0" maxOccurs="1"/>
        </xsd:sequence>
      </xsd:complexType>
    </xsd:element>
    <xsd:element name="dd7bdb02bff84069be6c637aabd9d17f" ma:index="20" ma:taxonomy="true" ma:internalName="dd7bdb02bff84069be6c637aabd9d17f" ma:taxonomyFieldName="PHRM_Hospital" ma:displayName="Hospital" ma:default="" ma:fieldId="{dd7bdb02-bff8-4069-be6c-637aabd9d17f}" ma:taxonomyMulti="true" ma:sspId="860c9a04-0a06-4c47-89e2-9dbcedd85f4d" ma:termSetId="170a09f5-ae3d-4d70-9775-612aa0b9d04a" ma:anchorId="00000000-0000-0000-0000-000000000000" ma:open="false" ma:isKeyword="false">
      <xsd:complexType>
        <xsd:sequence>
          <xsd:element ref="pc:Terms" minOccurs="0" maxOccurs="1"/>
        </xsd:sequence>
      </xsd:complexType>
    </xsd:element>
    <xsd:element name="k7951eee8df947e7b5ee05a4e32fd23f" ma:index="21" nillable="true" ma:taxonomy="true" ma:internalName="k7951eee8df947e7b5ee05a4e32fd23f" ma:taxonomyFieldName="PHRM_Medical_Specialty_Area" ma:displayName="Medical Specialty/Area" ma:default="" ma:fieldId="{47951eee-8df9-47e7-b5ee-05a4e32fd23f}" ma:taxonomyMulti="true" ma:sspId="860c9a04-0a06-4c47-89e2-9dbcedd85f4d" ma:termSetId="a3399749-f244-4255-9201-028a89e5f410"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02887e18-e17a-4dc4-a772-32169ff329d3}" ma:internalName="TaxCatchAll" ma:showField="CatchAllData" ma:web="2fc905c5-5d29-489c-b58c-3dac9c557ed0">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02887e18-e17a-4dc4-a772-32169ff329d3}" ma:internalName="TaxCatchAllLabel" ma:readOnly="true" ma:showField="CatchAllDataLabel" ma:web="2fc905c5-5d29-489c-b58c-3dac9c557ed0">
      <xsd:complexType>
        <xsd:complexContent>
          <xsd:extension base="dms:MultiChoiceLookup">
            <xsd:sequence>
              <xsd:element name="Value" type="dms:Lookup" maxOccurs="unbounded" minOccurs="0" nillable="true"/>
            </xsd:sequence>
          </xsd:extension>
        </xsd:complexContent>
      </xsd:complexType>
    </xsd:element>
    <xsd:element name="TaxKeywordTaxHTField" ma:index="29" nillable="true" ma:taxonomy="true" ma:internalName="TaxKeywordTaxHTField" ma:taxonomyFieldName="TaxKeyword" ma:displayName="Enterprise Keywords" ma:fieldId="{23f27201-bee3-471e-b2e7-b64fd8b7ca38}" ma:taxonomyMulti="true" ma:sspId="860c9a04-0a06-4c47-89e2-9dbcedd85f4d"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8a398b-2cf4-402e-8e67-52c01a86e853"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27" nillable="true" ma:displayName="Sharing Hint Hash" ma:internalName="SharingHintHash" ma:readOnly="true">
      <xsd:simpleType>
        <xsd:restriction base="dms:Text"/>
      </xsd:simple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de13c3-fb47-4e71-9677-dcb59f727c73"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0DFF4-EA1E-49E1-BDE5-FF6E32A1D316}">
  <ds:schemaRefs>
    <ds:schemaRef ds:uri="http://purl.org/dc/dcmitype/"/>
    <ds:schemaRef ds:uri="http://schemas.microsoft.com/sharepoint/v3"/>
    <ds:schemaRef ds:uri="http://purl.org/dc/elements/1.1/"/>
    <ds:schemaRef ds:uri="http://schemas.microsoft.com/office/2006/documentManagement/types"/>
    <ds:schemaRef ds:uri="e3de13c3-fb47-4e71-9677-dcb59f727c73"/>
    <ds:schemaRef ds:uri="6c8a398b-2cf4-402e-8e67-52c01a86e853"/>
    <ds:schemaRef ds:uri="http://schemas.microsoft.com/office/infopath/2007/PartnerControls"/>
    <ds:schemaRef ds:uri="http://purl.org/dc/terms/"/>
    <ds:schemaRef ds:uri="http://schemas.openxmlformats.org/package/2006/metadata/core-properties"/>
    <ds:schemaRef ds:uri="2fc905c5-5d29-489c-b58c-3dac9c557ed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755BC39-3C99-40B7-856F-51B8B7B9A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c905c5-5d29-489c-b58c-3dac9c557ed0"/>
    <ds:schemaRef ds:uri="6c8a398b-2cf4-402e-8e67-52c01a86e853"/>
    <ds:schemaRef ds:uri="e3de13c3-fb47-4e71-9677-dcb59f72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50C9CD-711C-4D13-9D81-220928A82F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28</vt:i4>
      </vt:variant>
    </vt:vector>
  </HeadingPairs>
  <TitlesOfParts>
    <vt:vector size="37" baseType="lpstr">
      <vt:lpstr>INSTRUCTIONS</vt:lpstr>
      <vt:lpstr>1. SUMMARY</vt:lpstr>
      <vt:lpstr>2. PERSONNEL</vt:lpstr>
      <vt:lpstr>3. NON-PERSONNEL EXPENSES</vt:lpstr>
      <vt:lpstr>4. SUBAWARDS</vt:lpstr>
      <vt:lpstr>5. CUMULATIVE BUDGET</vt:lpstr>
      <vt:lpstr>6. Modular Budget</vt:lpstr>
      <vt:lpstr>7. Notes Tab</vt:lpstr>
      <vt:lpstr>Sheet1</vt:lpstr>
      <vt:lpstr>'2. PERSONNEL'!benefits</vt:lpstr>
      <vt:lpstr>benefits</vt:lpstr>
      <vt:lpstr>Fringe_Rate</vt:lpstr>
      <vt:lpstr>'2. PERSONNEL'!Hospital</vt:lpstr>
      <vt:lpstr>Sheet1!Hospital</vt:lpstr>
      <vt:lpstr>Hospital</vt:lpstr>
      <vt:lpstr>'2. PERSONNEL'!Institution</vt:lpstr>
      <vt:lpstr>Institution</vt:lpstr>
      <vt:lpstr>name_1</vt:lpstr>
      <vt:lpstr>name_10</vt:lpstr>
      <vt:lpstr>name_2</vt:lpstr>
      <vt:lpstr>name_3</vt:lpstr>
      <vt:lpstr>name_4</vt:lpstr>
      <vt:lpstr>name_5</vt:lpstr>
      <vt:lpstr>name_6</vt:lpstr>
      <vt:lpstr>name_7</vt:lpstr>
      <vt:lpstr>name_8</vt:lpstr>
      <vt:lpstr>name_9</vt:lpstr>
      <vt:lpstr>'2. PERSONNEL'!Print_Area</vt:lpstr>
      <vt:lpstr>'2. PERSONNEL'!Print_Titles</vt:lpstr>
      <vt:lpstr>'7. Notes Tab'!Print_Titles</vt:lpstr>
      <vt:lpstr>'2. PERSONNEL'!rate</vt:lpstr>
      <vt:lpstr>rate</vt:lpstr>
      <vt:lpstr>'2. PERSONNEL'!rate1</vt:lpstr>
      <vt:lpstr>rate1</vt:lpstr>
      <vt:lpstr>Role</vt:lpstr>
      <vt:lpstr>'2. PERSONNEL'!staff</vt:lpstr>
      <vt:lpstr>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Rick Mancinelli</dc:creator>
  <cp:keywords>template; budget template</cp:keywords>
  <cp:lastModifiedBy>Roy, Mary E.</cp:lastModifiedBy>
  <cp:lastPrinted>2016-09-16T19:36:56Z</cp:lastPrinted>
  <dcterms:created xsi:type="dcterms:W3CDTF">2016-08-23T15:49:13Z</dcterms:created>
  <dcterms:modified xsi:type="dcterms:W3CDTF">2021-10-29T21:15:44Z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70;#budget template|af429ced-a5bf-48fc-b934-f7643ec07ce0;#159;#template|e3508463-4212-4376-8db2-943819655896</vt:lpwstr>
  </property>
  <property fmtid="{D5CDD505-2E9C-101B-9397-08002B2CF9AE}" pid="3" name="PHRM_Institution_Owner">
    <vt:lpwstr>15;#Partners|2dd0f40d-214d-4a0c-9a7d-35ef1a4b577c</vt:lpwstr>
  </property>
  <property fmtid="{D5CDD505-2E9C-101B-9397-08002B2CF9AE}" pid="4" name="PHRM_Medical_Specialty_Area">
    <vt:lpwstr/>
  </property>
  <property fmtid="{D5CDD505-2E9C-101B-9397-08002B2CF9AE}" pid="5" name="_AuthorEmailDisplayName">
    <vt:lpwstr>Mancinelli, Rick R.</vt:lpwstr>
  </property>
  <property fmtid="{D5CDD505-2E9C-101B-9397-08002B2CF9AE}" pid="6" name="ContentTypeId">
    <vt:lpwstr>0x010100CF5A4DC98D8BA6418051232BF31EC931003A8CD3C4E583F248BD091D60F1A88943</vt:lpwstr>
  </property>
  <property fmtid="{D5CDD505-2E9C-101B-9397-08002B2CF9AE}" pid="7" name="_EmailSubject">
    <vt:lpwstr>FY22 Rate Updates: Research Budget Templates</vt:lpwstr>
  </property>
  <property fmtid="{D5CDD505-2E9C-101B-9397-08002B2CF9AE}" pid="8" name="_AdHocReviewCycleID">
    <vt:i4>-1688857293</vt:i4>
  </property>
  <property fmtid="{D5CDD505-2E9C-101B-9397-08002B2CF9AE}" pid="9" name="PHRM_Hospital">
    <vt:lpwstr>1;#BWH|85502b99-e70f-4ed3-b38f-d2fd5f669377;#2;#MGH|afa34695-9b57-45e7-acca-909cfb8c3888;#3;#Spaulding|e185c94c-b3eb-4e19-b308-5825abe292ed;#4;#McLean|5c1ced02-1ff6-4196-84e7-ad13f8230006;#846;#MEEI|3478d07b-2b41-404d-8aab-86bf7220ff34</vt:lpwstr>
  </property>
  <property fmtid="{D5CDD505-2E9C-101B-9397-08002B2CF9AE}" pid="10" name="PHRM_Department">
    <vt:lpwstr>18;#Pre-Award (Grants)|e3d6ac4c-adb5-4ff5-b197-c76077e4a4cf</vt:lpwstr>
  </property>
  <property fmtid="{D5CDD505-2E9C-101B-9397-08002B2CF9AE}" pid="11" name="_AuthorEmail">
    <vt:lpwstr>RMANCINELLI@PARTNERS.ORG</vt:lpwstr>
  </property>
  <property fmtid="{D5CDD505-2E9C-101B-9397-08002B2CF9AE}" pid="12" name="PHRM_Related_Process_Map">
    <vt:lpwstr>19;#Proposal Preparation, Submission, JIT|84da924b-83d2-4482-8c18-3f0448956175</vt:lpwstr>
  </property>
  <property fmtid="{D5CDD505-2E9C-101B-9397-08002B2CF9AE}" pid="13" name="_NewReviewCycle">
    <vt:lpwstr/>
  </property>
  <property fmtid="{D5CDD505-2E9C-101B-9397-08002B2CF9AE}" pid="14" name="PHRM_Type">
    <vt:lpwstr>28;#Form|abcc1d8b-b69f-49d9-98c4-228b5379ea81</vt:lpwstr>
  </property>
  <property fmtid="{D5CDD505-2E9C-101B-9397-08002B2CF9AE}" pid="15" name="PHRM_Sponsor_Funding_Type">
    <vt:lpwstr/>
  </property>
  <property fmtid="{D5CDD505-2E9C-101B-9397-08002B2CF9AE}" pid="16" name="_PreviousAdHocReviewCycleID">
    <vt:i4>-850398521</vt:i4>
  </property>
</Properties>
</file>